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2.xml" ContentType="application/vnd.openxmlformats-officedocument.drawing+xml"/>
  <Override PartName="/xl/ink/ink7.xml" ContentType="application/inkml+xml"/>
  <Override PartName="/xl/ink/ink8.xml" ContentType="application/inkml+xml"/>
  <Override PartName="/xl/ink/ink9.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MMIS Provider Services Module\DXC Technology Services\"/>
    </mc:Choice>
  </mc:AlternateContent>
  <xr:revisionPtr revIDLastSave="0" documentId="8_{D1D88382-2829-478E-A870-66CAAC16883A}" xr6:coauthVersionLast="47" xr6:coauthVersionMax="47" xr10:uidLastSave="{00000000-0000-0000-0000-000000000000}"/>
  <bookViews>
    <workbookView xWindow="-120" yWindow="-120" windowWidth="29040" windowHeight="15840" xr2:uid="{00000000-000D-0000-FFFF-FFFF00000000}"/>
  </bookViews>
  <sheets>
    <sheet name="Sch A - Cost Summary DDI" sheetId="41" r:id="rId1"/>
    <sheet name="Sch B- DDI Pmnt Milestone" sheetId="42" r:id="rId2"/>
    <sheet name="Sch C - Cost of Ops" sheetId="43" r:id="rId3"/>
    <sheet name="Sch D - Enhcmt Pool Hrs" sheetId="44" r:id="rId4"/>
    <sheet name="Sch E - Resource Hourly Rates" sheetId="3" r:id="rId5"/>
    <sheet name="F-1 Provider Svcs DDI Costs" sheetId="25" r:id="rId6"/>
    <sheet name="F-2 Provider Svcs Ops Costs" sheetId="21" r:id="rId7"/>
    <sheet name="F-3 Provider Svcs DDI Pool Cost" sheetId="26" r:id="rId8"/>
    <sheet name="F-4 Provider Svcs Ops Pool" sheetId="27" r:id="rId9"/>
    <sheet name="G-1 Provider Svcs DDI Cost" sheetId="29" r:id="rId10"/>
    <sheet name="G-2 Provider Svcs Ops Cost" sheetId="30" r:id="rId11"/>
    <sheet name="G-3 Provider Svcs DDI Pool" sheetId="31" r:id="rId12"/>
    <sheet name="G-4 Provider Svcs Ops Pool" sheetId="32" r:id="rId13"/>
    <sheet name="H-1 Provider Svcs DDI Cost" sheetId="33" r:id="rId14"/>
    <sheet name="H-2 Provider Svcs Ops Cost" sheetId="34" r:id="rId15"/>
    <sheet name="H-3 Provider Svcs DDI Pool" sheetId="35" r:id="rId16"/>
    <sheet name="H-4 Provider Svcs Ops Pool" sheetId="36" r:id="rId17"/>
    <sheet name="Sheet1" sheetId="45" r:id="rId18"/>
  </sheets>
  <externalReferences>
    <externalReference r:id="rId19"/>
    <externalReference r:id="rId20"/>
    <externalReference r:id="rId21"/>
    <externalReference r:id="rId22"/>
    <externalReference r:id="rId23"/>
    <externalReference r:id="rId24"/>
    <externalReference r:id="rId25"/>
  </externalReferences>
  <definedNames>
    <definedName name="__FDS_HYPERLINK_TOGGLE_STATE__" hidden="1">"ON"</definedName>
    <definedName name="_xlnm._FilterDatabase" localSheetId="0" hidden="1">'Sch A - Cost Summary DDI'!$A$4:$C$4</definedName>
    <definedName name="_Key1" hidden="1">#REF!</definedName>
    <definedName name="_m19" localSheetId="0" hidden="1">{"rfcjan",#N/A,FALSE,"Stats"}</definedName>
    <definedName name="_m19" localSheetId="1" hidden="1">{"rfcjan",#N/A,FALSE,"Stats"}</definedName>
    <definedName name="_m19" localSheetId="2" hidden="1">{"rfcjan",#N/A,FALSE,"Stats"}</definedName>
    <definedName name="_m19" localSheetId="3" hidden="1">{"rfcjan",#N/A,FALSE,"Stats"}</definedName>
    <definedName name="_m19" hidden="1">{"rfcjan",#N/A,FALSE,"Stats"}</definedName>
    <definedName name="_n10" localSheetId="0" hidden="1">{"rfcjan",#N/A,FALSE,"Stats"}</definedName>
    <definedName name="_n10" localSheetId="1" hidden="1">{"rfcjan",#N/A,FALSE,"Stats"}</definedName>
    <definedName name="_n10" localSheetId="2" hidden="1">{"rfcjan",#N/A,FALSE,"Stats"}</definedName>
    <definedName name="_n10" localSheetId="3" hidden="1">{"rfcjan",#N/A,FALSE,"Stats"}</definedName>
    <definedName name="_n10" hidden="1">{"rfcjan",#N/A,FALSE,"Stats"}</definedName>
    <definedName name="_n11" localSheetId="0" hidden="1">{"rfcjan",#N/A,FALSE,"Stats"}</definedName>
    <definedName name="_n11" localSheetId="1" hidden="1">{"rfcjan",#N/A,FALSE,"Stats"}</definedName>
    <definedName name="_n11" localSheetId="2" hidden="1">{"rfcjan",#N/A,FALSE,"Stats"}</definedName>
    <definedName name="_n11" localSheetId="3" hidden="1">{"rfcjan",#N/A,FALSE,"Stats"}</definedName>
    <definedName name="_n11" hidden="1">{"rfcjan",#N/A,FALSE,"Stats"}</definedName>
    <definedName name="_n12" localSheetId="0" hidden="1">{"JANRDET",#N/A,FALSE,"detail"}</definedName>
    <definedName name="_n12" localSheetId="1" hidden="1">{"JANRDET",#N/A,FALSE,"detail"}</definedName>
    <definedName name="_n12" localSheetId="2" hidden="1">{"JANRDET",#N/A,FALSE,"detail"}</definedName>
    <definedName name="_n12" localSheetId="3" hidden="1">{"JANRDET",#N/A,FALSE,"detail"}</definedName>
    <definedName name="_n12" hidden="1">{"JANRDET",#N/A,FALSE,"detail"}</definedName>
    <definedName name="_n13" localSheetId="0" hidden="1">{"JANRDET",#N/A,FALSE,"detail"}</definedName>
    <definedName name="_n13" localSheetId="1" hidden="1">{"JANRDET",#N/A,FALSE,"detail"}</definedName>
    <definedName name="_n13" localSheetId="2" hidden="1">{"JANRDET",#N/A,FALSE,"detail"}</definedName>
    <definedName name="_n13" localSheetId="3" hidden="1">{"JANRDET",#N/A,FALSE,"detail"}</definedName>
    <definedName name="_n13" hidden="1">{"JANRDET",#N/A,FALSE,"detail"}</definedName>
    <definedName name="_n14" localSheetId="0" hidden="1">{"testysht3",#N/A,FALSE,"Sheet3"}</definedName>
    <definedName name="_n14" localSheetId="1" hidden="1">{"testysht3",#N/A,FALSE,"Sheet3"}</definedName>
    <definedName name="_n14" localSheetId="2" hidden="1">{"testysht3",#N/A,FALSE,"Sheet3"}</definedName>
    <definedName name="_n14" localSheetId="3" hidden="1">{"testysht3",#N/A,FALSE,"Sheet3"}</definedName>
    <definedName name="_n14" hidden="1">{"testysht3",#N/A,FALSE,"Sheet3"}</definedName>
    <definedName name="_n15" localSheetId="0" hidden="1">{"testysht3",#N/A,FALSE,"Sheet3"}</definedName>
    <definedName name="_n15" localSheetId="1" hidden="1">{"testysht3",#N/A,FALSE,"Sheet3"}</definedName>
    <definedName name="_n15" localSheetId="2" hidden="1">{"testysht3",#N/A,FALSE,"Sheet3"}</definedName>
    <definedName name="_n15" localSheetId="3" hidden="1">{"testysht3",#N/A,FALSE,"Sheet3"}</definedName>
    <definedName name="_n15" hidden="1">{"testysht3",#N/A,FALSE,"Sheet3"}</definedName>
    <definedName name="_n16" localSheetId="0" hidden="1">{"rfcjan",#N/A,FALSE,"Stats"}</definedName>
    <definedName name="_n16" localSheetId="1" hidden="1">{"rfcjan",#N/A,FALSE,"Stats"}</definedName>
    <definedName name="_n16" localSheetId="2" hidden="1">{"rfcjan",#N/A,FALSE,"Stats"}</definedName>
    <definedName name="_n16" localSheetId="3" hidden="1">{"rfcjan",#N/A,FALSE,"Stats"}</definedName>
    <definedName name="_n16" hidden="1">{"rfcjan",#N/A,FALSE,"Stats"}</definedName>
    <definedName name="_n17" localSheetId="0" hidden="1">{"rfcjan",#N/A,FALSE,"Stats"}</definedName>
    <definedName name="_n17" localSheetId="1" hidden="1">{"rfcjan",#N/A,FALSE,"Stats"}</definedName>
    <definedName name="_n17" localSheetId="2" hidden="1">{"rfcjan",#N/A,FALSE,"Stats"}</definedName>
    <definedName name="_n17" localSheetId="3" hidden="1">{"rfcjan",#N/A,FALSE,"Stats"}</definedName>
    <definedName name="_n17" hidden="1">{"rfcjan",#N/A,FALSE,"Stats"}</definedName>
    <definedName name="_n18" localSheetId="0" hidden="1">{"rfcjan",#N/A,FALSE,"Stats"}</definedName>
    <definedName name="_n18" localSheetId="1" hidden="1">{"rfcjan",#N/A,FALSE,"Stats"}</definedName>
    <definedName name="_n18" localSheetId="2" hidden="1">{"rfcjan",#N/A,FALSE,"Stats"}</definedName>
    <definedName name="_n18" localSheetId="3" hidden="1">{"rfcjan",#N/A,FALSE,"Stats"}</definedName>
    <definedName name="_n18" hidden="1">{"rfcjan",#N/A,FALSE,"Stats"}</definedName>
    <definedName name="_n21" localSheetId="0" hidden="1">{"rfcjan",#N/A,FALSE,"Stats"}</definedName>
    <definedName name="_n21" localSheetId="1" hidden="1">{"rfcjan",#N/A,FALSE,"Stats"}</definedName>
    <definedName name="_n21" localSheetId="2" hidden="1">{"rfcjan",#N/A,FALSE,"Stats"}</definedName>
    <definedName name="_n21" localSheetId="3" hidden="1">{"rfcjan",#N/A,FALSE,"Stats"}</definedName>
    <definedName name="_n21" hidden="1">{"rfcjan",#N/A,FALSE,"Stats"}</definedName>
    <definedName name="_n23" localSheetId="0" hidden="1">{"rfcjan",#N/A,FALSE,"Stats"}</definedName>
    <definedName name="_n23" localSheetId="1" hidden="1">{"rfcjan",#N/A,FALSE,"Stats"}</definedName>
    <definedName name="_n23" localSheetId="2" hidden="1">{"rfcjan",#N/A,FALSE,"Stats"}</definedName>
    <definedName name="_n23" localSheetId="3" hidden="1">{"rfcjan",#N/A,FALSE,"Stats"}</definedName>
    <definedName name="_n23" hidden="1">{"rfcjan",#N/A,FALSE,"Stats"}</definedName>
    <definedName name="_n24" localSheetId="0" hidden="1">{"rfcjan",#N/A,FALSE,"Stats"}</definedName>
    <definedName name="_n24" localSheetId="1" hidden="1">{"rfcjan",#N/A,FALSE,"Stats"}</definedName>
    <definedName name="_n24" localSheetId="2" hidden="1">{"rfcjan",#N/A,FALSE,"Stats"}</definedName>
    <definedName name="_n24" localSheetId="3" hidden="1">{"rfcjan",#N/A,FALSE,"Stats"}</definedName>
    <definedName name="_n24" hidden="1">{"rfcjan",#N/A,FALSE,"Stats"}</definedName>
    <definedName name="_n25" localSheetId="0" hidden="1">{"rfcjan",#N/A,FALSE,"Stats"}</definedName>
    <definedName name="_n25" localSheetId="1" hidden="1">{"rfcjan",#N/A,FALSE,"Stats"}</definedName>
    <definedName name="_n25" localSheetId="2" hidden="1">{"rfcjan",#N/A,FALSE,"Stats"}</definedName>
    <definedName name="_n25" localSheetId="3" hidden="1">{"rfcjan",#N/A,FALSE,"Stats"}</definedName>
    <definedName name="_n25" hidden="1">{"rfcjan",#N/A,FALSE,"Stats"}</definedName>
    <definedName name="_n26" localSheetId="0" hidden="1">{"rfcjan",#N/A,FALSE,"Stats"}</definedName>
    <definedName name="_n26" localSheetId="1" hidden="1">{"rfcjan",#N/A,FALSE,"Stats"}</definedName>
    <definedName name="_n26" localSheetId="2" hidden="1">{"rfcjan",#N/A,FALSE,"Stats"}</definedName>
    <definedName name="_n26" localSheetId="3" hidden="1">{"rfcjan",#N/A,FALSE,"Stats"}</definedName>
    <definedName name="_n26" hidden="1">{"rfcjan",#N/A,FALSE,"Stats"}</definedName>
    <definedName name="_n27" localSheetId="0" hidden="1">{"rfcjan",#N/A,FALSE,"Stats"}</definedName>
    <definedName name="_n27" localSheetId="1" hidden="1">{"rfcjan",#N/A,FALSE,"Stats"}</definedName>
    <definedName name="_n27" localSheetId="2" hidden="1">{"rfcjan",#N/A,FALSE,"Stats"}</definedName>
    <definedName name="_n27" localSheetId="3" hidden="1">{"rfcjan",#N/A,FALSE,"Stats"}</definedName>
    <definedName name="_n27" hidden="1">{"rfcjan",#N/A,FALSE,"Stats"}</definedName>
    <definedName name="_n28" localSheetId="0" hidden="1">{"JANRDET",#N/A,FALSE,"detail"}</definedName>
    <definedName name="_n28" localSheetId="1" hidden="1">{"JANRDET",#N/A,FALSE,"detail"}</definedName>
    <definedName name="_n28" localSheetId="2" hidden="1">{"JANRDET",#N/A,FALSE,"detail"}</definedName>
    <definedName name="_n28" localSheetId="3" hidden="1">{"JANRDET",#N/A,FALSE,"detail"}</definedName>
    <definedName name="_n28" hidden="1">{"JANRDET",#N/A,FALSE,"detail"}</definedName>
    <definedName name="_n29" localSheetId="0" hidden="1">{"testysht3",#N/A,FALSE,"Sheet3"}</definedName>
    <definedName name="_n29" localSheetId="1" hidden="1">{"testysht3",#N/A,FALSE,"Sheet3"}</definedName>
    <definedName name="_n29" localSheetId="2" hidden="1">{"testysht3",#N/A,FALSE,"Sheet3"}</definedName>
    <definedName name="_n29" localSheetId="3" hidden="1">{"testysht3",#N/A,FALSE,"Sheet3"}</definedName>
    <definedName name="_n29" hidden="1">{"testysht3",#N/A,FALSE,"Sheet3"}</definedName>
    <definedName name="_n3" localSheetId="0" hidden="1">{"rfcjan",#N/A,FALSE,"Stats"}</definedName>
    <definedName name="_n3" localSheetId="1" hidden="1">{"rfcjan",#N/A,FALSE,"Stats"}</definedName>
    <definedName name="_n3" localSheetId="2" hidden="1">{"rfcjan",#N/A,FALSE,"Stats"}</definedName>
    <definedName name="_n3" localSheetId="3" hidden="1">{"rfcjan",#N/A,FALSE,"Stats"}</definedName>
    <definedName name="_n3" hidden="1">{"rfcjan",#N/A,FALSE,"Stats"}</definedName>
    <definedName name="_n30" localSheetId="0" hidden="1">{"testysht3",#N/A,FALSE,"Sheet3"}</definedName>
    <definedName name="_n30" localSheetId="1" hidden="1">{"testysht3",#N/A,FALSE,"Sheet3"}</definedName>
    <definedName name="_n30" localSheetId="2" hidden="1">{"testysht3",#N/A,FALSE,"Sheet3"}</definedName>
    <definedName name="_n30" localSheetId="3" hidden="1">{"testysht3",#N/A,FALSE,"Sheet3"}</definedName>
    <definedName name="_n30" hidden="1">{"testysht3",#N/A,FALSE,"Sheet3"}</definedName>
    <definedName name="_n31" localSheetId="0" hidden="1">{"rfcjan",#N/A,FALSE,"Stats"}</definedName>
    <definedName name="_n31" localSheetId="1" hidden="1">{"rfcjan",#N/A,FALSE,"Stats"}</definedName>
    <definedName name="_n31" localSheetId="2" hidden="1">{"rfcjan",#N/A,FALSE,"Stats"}</definedName>
    <definedName name="_n31" localSheetId="3" hidden="1">{"rfcjan",#N/A,FALSE,"Stats"}</definedName>
    <definedName name="_n31" hidden="1">{"rfcjan",#N/A,FALSE,"Stats"}</definedName>
    <definedName name="_n32" localSheetId="0" hidden="1">{"JANRDET",#N/A,FALSE,"detail"}</definedName>
    <definedName name="_n32" localSheetId="1" hidden="1">{"JANRDET",#N/A,FALSE,"detail"}</definedName>
    <definedName name="_n32" localSheetId="2" hidden="1">{"JANRDET",#N/A,FALSE,"detail"}</definedName>
    <definedName name="_n32" localSheetId="3" hidden="1">{"JANRDET",#N/A,FALSE,"detail"}</definedName>
    <definedName name="_n32" hidden="1">{"JANRDET",#N/A,FALSE,"detail"}</definedName>
    <definedName name="_n4" localSheetId="0" hidden="1">{"rfcjan",#N/A,FALSE,"Stats"}</definedName>
    <definedName name="_n4" localSheetId="1" hidden="1">{"rfcjan",#N/A,FALSE,"Stats"}</definedName>
    <definedName name="_n4" localSheetId="2" hidden="1">{"rfcjan",#N/A,FALSE,"Stats"}</definedName>
    <definedName name="_n4" localSheetId="3" hidden="1">{"rfcjan",#N/A,FALSE,"Stats"}</definedName>
    <definedName name="_n4" hidden="1">{"rfcjan",#N/A,FALSE,"Stats"}</definedName>
    <definedName name="_n5" localSheetId="0" hidden="1">{"rfcjan",#N/A,FALSE,"Stats"}</definedName>
    <definedName name="_n5" localSheetId="1" hidden="1">{"rfcjan",#N/A,FALSE,"Stats"}</definedName>
    <definedName name="_n5" localSheetId="2" hidden="1">{"rfcjan",#N/A,FALSE,"Stats"}</definedName>
    <definedName name="_n5" localSheetId="3" hidden="1">{"rfcjan",#N/A,FALSE,"Stats"}</definedName>
    <definedName name="_n5" hidden="1">{"rfcjan",#N/A,FALSE,"Stats"}</definedName>
    <definedName name="_n6" localSheetId="0" hidden="1">{"JANRDET",#N/A,FALSE,"detail"}</definedName>
    <definedName name="_n6" localSheetId="1" hidden="1">{"JANRDET",#N/A,FALSE,"detail"}</definedName>
    <definedName name="_n6" localSheetId="2" hidden="1">{"JANRDET",#N/A,FALSE,"detail"}</definedName>
    <definedName name="_n6" localSheetId="3" hidden="1">{"JANRDET",#N/A,FALSE,"detail"}</definedName>
    <definedName name="_n6" hidden="1">{"JANRDET",#N/A,FALSE,"detail"}</definedName>
    <definedName name="_n7" localSheetId="0" hidden="1">{"JANRDET",#N/A,FALSE,"detail"}</definedName>
    <definedName name="_n7" localSheetId="1" hidden="1">{"JANRDET",#N/A,FALSE,"detail"}</definedName>
    <definedName name="_n7" localSheetId="2" hidden="1">{"JANRDET",#N/A,FALSE,"detail"}</definedName>
    <definedName name="_n7" localSheetId="3" hidden="1">{"JANRDET",#N/A,FALSE,"detail"}</definedName>
    <definedName name="_n7" hidden="1">{"JANRDET",#N/A,FALSE,"detail"}</definedName>
    <definedName name="_n8" localSheetId="0" hidden="1">{"testysht3",#N/A,FALSE,"Sheet3"}</definedName>
    <definedName name="_n8" localSheetId="1" hidden="1">{"testysht3",#N/A,FALSE,"Sheet3"}</definedName>
    <definedName name="_n8" localSheetId="2" hidden="1">{"testysht3",#N/A,FALSE,"Sheet3"}</definedName>
    <definedName name="_n8" localSheetId="3" hidden="1">{"testysht3",#N/A,FALSE,"Sheet3"}</definedName>
    <definedName name="_n8" hidden="1">{"testysht3",#N/A,FALSE,"Sheet3"}</definedName>
    <definedName name="_n9" localSheetId="0" hidden="1">{"testysht3",#N/A,FALSE,"Sheet3"}</definedName>
    <definedName name="_n9" localSheetId="1" hidden="1">{"testysht3",#N/A,FALSE,"Sheet3"}</definedName>
    <definedName name="_n9" localSheetId="2" hidden="1">{"testysht3",#N/A,FALSE,"Sheet3"}</definedName>
    <definedName name="_n9" localSheetId="3" hidden="1">{"testysht3",#N/A,FALSE,"Sheet3"}</definedName>
    <definedName name="_n9" hidden="1">{"testysht3",#N/A,FALSE,"Sheet3"}</definedName>
    <definedName name="_new1" localSheetId="0" hidden="1">{"rfcjan",#N/A,FALSE,"Stats"}</definedName>
    <definedName name="_new1" localSheetId="1" hidden="1">{"rfcjan",#N/A,FALSE,"Stats"}</definedName>
    <definedName name="_new1" localSheetId="2" hidden="1">{"rfcjan",#N/A,FALSE,"Stats"}</definedName>
    <definedName name="_new1" localSheetId="3" hidden="1">{"rfcjan",#N/A,FALSE,"Stats"}</definedName>
    <definedName name="_new1" hidden="1">{"rfcjan",#N/A,FALSE,"Stats"}</definedName>
    <definedName name="_new10" localSheetId="0" hidden="1">{"rfcjan",#N/A,FALSE,"Stats"}</definedName>
    <definedName name="_new10" localSheetId="1" hidden="1">{"rfcjan",#N/A,FALSE,"Stats"}</definedName>
    <definedName name="_new10" localSheetId="2" hidden="1">{"rfcjan",#N/A,FALSE,"Stats"}</definedName>
    <definedName name="_new10" localSheetId="3" hidden="1">{"rfcjan",#N/A,FALSE,"Stats"}</definedName>
    <definedName name="_new10" hidden="1">{"rfcjan",#N/A,FALSE,"Stats"}</definedName>
    <definedName name="_new11" localSheetId="0" hidden="1">{"rfcjan",#N/A,FALSE,"Stats"}</definedName>
    <definedName name="_new11" localSheetId="1" hidden="1">{"rfcjan",#N/A,FALSE,"Stats"}</definedName>
    <definedName name="_new11" localSheetId="2" hidden="1">{"rfcjan",#N/A,FALSE,"Stats"}</definedName>
    <definedName name="_new11" localSheetId="3" hidden="1">{"rfcjan",#N/A,FALSE,"Stats"}</definedName>
    <definedName name="_new11" hidden="1">{"rfcjan",#N/A,FALSE,"Stats"}</definedName>
    <definedName name="_new12" localSheetId="0" hidden="1">{"rfcjan",#N/A,FALSE,"Stats"}</definedName>
    <definedName name="_new12" localSheetId="1" hidden="1">{"rfcjan",#N/A,FALSE,"Stats"}</definedName>
    <definedName name="_new12" localSheetId="2" hidden="1">{"rfcjan",#N/A,FALSE,"Stats"}</definedName>
    <definedName name="_new12" localSheetId="3" hidden="1">{"rfcjan",#N/A,FALSE,"Stats"}</definedName>
    <definedName name="_new12" hidden="1">{"rfcjan",#N/A,FALSE,"Stats"}</definedName>
    <definedName name="_new13" localSheetId="0" hidden="1">{"rfcjan",#N/A,FALSE,"Stats"}</definedName>
    <definedName name="_new13" localSheetId="1" hidden="1">{"rfcjan",#N/A,FALSE,"Stats"}</definedName>
    <definedName name="_new13" localSheetId="2" hidden="1">{"rfcjan",#N/A,FALSE,"Stats"}</definedName>
    <definedName name="_new13" localSheetId="3" hidden="1">{"rfcjan",#N/A,FALSE,"Stats"}</definedName>
    <definedName name="_new13" hidden="1">{"rfcjan",#N/A,FALSE,"Stats"}</definedName>
    <definedName name="_new14" localSheetId="0" hidden="1">{"rfcjan",#N/A,FALSE,"Stats"}</definedName>
    <definedName name="_new14" localSheetId="1" hidden="1">{"rfcjan",#N/A,FALSE,"Stats"}</definedName>
    <definedName name="_new14" localSheetId="2" hidden="1">{"rfcjan",#N/A,FALSE,"Stats"}</definedName>
    <definedName name="_new14" localSheetId="3" hidden="1">{"rfcjan",#N/A,FALSE,"Stats"}</definedName>
    <definedName name="_new14" hidden="1">{"rfcjan",#N/A,FALSE,"Stats"}</definedName>
    <definedName name="_new15" localSheetId="0" hidden="1">{"rfcjan",#N/A,FALSE,"Stats"}</definedName>
    <definedName name="_new15" localSheetId="1" hidden="1">{"rfcjan",#N/A,FALSE,"Stats"}</definedName>
    <definedName name="_new15" localSheetId="2" hidden="1">{"rfcjan",#N/A,FALSE,"Stats"}</definedName>
    <definedName name="_new15" localSheetId="3" hidden="1">{"rfcjan",#N/A,FALSE,"Stats"}</definedName>
    <definedName name="_new15" hidden="1">{"rfcjan",#N/A,FALSE,"Stats"}</definedName>
    <definedName name="_new16" localSheetId="0" hidden="1">{"rfcjan",#N/A,FALSE,"Stats"}</definedName>
    <definedName name="_new16" localSheetId="1" hidden="1">{"rfcjan",#N/A,FALSE,"Stats"}</definedName>
    <definedName name="_new16" localSheetId="2" hidden="1">{"rfcjan",#N/A,FALSE,"Stats"}</definedName>
    <definedName name="_new16" localSheetId="3" hidden="1">{"rfcjan",#N/A,FALSE,"Stats"}</definedName>
    <definedName name="_new16" hidden="1">{"rfcjan",#N/A,FALSE,"Stats"}</definedName>
    <definedName name="_new17" localSheetId="0" hidden="1">{"rfcjan",#N/A,FALSE,"Stats"}</definedName>
    <definedName name="_new17" localSheetId="1" hidden="1">{"rfcjan",#N/A,FALSE,"Stats"}</definedName>
    <definedName name="_new17" localSheetId="2" hidden="1">{"rfcjan",#N/A,FALSE,"Stats"}</definedName>
    <definedName name="_new17" localSheetId="3" hidden="1">{"rfcjan",#N/A,FALSE,"Stats"}</definedName>
    <definedName name="_new17" hidden="1">{"rfcjan",#N/A,FALSE,"Stats"}</definedName>
    <definedName name="_new18" localSheetId="0" hidden="1">{"rfcjan",#N/A,FALSE,"Stats"}</definedName>
    <definedName name="_new18" localSheetId="1" hidden="1">{"rfcjan",#N/A,FALSE,"Stats"}</definedName>
    <definedName name="_new18" localSheetId="2" hidden="1">{"rfcjan",#N/A,FALSE,"Stats"}</definedName>
    <definedName name="_new18" localSheetId="3" hidden="1">{"rfcjan",#N/A,FALSE,"Stats"}</definedName>
    <definedName name="_new18" hidden="1">{"rfcjan",#N/A,FALSE,"Stats"}</definedName>
    <definedName name="_new19" localSheetId="0" hidden="1">{"rfcjan",#N/A,FALSE,"Stats"}</definedName>
    <definedName name="_new19" localSheetId="1" hidden="1">{"rfcjan",#N/A,FALSE,"Stats"}</definedName>
    <definedName name="_new19" localSheetId="2" hidden="1">{"rfcjan",#N/A,FALSE,"Stats"}</definedName>
    <definedName name="_new19" localSheetId="3" hidden="1">{"rfcjan",#N/A,FALSE,"Stats"}</definedName>
    <definedName name="_new19" hidden="1">{"rfcjan",#N/A,FALSE,"Stats"}</definedName>
    <definedName name="_new2" localSheetId="0" hidden="1">{"testysht3",#N/A,FALSE,"Sheet3"}</definedName>
    <definedName name="_new2" localSheetId="1" hidden="1">{"testysht3",#N/A,FALSE,"Sheet3"}</definedName>
    <definedName name="_new2" localSheetId="2" hidden="1">{"testysht3",#N/A,FALSE,"Sheet3"}</definedName>
    <definedName name="_new2" localSheetId="3" hidden="1">{"testysht3",#N/A,FALSE,"Sheet3"}</definedName>
    <definedName name="_new2" hidden="1">{"testysht3",#N/A,FALSE,"Sheet3"}</definedName>
    <definedName name="_new20" localSheetId="0" hidden="1">{"rfcjan",#N/A,FALSE,"Stats"}</definedName>
    <definedName name="_new20" localSheetId="1" hidden="1">{"rfcjan",#N/A,FALSE,"Stats"}</definedName>
    <definedName name="_new20" localSheetId="2" hidden="1">{"rfcjan",#N/A,FALSE,"Stats"}</definedName>
    <definedName name="_new20" localSheetId="3" hidden="1">{"rfcjan",#N/A,FALSE,"Stats"}</definedName>
    <definedName name="_new20" hidden="1">{"rfcjan",#N/A,FALSE,"Stats"}</definedName>
    <definedName name="_new21" localSheetId="0" hidden="1">{"rfcjan",#N/A,FALSE,"Stats"}</definedName>
    <definedName name="_new21" localSheetId="1" hidden="1">{"rfcjan",#N/A,FALSE,"Stats"}</definedName>
    <definedName name="_new21" localSheetId="2" hidden="1">{"rfcjan",#N/A,FALSE,"Stats"}</definedName>
    <definedName name="_new21" localSheetId="3" hidden="1">{"rfcjan",#N/A,FALSE,"Stats"}</definedName>
    <definedName name="_new21" hidden="1">{"rfcjan",#N/A,FALSE,"Stats"}</definedName>
    <definedName name="_new3" localSheetId="0" hidden="1">{"rfcjan",#N/A,FALSE,"Stats"}</definedName>
    <definedName name="_new3" localSheetId="1" hidden="1">{"rfcjan",#N/A,FALSE,"Stats"}</definedName>
    <definedName name="_new3" localSheetId="2" hidden="1">{"rfcjan",#N/A,FALSE,"Stats"}</definedName>
    <definedName name="_new3" localSheetId="3" hidden="1">{"rfcjan",#N/A,FALSE,"Stats"}</definedName>
    <definedName name="_new3" hidden="1">{"rfcjan",#N/A,FALSE,"Stats"}</definedName>
    <definedName name="_new4" localSheetId="0" hidden="1">{"JANRDET",#N/A,FALSE,"detail"}</definedName>
    <definedName name="_new4" localSheetId="1" hidden="1">{"JANRDET",#N/A,FALSE,"detail"}</definedName>
    <definedName name="_new4" localSheetId="2" hidden="1">{"JANRDET",#N/A,FALSE,"detail"}</definedName>
    <definedName name="_new4" localSheetId="3" hidden="1">{"JANRDET",#N/A,FALSE,"detail"}</definedName>
    <definedName name="_new4" hidden="1">{"JANRDET",#N/A,FALSE,"detail"}</definedName>
    <definedName name="_new5" localSheetId="0" hidden="1">{"rfcjan",#N/A,FALSE,"Stats"}</definedName>
    <definedName name="_new5" localSheetId="1" hidden="1">{"rfcjan",#N/A,FALSE,"Stats"}</definedName>
    <definedName name="_new5" localSheetId="2" hidden="1">{"rfcjan",#N/A,FALSE,"Stats"}</definedName>
    <definedName name="_new5" localSheetId="3" hidden="1">{"rfcjan",#N/A,FALSE,"Stats"}</definedName>
    <definedName name="_new5" hidden="1">{"rfcjan",#N/A,FALSE,"Stats"}</definedName>
    <definedName name="_new7" localSheetId="0" hidden="1">{"rfcjan",#N/A,FALSE,"Stats"}</definedName>
    <definedName name="_new7" localSheetId="1" hidden="1">{"rfcjan",#N/A,FALSE,"Stats"}</definedName>
    <definedName name="_new7" localSheetId="2" hidden="1">{"rfcjan",#N/A,FALSE,"Stats"}</definedName>
    <definedName name="_new7" localSheetId="3" hidden="1">{"rfcjan",#N/A,FALSE,"Stats"}</definedName>
    <definedName name="_new7" hidden="1">{"rfcjan",#N/A,FALSE,"Stats"}</definedName>
    <definedName name="_new8" localSheetId="0" hidden="1">{"rfcjan",#N/A,FALSE,"Stats"}</definedName>
    <definedName name="_new8" localSheetId="1" hidden="1">{"rfcjan",#N/A,FALSE,"Stats"}</definedName>
    <definedName name="_new8" localSheetId="2" hidden="1">{"rfcjan",#N/A,FALSE,"Stats"}</definedName>
    <definedName name="_new8" localSheetId="3" hidden="1">{"rfcjan",#N/A,FALSE,"Stats"}</definedName>
    <definedName name="_new8" hidden="1">{"rfcjan",#N/A,FALSE,"Stats"}</definedName>
    <definedName name="_new9" localSheetId="0" hidden="1">{"rfcjan",#N/A,FALSE,"Stats"}</definedName>
    <definedName name="_new9" localSheetId="1" hidden="1">{"rfcjan",#N/A,FALSE,"Stats"}</definedName>
    <definedName name="_new9" localSheetId="2" hidden="1">{"rfcjan",#N/A,FALSE,"Stats"}</definedName>
    <definedName name="_new9" localSheetId="3" hidden="1">{"rfcjan",#N/A,FALSE,"Stats"}</definedName>
    <definedName name="_new9" hidden="1">{"rfcjan",#N/A,FALSE,"Stats"}</definedName>
    <definedName name="_nn1" localSheetId="0" hidden="1">{"JANRDET",#N/A,FALSE,"detail"}</definedName>
    <definedName name="_nn1" localSheetId="1" hidden="1">{"JANRDET",#N/A,FALSE,"detail"}</definedName>
    <definedName name="_nn1" localSheetId="2" hidden="1">{"JANRDET",#N/A,FALSE,"detail"}</definedName>
    <definedName name="_nn1" localSheetId="3" hidden="1">{"JANRDET",#N/A,FALSE,"detail"}</definedName>
    <definedName name="_nn1" hidden="1">{"JANRDET",#N/A,FALSE,"detail"}</definedName>
    <definedName name="_nn2" localSheetId="0" hidden="1">{"testysht3",#N/A,FALSE,"Sheet3"}</definedName>
    <definedName name="_nn2" localSheetId="1" hidden="1">{"testysht3",#N/A,FALSE,"Sheet3"}</definedName>
    <definedName name="_nn2" localSheetId="2" hidden="1">{"testysht3",#N/A,FALSE,"Sheet3"}</definedName>
    <definedName name="_nn2" localSheetId="3" hidden="1">{"testysht3",#N/A,FALSE,"Sheet3"}</definedName>
    <definedName name="_nn2" hidden="1">{"testysht3",#N/A,FALSE,"Sheet3"}</definedName>
    <definedName name="_nn3" localSheetId="0" hidden="1">{"testysht3",#N/A,FALSE,"Sheet3"}</definedName>
    <definedName name="_nn3" localSheetId="1" hidden="1">{"testysht3",#N/A,FALSE,"Sheet3"}</definedName>
    <definedName name="_nn3" localSheetId="2" hidden="1">{"testysht3",#N/A,FALSE,"Sheet3"}</definedName>
    <definedName name="_nn3" localSheetId="3" hidden="1">{"testysht3",#N/A,FALSE,"Sheet3"}</definedName>
    <definedName name="_nn3" hidden="1">{"testysht3",#N/A,FALSE,"Sheet3"}</definedName>
    <definedName name="_nn4" localSheetId="0" hidden="1">{"rfcjan",#N/A,FALSE,"Stats"}</definedName>
    <definedName name="_nn4" localSheetId="1" hidden="1">{"rfcjan",#N/A,FALSE,"Stats"}</definedName>
    <definedName name="_nn4" localSheetId="2" hidden="1">{"rfcjan",#N/A,FALSE,"Stats"}</definedName>
    <definedName name="_nn4" localSheetId="3" hidden="1">{"rfcjan",#N/A,FALSE,"Stats"}</definedName>
    <definedName name="_nn4" hidden="1">{"rfcjan",#N/A,FALSE,"Stats"}</definedName>
    <definedName name="_nn5" localSheetId="0" hidden="1">{"rfcjan",#N/A,FALSE,"Stats"}</definedName>
    <definedName name="_nn5" localSheetId="1" hidden="1">{"rfcjan",#N/A,FALSE,"Stats"}</definedName>
    <definedName name="_nn5" localSheetId="2" hidden="1">{"rfcjan",#N/A,FALSE,"Stats"}</definedName>
    <definedName name="_nn5" localSheetId="3" hidden="1">{"rfcjan",#N/A,FALSE,"Stats"}</definedName>
    <definedName name="_nn5" hidden="1">{"rfcjan",#N/A,FALSE,"Stats"}</definedName>
    <definedName name="_nn6" localSheetId="0" hidden="1">{"testysht3",#N/A,FALSE,"Sheet3"}</definedName>
    <definedName name="_nn6" localSheetId="1" hidden="1">{"testysht3",#N/A,FALSE,"Sheet3"}</definedName>
    <definedName name="_nn6" localSheetId="2" hidden="1">{"testysht3",#N/A,FALSE,"Sheet3"}</definedName>
    <definedName name="_nn6" localSheetId="3" hidden="1">{"testysht3",#N/A,FALSE,"Sheet3"}</definedName>
    <definedName name="_nn6" hidden="1">{"testysht3",#N/A,FALSE,"Sheet3"}</definedName>
    <definedName name="_nn7" localSheetId="0" hidden="1">{"testysht3",#N/A,FALSE,"Sheet3"}</definedName>
    <definedName name="_nn7" localSheetId="1" hidden="1">{"testysht3",#N/A,FALSE,"Sheet3"}</definedName>
    <definedName name="_nn7" localSheetId="2" hidden="1">{"testysht3",#N/A,FALSE,"Sheet3"}</definedName>
    <definedName name="_nn7" localSheetId="3" hidden="1">{"testysht3",#N/A,FALSE,"Sheet3"}</definedName>
    <definedName name="_nn7" hidden="1">{"testysht3",#N/A,FALSE,"Sheet3"}</definedName>
    <definedName name="_nn8" localSheetId="0" hidden="1">{"JANRDET",#N/A,FALSE,"detail"}</definedName>
    <definedName name="_nn8" localSheetId="1" hidden="1">{"JANRDET",#N/A,FALSE,"detail"}</definedName>
    <definedName name="_nn8" localSheetId="2" hidden="1">{"JANRDET",#N/A,FALSE,"detail"}</definedName>
    <definedName name="_nn8" localSheetId="3" hidden="1">{"JANRDET",#N/A,FALSE,"detail"}</definedName>
    <definedName name="_nn8" hidden="1">{"JANRDET",#N/A,FALSE,"detail"}</definedName>
    <definedName name="_nn9" localSheetId="0" hidden="1">{"JANRDET",#N/A,FALSE,"detail"}</definedName>
    <definedName name="_nn9" localSheetId="1" hidden="1">{"JANRDET",#N/A,FALSE,"detail"}</definedName>
    <definedName name="_nn9" localSheetId="2" hidden="1">{"JANRDET",#N/A,FALSE,"detail"}</definedName>
    <definedName name="_nn9" localSheetId="3" hidden="1">{"JANRDET",#N/A,FALSE,"detail"}</definedName>
    <definedName name="_nn9" hidden="1">{"JANRDET",#N/A,FALSE,"detail"}</definedName>
    <definedName name="_nnn1" localSheetId="0" hidden="1">{"JANRDET",#N/A,FALSE,"detail"}</definedName>
    <definedName name="_nnn1" localSheetId="1" hidden="1">{"JANRDET",#N/A,FALSE,"detail"}</definedName>
    <definedName name="_nnn1" localSheetId="2" hidden="1">{"JANRDET",#N/A,FALSE,"detail"}</definedName>
    <definedName name="_nnn1" localSheetId="3" hidden="1">{"JANRDET",#N/A,FALSE,"detail"}</definedName>
    <definedName name="_nnn1" hidden="1">{"JANRDET",#N/A,FALSE,"detail"}</definedName>
    <definedName name="_nnn10" localSheetId="0" hidden="1">{"JANRDET",#N/A,FALSE,"detail"}</definedName>
    <definedName name="_nnn10" localSheetId="1" hidden="1">{"JANRDET",#N/A,FALSE,"detail"}</definedName>
    <definedName name="_nnn10" localSheetId="2" hidden="1">{"JANRDET",#N/A,FALSE,"detail"}</definedName>
    <definedName name="_nnn10" localSheetId="3" hidden="1">{"JANRDET",#N/A,FALSE,"detail"}</definedName>
    <definedName name="_nnn10" hidden="1">{"JANRDET",#N/A,FALSE,"detail"}</definedName>
    <definedName name="_nnn11" localSheetId="0" hidden="1">{"JANRDET",#N/A,FALSE,"detail"}</definedName>
    <definedName name="_nnn11" localSheetId="1" hidden="1">{"JANRDET",#N/A,FALSE,"detail"}</definedName>
    <definedName name="_nnn11" localSheetId="2" hidden="1">{"JANRDET",#N/A,FALSE,"detail"}</definedName>
    <definedName name="_nnn11" localSheetId="3" hidden="1">{"JANRDET",#N/A,FALSE,"detail"}</definedName>
    <definedName name="_nnn11" hidden="1">{"JANRDET",#N/A,FALSE,"detail"}</definedName>
    <definedName name="_nnn13" localSheetId="0" hidden="1">{"testysht3",#N/A,FALSE,"Sheet3"}</definedName>
    <definedName name="_nnn13" localSheetId="1" hidden="1">{"testysht3",#N/A,FALSE,"Sheet3"}</definedName>
    <definedName name="_nnn13" localSheetId="2" hidden="1">{"testysht3",#N/A,FALSE,"Sheet3"}</definedName>
    <definedName name="_nnn13" localSheetId="3" hidden="1">{"testysht3",#N/A,FALSE,"Sheet3"}</definedName>
    <definedName name="_nnn13" hidden="1">{"testysht3",#N/A,FALSE,"Sheet3"}</definedName>
    <definedName name="_nnn14" localSheetId="0" hidden="1">{"testysht3",#N/A,FALSE,"Sheet3"}</definedName>
    <definedName name="_nnn14" localSheetId="1" hidden="1">{"testysht3",#N/A,FALSE,"Sheet3"}</definedName>
    <definedName name="_nnn14" localSheetId="2" hidden="1">{"testysht3",#N/A,FALSE,"Sheet3"}</definedName>
    <definedName name="_nnn14" localSheetId="3" hidden="1">{"testysht3",#N/A,FALSE,"Sheet3"}</definedName>
    <definedName name="_nnn14" hidden="1">{"testysht3",#N/A,FALSE,"Sheet3"}</definedName>
    <definedName name="_nnn15" localSheetId="0" hidden="1">{"testysht3",#N/A,FALSE,"Sheet3"}</definedName>
    <definedName name="_nnn15" localSheetId="1" hidden="1">{"testysht3",#N/A,FALSE,"Sheet3"}</definedName>
    <definedName name="_nnn15" localSheetId="2" hidden="1">{"testysht3",#N/A,FALSE,"Sheet3"}</definedName>
    <definedName name="_nnn15" localSheetId="3" hidden="1">{"testysht3",#N/A,FALSE,"Sheet3"}</definedName>
    <definedName name="_nnn15" hidden="1">{"testysht3",#N/A,FALSE,"Sheet3"}</definedName>
    <definedName name="_nnn16" localSheetId="0" hidden="1">{"testysht3",#N/A,FALSE,"Sheet3"}</definedName>
    <definedName name="_nnn16" localSheetId="1" hidden="1">{"testysht3",#N/A,FALSE,"Sheet3"}</definedName>
    <definedName name="_nnn16" localSheetId="2" hidden="1">{"testysht3",#N/A,FALSE,"Sheet3"}</definedName>
    <definedName name="_nnn16" localSheetId="3" hidden="1">{"testysht3",#N/A,FALSE,"Sheet3"}</definedName>
    <definedName name="_nnn16" hidden="1">{"testysht3",#N/A,FALSE,"Sheet3"}</definedName>
    <definedName name="_nnn17" localSheetId="0" hidden="1">{"testysht3",#N/A,FALSE,"Sheet3"}</definedName>
    <definedName name="_nnn17" localSheetId="1" hidden="1">{"testysht3",#N/A,FALSE,"Sheet3"}</definedName>
    <definedName name="_nnn17" localSheetId="2" hidden="1">{"testysht3",#N/A,FALSE,"Sheet3"}</definedName>
    <definedName name="_nnn17" localSheetId="3" hidden="1">{"testysht3",#N/A,FALSE,"Sheet3"}</definedName>
    <definedName name="_nnn17" hidden="1">{"testysht3",#N/A,FALSE,"Sheet3"}</definedName>
    <definedName name="_nnn18" localSheetId="0" hidden="1">{"JANRDET",#N/A,FALSE,"detail"}</definedName>
    <definedName name="_nnn18" localSheetId="1" hidden="1">{"JANRDET",#N/A,FALSE,"detail"}</definedName>
    <definedName name="_nnn18" localSheetId="2" hidden="1">{"JANRDET",#N/A,FALSE,"detail"}</definedName>
    <definedName name="_nnn18" localSheetId="3" hidden="1">{"JANRDET",#N/A,FALSE,"detail"}</definedName>
    <definedName name="_nnn18" hidden="1">{"JANRDET",#N/A,FALSE,"detail"}</definedName>
    <definedName name="_nnn2" localSheetId="0" hidden="1">{"JANRDET",#N/A,FALSE,"detail"}</definedName>
    <definedName name="_nnn2" localSheetId="1" hidden="1">{"JANRDET",#N/A,FALSE,"detail"}</definedName>
    <definedName name="_nnn2" localSheetId="2" hidden="1">{"JANRDET",#N/A,FALSE,"detail"}</definedName>
    <definedName name="_nnn2" localSheetId="3" hidden="1">{"JANRDET",#N/A,FALSE,"detail"}</definedName>
    <definedName name="_nnn2" hidden="1">{"JANRDET",#N/A,FALSE,"detail"}</definedName>
    <definedName name="_nnn3" localSheetId="0" hidden="1">{"rfcjan",#N/A,FALSE,"Stats"}</definedName>
    <definedName name="_nnn3" localSheetId="1" hidden="1">{"rfcjan",#N/A,FALSE,"Stats"}</definedName>
    <definedName name="_nnn3" localSheetId="2" hidden="1">{"rfcjan",#N/A,FALSE,"Stats"}</definedName>
    <definedName name="_nnn3" localSheetId="3" hidden="1">{"rfcjan",#N/A,FALSE,"Stats"}</definedName>
    <definedName name="_nnn3" hidden="1">{"rfcjan",#N/A,FALSE,"Stats"}</definedName>
    <definedName name="_nnn4" localSheetId="0" hidden="1">{"rfcjan",#N/A,FALSE,"Stats"}</definedName>
    <definedName name="_nnn4" localSheetId="1" hidden="1">{"rfcjan",#N/A,FALSE,"Stats"}</definedName>
    <definedName name="_nnn4" localSheetId="2" hidden="1">{"rfcjan",#N/A,FALSE,"Stats"}</definedName>
    <definedName name="_nnn4" localSheetId="3" hidden="1">{"rfcjan",#N/A,FALSE,"Stats"}</definedName>
    <definedName name="_nnn4" hidden="1">{"rfcjan",#N/A,FALSE,"Stats"}</definedName>
    <definedName name="_nnn5" localSheetId="0" hidden="1">{"rfcjan",#N/A,FALSE,"Stats"}</definedName>
    <definedName name="_nnn5" localSheetId="1" hidden="1">{"rfcjan",#N/A,FALSE,"Stats"}</definedName>
    <definedName name="_nnn5" localSheetId="2" hidden="1">{"rfcjan",#N/A,FALSE,"Stats"}</definedName>
    <definedName name="_nnn5" localSheetId="3" hidden="1">{"rfcjan",#N/A,FALSE,"Stats"}</definedName>
    <definedName name="_nnn5" hidden="1">{"rfcjan",#N/A,FALSE,"Stats"}</definedName>
    <definedName name="_nnn6" localSheetId="0" hidden="1">{"rfcjan",#N/A,FALSE,"Stats"}</definedName>
    <definedName name="_nnn6" localSheetId="1" hidden="1">{"rfcjan",#N/A,FALSE,"Stats"}</definedName>
    <definedName name="_nnn6" localSheetId="2" hidden="1">{"rfcjan",#N/A,FALSE,"Stats"}</definedName>
    <definedName name="_nnn6" localSheetId="3" hidden="1">{"rfcjan",#N/A,FALSE,"Stats"}</definedName>
    <definedName name="_nnn6" hidden="1">{"rfcjan",#N/A,FALSE,"Stats"}</definedName>
    <definedName name="_nnn7" localSheetId="0" hidden="1">{"JANRDET",#N/A,FALSE,"detail"}</definedName>
    <definedName name="_nnn7" localSheetId="1" hidden="1">{"JANRDET",#N/A,FALSE,"detail"}</definedName>
    <definedName name="_nnn7" localSheetId="2" hidden="1">{"JANRDET",#N/A,FALSE,"detail"}</definedName>
    <definedName name="_nnn7" localSheetId="3" hidden="1">{"JANRDET",#N/A,FALSE,"detail"}</definedName>
    <definedName name="_nnn7" hidden="1">{"JANRDET",#N/A,FALSE,"detail"}</definedName>
    <definedName name="_nnn8" localSheetId="0" hidden="1">{"JANRDET",#N/A,FALSE,"detail"}</definedName>
    <definedName name="_nnn8" localSheetId="1" hidden="1">{"JANRDET",#N/A,FALSE,"detail"}</definedName>
    <definedName name="_nnn8" localSheetId="2" hidden="1">{"JANRDET",#N/A,FALSE,"detail"}</definedName>
    <definedName name="_nnn8" localSheetId="3" hidden="1">{"JANRDET",#N/A,FALSE,"detail"}</definedName>
    <definedName name="_nnn8" hidden="1">{"JANRDET",#N/A,FALSE,"detail"}</definedName>
    <definedName name="_nnn9" localSheetId="0" hidden="1">{"JANRDET",#N/A,FALSE,"detail"}</definedName>
    <definedName name="_nnn9" localSheetId="1" hidden="1">{"JANRDET",#N/A,FALSE,"detail"}</definedName>
    <definedName name="_nnn9" localSheetId="2" hidden="1">{"JANRDET",#N/A,FALSE,"detail"}</definedName>
    <definedName name="_nnn9" localSheetId="3" hidden="1">{"JANRDET",#N/A,FALSE,"detail"}</definedName>
    <definedName name="_nnn9" hidden="1">{"JANRDET",#N/A,FALSE,"detail"}</definedName>
    <definedName name="_Order1" hidden="1">255</definedName>
    <definedName name="_Order2" hidden="1">255</definedName>
    <definedName name="_q1" localSheetId="0" hidden="1">{"rfcjan",#N/A,FALSE,"Stats"}</definedName>
    <definedName name="_q1" localSheetId="1" hidden="1">{"rfcjan",#N/A,FALSE,"Stats"}</definedName>
    <definedName name="_q1" localSheetId="2" hidden="1">{"rfcjan",#N/A,FALSE,"Stats"}</definedName>
    <definedName name="_q1" localSheetId="3" hidden="1">{"rfcjan",#N/A,FALSE,"Stats"}</definedName>
    <definedName name="_q1" hidden="1">{"rfcjan",#N/A,FALSE,"Stats"}</definedName>
    <definedName name="_q2" localSheetId="0" hidden="1">{"rfcjan",#N/A,FALSE,"Stats"}</definedName>
    <definedName name="_q2" localSheetId="1" hidden="1">{"rfcjan",#N/A,FALSE,"Stats"}</definedName>
    <definedName name="_q2" localSheetId="2" hidden="1">{"rfcjan",#N/A,FALSE,"Stats"}</definedName>
    <definedName name="_q2" localSheetId="3" hidden="1">{"rfcjan",#N/A,FALSE,"Stats"}</definedName>
    <definedName name="_q2" hidden="1">{"rfcjan",#N/A,FALSE,"Stats"}</definedName>
    <definedName name="_q3" localSheetId="0" hidden="1">{"rfcjan",#N/A,FALSE,"Stats"}</definedName>
    <definedName name="_q3" localSheetId="1" hidden="1">{"rfcjan",#N/A,FALSE,"Stats"}</definedName>
    <definedName name="_q3" localSheetId="2" hidden="1">{"rfcjan",#N/A,FALSE,"Stats"}</definedName>
    <definedName name="_q3" localSheetId="3" hidden="1">{"rfcjan",#N/A,FALSE,"Stats"}</definedName>
    <definedName name="_q3" hidden="1">{"rfcjan",#N/A,FALSE,"Stats"}</definedName>
    <definedName name="_qtr1" localSheetId="0" hidden="1">{"rfcjan",#N/A,FALSE,"Stats"}</definedName>
    <definedName name="_qtr1" localSheetId="1" hidden="1">{"rfcjan",#N/A,FALSE,"Stats"}</definedName>
    <definedName name="_qtr1" localSheetId="2" hidden="1">{"rfcjan",#N/A,FALSE,"Stats"}</definedName>
    <definedName name="_qtr1" localSheetId="3" hidden="1">{"rfcjan",#N/A,FALSE,"Stats"}</definedName>
    <definedName name="_qtr1" hidden="1">{"rfcjan",#N/A,FALSE,"Stats"}</definedName>
    <definedName name="_qtr3" localSheetId="0" hidden="1">{"rfcjan",#N/A,FALSE,"Stats"}</definedName>
    <definedName name="_qtr3" localSheetId="1" hidden="1">{"rfcjan",#N/A,FALSE,"Stats"}</definedName>
    <definedName name="_qtr3" localSheetId="2" hidden="1">{"rfcjan",#N/A,FALSE,"Stats"}</definedName>
    <definedName name="_qtr3" localSheetId="3" hidden="1">{"rfcjan",#N/A,FALSE,"Stats"}</definedName>
    <definedName name="_qtr3" hidden="1">{"rfcjan",#N/A,FALSE,"Stats"}</definedName>
    <definedName name="_qu1" localSheetId="0" hidden="1">{0,#N/A,FALSE,0}</definedName>
    <definedName name="_qu1" localSheetId="1" hidden="1">{0,#N/A,FALSE,0}</definedName>
    <definedName name="_qu1" localSheetId="2" hidden="1">{0,#N/A,FALSE,0}</definedName>
    <definedName name="_qu1" localSheetId="3" hidden="1">{0,#N/A,FALSE,0}</definedName>
    <definedName name="_qu1" hidden="1">{0,#N/A,FALSE,0}</definedName>
    <definedName name="_qu6" localSheetId="0" hidden="1">{0,#N/A,FALSE,0}</definedName>
    <definedName name="_qu6" localSheetId="1" hidden="1">{0,#N/A,FALSE,0}</definedName>
    <definedName name="_qu6" localSheetId="2" hidden="1">{0,#N/A,FALSE,0}</definedName>
    <definedName name="_qu6" localSheetId="3" hidden="1">{0,#N/A,FALSE,0}</definedName>
    <definedName name="_qu6" hidden="1">{0,#N/A,FALSE,0}</definedName>
    <definedName name="_Sort" hidden="1">#REF!</definedName>
    <definedName name="_Table1_In1" hidden="1">'[1]Soft Cap to FA'!#REF!</definedName>
    <definedName name="_Table1_Out" hidden="1">#REF!</definedName>
    <definedName name="_Table2_In2" hidden="1">'[2]Roll Call'!#REF!</definedName>
    <definedName name="_Table2_Out" hidden="1">#REF!</definedName>
    <definedName name="_tmp3" localSheetId="0" hidden="1">{"rfcjan",#N/A,FALSE,"Stats"}</definedName>
    <definedName name="_tmp3" localSheetId="1" hidden="1">{"rfcjan",#N/A,FALSE,"Stats"}</definedName>
    <definedName name="_tmp3" localSheetId="2" hidden="1">{"rfcjan",#N/A,FALSE,"Stats"}</definedName>
    <definedName name="_tmp3" localSheetId="3" hidden="1">{"rfcjan",#N/A,FALSE,"Stats"}</definedName>
    <definedName name="_tmp3" hidden="1">{"rfcjan",#N/A,FALSE,"Stats"}</definedName>
    <definedName name="_wrb2" localSheetId="0" hidden="1">{"rfcjan",#N/A,FALSE,"Stats"}</definedName>
    <definedName name="_wrb2" localSheetId="1" hidden="1">{"rfcjan",#N/A,FALSE,"Stats"}</definedName>
    <definedName name="_wrb2" localSheetId="2" hidden="1">{"rfcjan",#N/A,FALSE,"Stats"}</definedName>
    <definedName name="_wrb2" localSheetId="3" hidden="1">{"rfcjan",#N/A,FALSE,"Stats"}</definedName>
    <definedName name="_wrb2" hidden="1">{"rfcjan",#N/A,FALSE,"Stats"}</definedName>
    <definedName name="_wrn1" localSheetId="0" hidden="1">{"rfcjan",#N/A,FALSE,"Stats"}</definedName>
    <definedName name="_wrn1" localSheetId="1" hidden="1">{"rfcjan",#N/A,FALSE,"Stats"}</definedName>
    <definedName name="_wrn1" localSheetId="2" hidden="1">{"rfcjan",#N/A,FALSE,"Stats"}</definedName>
    <definedName name="_wrn1" localSheetId="3" hidden="1">{"rfcjan",#N/A,FALSE,"Stats"}</definedName>
    <definedName name="_wrn1" hidden="1">{"rfcjan",#N/A,FALSE,"Stats"}</definedName>
    <definedName name="_wrn10" localSheetId="0" hidden="1">{"rfcjan",#N/A,FALSE,"Stats"}</definedName>
    <definedName name="_wrn10" localSheetId="1" hidden="1">{"rfcjan",#N/A,FALSE,"Stats"}</definedName>
    <definedName name="_wrn10" localSheetId="2" hidden="1">{"rfcjan",#N/A,FALSE,"Stats"}</definedName>
    <definedName name="_wrn10" localSheetId="3" hidden="1">{"rfcjan",#N/A,FALSE,"Stats"}</definedName>
    <definedName name="_wrn10" hidden="1">{"rfcjan",#N/A,FALSE,"Stats"}</definedName>
    <definedName name="_wrn11" localSheetId="0" hidden="1">{"JANRDET",#N/A,FALSE,"detail"}</definedName>
    <definedName name="_wrn11" localSheetId="1" hidden="1">{"JANRDET",#N/A,FALSE,"detail"}</definedName>
    <definedName name="_wrn11" localSheetId="2" hidden="1">{"JANRDET",#N/A,FALSE,"detail"}</definedName>
    <definedName name="_wrn11" localSheetId="3" hidden="1">{"JANRDET",#N/A,FALSE,"detail"}</definedName>
    <definedName name="_wrn11" hidden="1">{"JANRDET",#N/A,FALSE,"detail"}</definedName>
    <definedName name="_wrn12" localSheetId="0" hidden="1">{"testysht3",#N/A,FALSE,"Sheet3"}</definedName>
    <definedName name="_wrn12" localSheetId="1" hidden="1">{"testysht3",#N/A,FALSE,"Sheet3"}</definedName>
    <definedName name="_wrn12" localSheetId="2" hidden="1">{"testysht3",#N/A,FALSE,"Sheet3"}</definedName>
    <definedName name="_wrn12" localSheetId="3" hidden="1">{"testysht3",#N/A,FALSE,"Sheet3"}</definedName>
    <definedName name="_wrn12" hidden="1">{"testysht3",#N/A,FALSE,"Sheet3"}</definedName>
    <definedName name="_wrn14" localSheetId="0" hidden="1">{"rfcjan",#N/A,FALSE,"Stats"}</definedName>
    <definedName name="_wrn14" localSheetId="1" hidden="1">{"rfcjan",#N/A,FALSE,"Stats"}</definedName>
    <definedName name="_wrn14" localSheetId="2" hidden="1">{"rfcjan",#N/A,FALSE,"Stats"}</definedName>
    <definedName name="_wrn14" localSheetId="3" hidden="1">{"rfcjan",#N/A,FALSE,"Stats"}</definedName>
    <definedName name="_wrn14" hidden="1">{"rfcjan",#N/A,FALSE,"Stats"}</definedName>
    <definedName name="_wrn15" localSheetId="0" hidden="1">{"JANRDET",#N/A,FALSE,"detail"}</definedName>
    <definedName name="_wrn15" localSheetId="1" hidden="1">{"JANRDET",#N/A,FALSE,"detail"}</definedName>
    <definedName name="_wrn15" localSheetId="2" hidden="1">{"JANRDET",#N/A,FALSE,"detail"}</definedName>
    <definedName name="_wrn15" localSheetId="3" hidden="1">{"JANRDET",#N/A,FALSE,"detail"}</definedName>
    <definedName name="_wrn15" hidden="1">{"JANRDET",#N/A,FALSE,"detail"}</definedName>
    <definedName name="_wrn16" localSheetId="0" hidden="1">{"testysht3",#N/A,FALSE,"Sheet3"}</definedName>
    <definedName name="_wrn16" localSheetId="1" hidden="1">{"testysht3",#N/A,FALSE,"Sheet3"}</definedName>
    <definedName name="_wrn16" localSheetId="2" hidden="1">{"testysht3",#N/A,FALSE,"Sheet3"}</definedName>
    <definedName name="_wrn16" localSheetId="3" hidden="1">{"testysht3",#N/A,FALSE,"Sheet3"}</definedName>
    <definedName name="_wrn16" hidden="1">{"testysht3",#N/A,FALSE,"Sheet3"}</definedName>
    <definedName name="_wrn2" localSheetId="0" hidden="1">{"rfcjan",#N/A,FALSE,"Stats"}</definedName>
    <definedName name="_wrn2" localSheetId="1" hidden="1">{"rfcjan",#N/A,FALSE,"Stats"}</definedName>
    <definedName name="_wrn2" localSheetId="2" hidden="1">{"rfcjan",#N/A,FALSE,"Stats"}</definedName>
    <definedName name="_wrn2" localSheetId="3" hidden="1">{"rfcjan",#N/A,FALSE,"Stats"}</definedName>
    <definedName name="_wrn2" hidden="1">{"rfcjan",#N/A,FALSE,"Stats"}</definedName>
    <definedName name="_wrn20" localSheetId="0" hidden="1">{"rfcjan",#N/A,FALSE,"Stats"}</definedName>
    <definedName name="_wrn20" localSheetId="1" hidden="1">{"rfcjan",#N/A,FALSE,"Stats"}</definedName>
    <definedName name="_wrn20" localSheetId="2" hidden="1">{"rfcjan",#N/A,FALSE,"Stats"}</definedName>
    <definedName name="_wrn20" localSheetId="3" hidden="1">{"rfcjan",#N/A,FALSE,"Stats"}</definedName>
    <definedName name="_wrn20" hidden="1">{"rfcjan",#N/A,FALSE,"Stats"}</definedName>
    <definedName name="_wrn21" localSheetId="0" hidden="1">{"JANRDET",#N/A,FALSE,"detail"}</definedName>
    <definedName name="_wrn21" localSheetId="1" hidden="1">{"JANRDET",#N/A,FALSE,"detail"}</definedName>
    <definedName name="_wrn21" localSheetId="2" hidden="1">{"JANRDET",#N/A,FALSE,"detail"}</definedName>
    <definedName name="_wrn21" localSheetId="3" hidden="1">{"JANRDET",#N/A,FALSE,"detail"}</definedName>
    <definedName name="_wrn21" hidden="1">{"JANRDET",#N/A,FALSE,"detail"}</definedName>
    <definedName name="_wrn22" localSheetId="0" hidden="1">{"testysht3",#N/A,FALSE,"Sheet3"}</definedName>
    <definedName name="_wrn22" localSheetId="1" hidden="1">{"testysht3",#N/A,FALSE,"Sheet3"}</definedName>
    <definedName name="_wrn22" localSheetId="2" hidden="1">{"testysht3",#N/A,FALSE,"Sheet3"}</definedName>
    <definedName name="_wrn22" localSheetId="3" hidden="1">{"testysht3",#N/A,FALSE,"Sheet3"}</definedName>
    <definedName name="_wrn22" hidden="1">{"testysht3",#N/A,FALSE,"Sheet3"}</definedName>
    <definedName name="_wrn3" localSheetId="0" hidden="1">{"JANRDET",#N/A,FALSE,"detail"}</definedName>
    <definedName name="_wrn3" localSheetId="1" hidden="1">{"JANRDET",#N/A,FALSE,"detail"}</definedName>
    <definedName name="_wrn3" localSheetId="2" hidden="1">{"JANRDET",#N/A,FALSE,"detail"}</definedName>
    <definedName name="_wrn3" localSheetId="3" hidden="1">{"JANRDET",#N/A,FALSE,"detail"}</definedName>
    <definedName name="_wrn3" hidden="1">{"JANRDET",#N/A,FALSE,"detail"}</definedName>
    <definedName name="_wrn4" localSheetId="0" hidden="1">{"testysht3",#N/A,FALSE,"Sheet3"}</definedName>
    <definedName name="_wrn4" localSheetId="1" hidden="1">{"testysht3",#N/A,FALSE,"Sheet3"}</definedName>
    <definedName name="_wrn4" localSheetId="2" hidden="1">{"testysht3",#N/A,FALSE,"Sheet3"}</definedName>
    <definedName name="_wrn4" localSheetId="3" hidden="1">{"testysht3",#N/A,FALSE,"Sheet3"}</definedName>
    <definedName name="_wrn4" hidden="1">{"testysht3",#N/A,FALSE,"Sheet3"}</definedName>
    <definedName name="a" hidden="1">'[3]ESM ver2'!$C$8</definedName>
    <definedName name="AAA_DOCTOPS" hidden="1">"AAA_SET"</definedName>
    <definedName name="AAA_duser" hidden="1">"OFF"</definedName>
    <definedName name="aaaaaa" localSheetId="0" hidden="1">{"rfcjan",#N/A,FALSE,"Stats"}</definedName>
    <definedName name="aaaaaa" localSheetId="1" hidden="1">{"rfcjan",#N/A,FALSE,"Stats"}</definedName>
    <definedName name="aaaaaa" localSheetId="2" hidden="1">{"rfcjan",#N/A,FALSE,"Stats"}</definedName>
    <definedName name="aaaaaa" localSheetId="3" hidden="1">{"rfcjan",#N/A,FALSE,"Stats"}</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localSheetId="0" hidden="1">{"rfcjan",#N/A,FALSE,"Stats"}</definedName>
    <definedName name="abc" localSheetId="1" hidden="1">{"rfcjan",#N/A,FALSE,"Stats"}</definedName>
    <definedName name="abc" localSheetId="2" hidden="1">{"rfcjan",#N/A,FALSE,"Stats"}</definedName>
    <definedName name="abc" localSheetId="3" hidden="1">{"rfcjan",#N/A,FALSE,"Stats"}</definedName>
    <definedName name="abc" hidden="1">{"rfcjan",#N/A,FALSE,"Stats"}</definedName>
    <definedName name="AccessDatabase" hidden="1">"C:\DATA\Kevin\Kevin's Model.mdb"</definedName>
    <definedName name="aesrawera" localSheetId="0" hidden="1">{#N/A,#N/A,FALSE,"Assessment";#N/A,#N/A,FALSE,"Staffing";#N/A,#N/A,FALSE,"Hires";#N/A,#N/A,FALSE,"Assumptions"}</definedName>
    <definedName name="aesrawera" localSheetId="1" hidden="1">{#N/A,#N/A,FALSE,"Assessment";#N/A,#N/A,FALSE,"Staffing";#N/A,#N/A,FALSE,"Hires";#N/A,#N/A,FALSE,"Assumptions"}</definedName>
    <definedName name="aesrawera" localSheetId="2" hidden="1">{#N/A,#N/A,FALSE,"Assessment";#N/A,#N/A,FALSE,"Staffing";#N/A,#N/A,FALSE,"Hires";#N/A,#N/A,FALSE,"Assumptions"}</definedName>
    <definedName name="aesrawera" localSheetId="3" hidden="1">{#N/A,#N/A,FALSE,"Assessment";#N/A,#N/A,FALSE,"Staffing";#N/A,#N/A,FALSE,"Hires";#N/A,#N/A,FALSE,"Assumptions"}</definedName>
    <definedName name="aesrawera" hidden="1">{#N/A,#N/A,FALSE,"Assessment";#N/A,#N/A,FALSE,"Staffing";#N/A,#N/A,FALSE,"Hires";#N/A,#N/A,FALSE,"Assumptions"}</definedName>
    <definedName name="AS2DocOpenMode" hidden="1">"AS2DocumentEdit"</definedName>
    <definedName name="asd" localSheetId="0" hidden="1">{"rfcjan",#N/A,FALSE,"Stats"}</definedName>
    <definedName name="asd" localSheetId="1" hidden="1">{"rfcjan",#N/A,FALSE,"Stats"}</definedName>
    <definedName name="asd" localSheetId="2" hidden="1">{"rfcjan",#N/A,FALSE,"Stats"}</definedName>
    <definedName name="asd" localSheetId="3" hidden="1">{"rfcjan",#N/A,FALSE,"Stats"}</definedName>
    <definedName name="asd" hidden="1">{"rfcjan",#N/A,FALSE,"Stats"}</definedName>
    <definedName name="awerwas" localSheetId="0" hidden="1">{#N/A,#N/A,FALSE,"New Depr Sch-150% DB";#N/A,#N/A,FALSE,"Cash Flows RLP";#N/A,#N/A,FALSE,"IRR";#N/A,#N/A,FALSE,"Proforma IS";#N/A,#N/A,FALSE,"Assumptions"}</definedName>
    <definedName name="awerwas" localSheetId="1" hidden="1">{#N/A,#N/A,FALSE,"New Depr Sch-150% DB";#N/A,#N/A,FALSE,"Cash Flows RLP";#N/A,#N/A,FALSE,"IRR";#N/A,#N/A,FALSE,"Proforma IS";#N/A,#N/A,FALSE,"Assumptions"}</definedName>
    <definedName name="awerwas" localSheetId="2" hidden="1">{#N/A,#N/A,FALSE,"New Depr Sch-150% DB";#N/A,#N/A,FALSE,"Cash Flows RLP";#N/A,#N/A,FALSE,"IRR";#N/A,#N/A,FALSE,"Proforma IS";#N/A,#N/A,FALSE,"Assumptions"}</definedName>
    <definedName name="awerwas" localSheetId="3" hidden="1">{#N/A,#N/A,FALSE,"New Depr Sch-150% DB";#N/A,#N/A,FALSE,"Cash Flows RLP";#N/A,#N/A,FALSE,"IRR";#N/A,#N/A,FALSE,"Proforma IS";#N/A,#N/A,FALSE,"Assumptions"}</definedName>
    <definedName name="awerwas" hidden="1">{#N/A,#N/A,FALSE,"New Depr Sch-150% DB";#N/A,#N/A,FALSE,"Cash Flows RLP";#N/A,#N/A,FALSE,"IRR";#N/A,#N/A,FALSE,"Proforma IS";#N/A,#N/A,FALSE,"Assumptions"}</definedName>
    <definedName name="baseline" localSheetId="0" hidden="1">{"JANRDET",#N/A,FALSE,"detail"}</definedName>
    <definedName name="baseline" localSheetId="1" hidden="1">{"JANRDET",#N/A,FALSE,"detail"}</definedName>
    <definedName name="baseline" localSheetId="2" hidden="1">{"JANRDET",#N/A,FALSE,"detail"}</definedName>
    <definedName name="baseline" localSheetId="3" hidden="1">{"JANRDET",#N/A,FALSE,"detail"}</definedName>
    <definedName name="baseline" hidden="1">{"JANRDET",#N/A,FALSE,"detail"}</definedName>
    <definedName name="baselinewnotes" localSheetId="0" hidden="1">{"rfcjan",#N/A,FALSE,"Stats"}</definedName>
    <definedName name="baselinewnotes" localSheetId="1" hidden="1">{"rfcjan",#N/A,FALSE,"Stats"}</definedName>
    <definedName name="baselinewnotes" localSheetId="2" hidden="1">{"rfcjan",#N/A,FALSE,"Stats"}</definedName>
    <definedName name="baselinewnotes" localSheetId="3" hidden="1">{"rfcjan",#N/A,FALSE,"Stats"}</definedName>
    <definedName name="baselinewnotes" hidden="1">{"rfcjan",#N/A,FALSE,"Stats"}</definedName>
    <definedName name="bb" localSheetId="0" hidden="1">{"JANRDET",#N/A,FALSE,"detail"}</definedName>
    <definedName name="bb" localSheetId="1" hidden="1">{"JANRDET",#N/A,FALSE,"detail"}</definedName>
    <definedName name="bb" localSheetId="2" hidden="1">{"JANRDET",#N/A,FALSE,"detail"}</definedName>
    <definedName name="bb" localSheetId="3" hidden="1">{"JANRDET",#N/A,FALSE,"detail"}</definedName>
    <definedName name="bb" hidden="1">{"JANRDET",#N/A,FALSE,"detail"}</definedName>
    <definedName name="bbb" localSheetId="0" hidden="1">{#N/A,#N/A,FALSE,"Assessment";#N/A,#N/A,FALSE,"Staffing";#N/A,#N/A,FALSE,"Hires";#N/A,#N/A,FALSE,"Assumptions"}</definedName>
    <definedName name="bbb" localSheetId="1" hidden="1">{#N/A,#N/A,FALSE,"Assessment";#N/A,#N/A,FALSE,"Staffing";#N/A,#N/A,FALSE,"Hires";#N/A,#N/A,FALSE,"Assumptions"}</definedName>
    <definedName name="bbb" localSheetId="2" hidden="1">{#N/A,#N/A,FALSE,"Assessment";#N/A,#N/A,FALSE,"Staffing";#N/A,#N/A,FALSE,"Hires";#N/A,#N/A,FALSE,"Assumptions"}</definedName>
    <definedName name="bbb" localSheetId="3" hidden="1">{#N/A,#N/A,FALSE,"Assessment";#N/A,#N/A,FALSE,"Staffing";#N/A,#N/A,FALSE,"Hires";#N/A,#N/A,FALSE,"Assumptions"}</definedName>
    <definedName name="bbb" hidden="1">{#N/A,#N/A,FALSE,"Assessment";#N/A,#N/A,FALSE,"Staffing";#N/A,#N/A,FALSE,"Hires";#N/A,#N/A,FALSE,"Assumptions"}</definedName>
    <definedName name="bbbbb" localSheetId="0" hidden="1">{#N/A,#N/A,FALSE,"Assessment";#N/A,#N/A,FALSE,"Staffing";#N/A,#N/A,FALSE,"Hires";#N/A,#N/A,FALSE,"Assumptions"}</definedName>
    <definedName name="bbbbb" localSheetId="1" hidden="1">{#N/A,#N/A,FALSE,"Assessment";#N/A,#N/A,FALSE,"Staffing";#N/A,#N/A,FALSE,"Hires";#N/A,#N/A,FALSE,"Assumptions"}</definedName>
    <definedName name="bbbbb" localSheetId="2" hidden="1">{#N/A,#N/A,FALSE,"Assessment";#N/A,#N/A,FALSE,"Staffing";#N/A,#N/A,FALSE,"Hires";#N/A,#N/A,FALSE,"Assumptions"}</definedName>
    <definedName name="bbbbb" localSheetId="3" hidden="1">{#N/A,#N/A,FALSE,"Assessment";#N/A,#N/A,FALSE,"Staffing";#N/A,#N/A,FALSE,"Hires";#N/A,#N/A,FALSE,"Assumptions"}</definedName>
    <definedName name="bbbbb" hidden="1">{#N/A,#N/A,FALSE,"Assessment";#N/A,#N/A,FALSE,"Staffing";#N/A,#N/A,FALSE,"Hires";#N/A,#N/A,FALSE,"Assumptions"}</definedName>
    <definedName name="Bear" localSheetId="0" hidden="1">{#N/A,#N/A,FALSE,"TS";#N/A,#N/A,FALSE,"Combo";#N/A,#N/A,FALSE,"FAIR";#N/A,#N/A,FALSE,"RBC";#N/A,#N/A,FALSE,"xxxx";#N/A,#N/A,FALSE,"A_D";#N/A,#N/A,FALSE,"WACC";#N/A,#N/A,FALSE,"DCF";#N/A,#N/A,FALSE,"LBO";#N/A,#N/A,FALSE,"AcqMults";#N/A,#N/A,FALSE,"CompMults"}</definedName>
    <definedName name="Bear" localSheetId="1" hidden="1">{#N/A,#N/A,FALSE,"TS";#N/A,#N/A,FALSE,"Combo";#N/A,#N/A,FALSE,"FAIR";#N/A,#N/A,FALSE,"RBC";#N/A,#N/A,FALSE,"xxxx";#N/A,#N/A,FALSE,"A_D";#N/A,#N/A,FALSE,"WACC";#N/A,#N/A,FALSE,"DCF";#N/A,#N/A,FALSE,"LBO";#N/A,#N/A,FALSE,"AcqMults";#N/A,#N/A,FALSE,"CompMults"}</definedName>
    <definedName name="Bear" localSheetId="2" hidden="1">{#N/A,#N/A,FALSE,"TS";#N/A,#N/A,FALSE,"Combo";#N/A,#N/A,FALSE,"FAIR";#N/A,#N/A,FALSE,"RBC";#N/A,#N/A,FALSE,"xxxx";#N/A,#N/A,FALSE,"A_D";#N/A,#N/A,FALSE,"WACC";#N/A,#N/A,FALSE,"DCF";#N/A,#N/A,FALSE,"LBO";#N/A,#N/A,FALSE,"AcqMults";#N/A,#N/A,FALSE,"CompMults"}</definedName>
    <definedName name="Bear" localSheetId="3"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LPH1" hidden="1">#REF!</definedName>
    <definedName name="BLPH1000001" hidden="1">[4]Sheet1!$B$12</definedName>
    <definedName name="BLPH1000003" hidden="1">#REF!</definedName>
    <definedName name="BLPH12" hidden="1">#REF!</definedName>
    <definedName name="BLPH13" hidden="1">#REF!</definedName>
    <definedName name="BLPH1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ye" localSheetId="0" hidden="1">{#N/A,#N/A,FALSE,"Aging Summary";#N/A,#N/A,FALSE,"Ratio Analysis";#N/A,#N/A,FALSE,"Test 120 Day Accts";#N/A,#N/A,FALSE,"Tickmarks"}</definedName>
    <definedName name="bye" localSheetId="1" hidden="1">{#N/A,#N/A,FALSE,"Aging Summary";#N/A,#N/A,FALSE,"Ratio Analysis";#N/A,#N/A,FALSE,"Test 120 Day Accts";#N/A,#N/A,FALSE,"Tickmarks"}</definedName>
    <definedName name="bye" localSheetId="2" hidden="1">{#N/A,#N/A,FALSE,"Aging Summary";#N/A,#N/A,FALSE,"Ratio Analysis";#N/A,#N/A,FALSE,"Test 120 Day Accts";#N/A,#N/A,FALSE,"Tickmarks"}</definedName>
    <definedName name="bye" localSheetId="3" hidden="1">{#N/A,#N/A,FALSE,"Aging Summary";#N/A,#N/A,FALSE,"Ratio Analysis";#N/A,#N/A,FALSE,"Test 120 Day Accts";#N/A,#N/A,FALSE,"Tickmarks"}</definedName>
    <definedName name="bye" hidden="1">{#N/A,#N/A,FALSE,"Aging Summary";#N/A,#N/A,FALSE,"Ratio Analysis";#N/A,#N/A,FALSE,"Test 120 Day Accts";#N/A,#N/A,FALSE,"Tickmarks"}</definedName>
    <definedName name="cc" localSheetId="0" hidden="1">{"JANRDET",#N/A,FALSE,"detail"}</definedName>
    <definedName name="cc" localSheetId="1" hidden="1">{"JANRDET",#N/A,FALSE,"detail"}</definedName>
    <definedName name="cc" localSheetId="2" hidden="1">{"JANRDET",#N/A,FALSE,"detail"}</definedName>
    <definedName name="cc" localSheetId="3" hidden="1">{"JANRDET",#N/A,FALSE,"detail"}</definedName>
    <definedName name="cc" hidden="1">{"JANRDET",#N/A,FALSE,"detail"}</definedName>
    <definedName name="cccc" localSheetId="0" hidden="1">{#N/A,#N/A,FALSE,"Assessment";#N/A,#N/A,FALSE,"Staffing";#N/A,#N/A,FALSE,"Hires";#N/A,#N/A,FALSE,"Assumptions"}</definedName>
    <definedName name="cccc" localSheetId="1" hidden="1">{#N/A,#N/A,FALSE,"Assessment";#N/A,#N/A,FALSE,"Staffing";#N/A,#N/A,FALSE,"Hires";#N/A,#N/A,FALSE,"Assumptions"}</definedName>
    <definedName name="cccc" localSheetId="2" hidden="1">{#N/A,#N/A,FALSE,"Assessment";#N/A,#N/A,FALSE,"Staffing";#N/A,#N/A,FALSE,"Hires";#N/A,#N/A,FALSE,"Assumptions"}</definedName>
    <definedName name="cccc" localSheetId="3" hidden="1">{#N/A,#N/A,FALSE,"Assessment";#N/A,#N/A,FALSE,"Staffing";#N/A,#N/A,FALSE,"Hires";#N/A,#N/A,FALSE,"Assumptions"}</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localSheetId="0" hidden="1">{#N/A,#N/A,FALSE,"Assessment";#N/A,#N/A,FALSE,"Staffing";#N/A,#N/A,FALSE,"Hires";#N/A,#N/A,FALSE,"Assumptions"}</definedName>
    <definedName name="cooool" localSheetId="1" hidden="1">{#N/A,#N/A,FALSE,"Assessment";#N/A,#N/A,FALSE,"Staffing";#N/A,#N/A,FALSE,"Hires";#N/A,#N/A,FALSE,"Assumptions"}</definedName>
    <definedName name="cooool" localSheetId="2" hidden="1">{#N/A,#N/A,FALSE,"Assessment";#N/A,#N/A,FALSE,"Staffing";#N/A,#N/A,FALSE,"Hires";#N/A,#N/A,FALSE,"Assumptions"}</definedName>
    <definedName name="cooool" localSheetId="3" hidden="1">{#N/A,#N/A,FALSE,"Assessment";#N/A,#N/A,FALSE,"Staffing";#N/A,#N/A,FALSE,"Hires";#N/A,#N/A,FALSE,"Assumptions"}</definedName>
    <definedName name="cooool" hidden="1">{#N/A,#N/A,FALSE,"Assessment";#N/A,#N/A,FALSE,"Staffing";#N/A,#N/A,FALSE,"Hires";#N/A,#N/A,FALSE,"Assumptions"}</definedName>
    <definedName name="coun" localSheetId="0" hidden="1">{#N/A,#N/A,FALSE,"Assessment";#N/A,#N/A,FALSE,"Staffing";#N/A,#N/A,FALSE,"Hires";#N/A,#N/A,FALSE,"Assumptions"}</definedName>
    <definedName name="coun" localSheetId="1" hidden="1">{#N/A,#N/A,FALSE,"Assessment";#N/A,#N/A,FALSE,"Staffing";#N/A,#N/A,FALSE,"Hires";#N/A,#N/A,FALSE,"Assumptions"}</definedName>
    <definedName name="coun" localSheetId="2" hidden="1">{#N/A,#N/A,FALSE,"Assessment";#N/A,#N/A,FALSE,"Staffing";#N/A,#N/A,FALSE,"Hires";#N/A,#N/A,FALSE,"Assumptions"}</definedName>
    <definedName name="coun" localSheetId="3" hidden="1">{#N/A,#N/A,FALSE,"Assessment";#N/A,#N/A,FALSE,"Staffing";#N/A,#N/A,FALSE,"Hires";#N/A,#N/A,FALSE,"Assumptions"}</definedName>
    <definedName name="coun" hidden="1">{#N/A,#N/A,FALSE,"Assessment";#N/A,#N/A,FALSE,"Staffing";#N/A,#N/A,FALSE,"Hires";#N/A,#N/A,FALSE,"Assumptions"}</definedName>
    <definedName name="COUNT2" localSheetId="0" hidden="1">{#N/A,#N/A,FALSE,"Assessment";#N/A,#N/A,FALSE,"Staffing";#N/A,#N/A,FALSE,"Hires";#N/A,#N/A,FALSE,"Assumptions"}</definedName>
    <definedName name="COUNT2" localSheetId="1" hidden="1">{#N/A,#N/A,FALSE,"Assessment";#N/A,#N/A,FALSE,"Staffing";#N/A,#N/A,FALSE,"Hires";#N/A,#N/A,FALSE,"Assumptions"}</definedName>
    <definedName name="COUNT2" localSheetId="2" hidden="1">{#N/A,#N/A,FALSE,"Assessment";#N/A,#N/A,FALSE,"Staffing";#N/A,#N/A,FALSE,"Hires";#N/A,#N/A,FALSE,"Assumptions"}</definedName>
    <definedName name="COUNT2" localSheetId="3" hidden="1">{#N/A,#N/A,FALSE,"Assessment";#N/A,#N/A,FALSE,"Staffing";#N/A,#N/A,FALSE,"Hires";#N/A,#N/A,FALSE,"Assumptions"}</definedName>
    <definedName name="COUNT2" hidden="1">{#N/A,#N/A,FALSE,"Assessment";#N/A,#N/A,FALSE,"Staffing";#N/A,#N/A,FALSE,"Hires";#N/A,#N/A,FALSE,"Assumptions"}</definedName>
    <definedName name="ddd" localSheetId="0" hidden="1">{"JANRDET",#N/A,FALSE,"detail"}</definedName>
    <definedName name="ddd" localSheetId="1" hidden="1">{"JANRDET",#N/A,FALSE,"detail"}</definedName>
    <definedName name="ddd" localSheetId="2" hidden="1">{"JANRDET",#N/A,FALSE,"detail"}</definedName>
    <definedName name="ddd" localSheetId="3" hidden="1">{"JANRDET",#N/A,FALSE,"detail"}</definedName>
    <definedName name="ddd" hidden="1">{"JANRDET",#N/A,FALSE,"detail"}</definedName>
    <definedName name="de" localSheetId="0" hidden="1">{#N/A,#N/A,FALSE,"Assessment";#N/A,#N/A,FALSE,"Staffing";#N/A,#N/A,FALSE,"Hires";#N/A,#N/A,FALSE,"Assumptions"}</definedName>
    <definedName name="de" localSheetId="1" hidden="1">{#N/A,#N/A,FALSE,"Assessment";#N/A,#N/A,FALSE,"Staffing";#N/A,#N/A,FALSE,"Hires";#N/A,#N/A,FALSE,"Assumptions"}</definedName>
    <definedName name="de" localSheetId="2" hidden="1">{#N/A,#N/A,FALSE,"Assessment";#N/A,#N/A,FALSE,"Staffing";#N/A,#N/A,FALSE,"Hires";#N/A,#N/A,FALSE,"Assumptions"}</definedName>
    <definedName name="de" localSheetId="3" hidden="1">{#N/A,#N/A,FALSE,"Assessment";#N/A,#N/A,FALSE,"Staffing";#N/A,#N/A,FALSE,"Hires";#N/A,#N/A,FALSE,"Assumptions"}</definedName>
    <definedName name="de" hidden="1">{#N/A,#N/A,FALSE,"Assessment";#N/A,#N/A,FALSE,"Staffing";#N/A,#N/A,FALSE,"Hires";#N/A,#N/A,FALSE,"Assumptions"}</definedName>
    <definedName name="dfs" localSheetId="0" hidden="1">{#N/A,#N/A,FALSE,"Membership";#N/A,#N/A,FALSE,"Membership cont";#N/A,#N/A,FALSE,"Info Source";#N/A,#N/A,FALSE,"Referral Source";#N/A,#N/A,FALSE,"Presenting";#N/A,#N/A,FALSE,"Case Disposition";#N/A,#N/A,FALSE,"Assessed";#N/A,#N/A,FALSE,"Telephone"}</definedName>
    <definedName name="dfs" localSheetId="1" hidden="1">{#N/A,#N/A,FALSE,"Membership";#N/A,#N/A,FALSE,"Membership cont";#N/A,#N/A,FALSE,"Info Source";#N/A,#N/A,FALSE,"Referral Source";#N/A,#N/A,FALSE,"Presenting";#N/A,#N/A,FALSE,"Case Disposition";#N/A,#N/A,FALSE,"Assessed";#N/A,#N/A,FALSE,"Telephone"}</definedName>
    <definedName name="dfs" localSheetId="2" hidden="1">{#N/A,#N/A,FALSE,"Membership";#N/A,#N/A,FALSE,"Membership cont";#N/A,#N/A,FALSE,"Info Source";#N/A,#N/A,FALSE,"Referral Source";#N/A,#N/A,FALSE,"Presenting";#N/A,#N/A,FALSE,"Case Disposition";#N/A,#N/A,FALSE,"Assessed";#N/A,#N/A,FALSE,"Telephone"}</definedName>
    <definedName name="dfs" localSheetId="3" hidden="1">{#N/A,#N/A,FALSE,"Membership";#N/A,#N/A,FALSE,"Membership cont";#N/A,#N/A,FALSE,"Info Source";#N/A,#N/A,FALSE,"Referral Source";#N/A,#N/A,FALSE,"Presenting";#N/A,#N/A,FALSE,"Case Disposition";#N/A,#N/A,FALSE,"Assessed";#N/A,#N/A,FALSE,"Telephone"}</definedName>
    <definedName name="dfs" hidden="1">{#N/A,#N/A,FALSE,"Membership";#N/A,#N/A,FALSE,"Membership cont";#N/A,#N/A,FALSE,"Info Source";#N/A,#N/A,FALSE,"Referral Source";#N/A,#N/A,FALSE,"Presenting";#N/A,#N/A,FALSE,"Case Disposition";#N/A,#N/A,FALSE,"Assessed";#N/A,#N/A,FALSE,"Telephone"}</definedName>
    <definedName name="Diagnoses" localSheetId="0" hidden="1">{#N/A,#N/A,FALSE,"Membership";#N/A,#N/A,FALSE,"Membership cont";#N/A,#N/A,FALSE,"Info Source";#N/A,#N/A,FALSE,"Referral Source";#N/A,#N/A,FALSE,"Presenting";#N/A,#N/A,FALSE,"Case Disposition";#N/A,#N/A,FALSE,"Assessed";#N/A,#N/A,FALSE,"Telephone"}</definedName>
    <definedName name="Diagnoses" localSheetId="1" hidden="1">{#N/A,#N/A,FALSE,"Membership";#N/A,#N/A,FALSE,"Membership cont";#N/A,#N/A,FALSE,"Info Source";#N/A,#N/A,FALSE,"Referral Source";#N/A,#N/A,FALSE,"Presenting";#N/A,#N/A,FALSE,"Case Disposition";#N/A,#N/A,FALSE,"Assessed";#N/A,#N/A,FALSE,"Telephone"}</definedName>
    <definedName name="Diagnoses" localSheetId="2" hidden="1">{#N/A,#N/A,FALSE,"Membership";#N/A,#N/A,FALSE,"Membership cont";#N/A,#N/A,FALSE,"Info Source";#N/A,#N/A,FALSE,"Referral Source";#N/A,#N/A,FALSE,"Presenting";#N/A,#N/A,FALSE,"Case Disposition";#N/A,#N/A,FALSE,"Assessed";#N/A,#N/A,FALSE,"Telephone"}</definedName>
    <definedName name="Diagnoses" localSheetId="3"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localSheetId="0" hidden="1">{#N/A,#N/A,FALSE,"Membership";#N/A,#N/A,FALSE,"Membership cont";#N/A,#N/A,FALSE,"Info Source";#N/A,#N/A,FALSE,"Referral Source";#N/A,#N/A,FALSE,"Presenting";#N/A,#N/A,FALSE,"Case Disposition";#N/A,#N/A,FALSE,"Assessed";#N/A,#N/A,FALSE,"Telephone"}</definedName>
    <definedName name="Diagnoses2" localSheetId="1" hidden="1">{#N/A,#N/A,FALSE,"Membership";#N/A,#N/A,FALSE,"Membership cont";#N/A,#N/A,FALSE,"Info Source";#N/A,#N/A,FALSE,"Referral Source";#N/A,#N/A,FALSE,"Presenting";#N/A,#N/A,FALSE,"Case Disposition";#N/A,#N/A,FALSE,"Assessed";#N/A,#N/A,FALSE,"Telephone"}</definedName>
    <definedName name="Diagnoses2" localSheetId="2" hidden="1">{#N/A,#N/A,FALSE,"Membership";#N/A,#N/A,FALSE,"Membership cont";#N/A,#N/A,FALSE,"Info Source";#N/A,#N/A,FALSE,"Referral Source";#N/A,#N/A,FALSE,"Presenting";#N/A,#N/A,FALSE,"Case Disposition";#N/A,#N/A,FALSE,"Assessed";#N/A,#N/A,FALSE,"Telephone"}</definedName>
    <definedName name="Diagnoses2" localSheetId="3"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localSheetId="0" hidden="1">{#N/A,#N/A,FALSE,"Membership";#N/A,#N/A,FALSE,"Membership cont";#N/A,#N/A,FALSE,"Info Source";#N/A,#N/A,FALSE,"Referral Source";#N/A,#N/A,FALSE,"Presenting";#N/A,#N/A,FALSE,"Case Disposition";#N/A,#N/A,FALSE,"Assessed";#N/A,#N/A,FALSE,"Telephone"}</definedName>
    <definedName name="Dx" localSheetId="1" hidden="1">{#N/A,#N/A,FALSE,"Membership";#N/A,#N/A,FALSE,"Membership cont";#N/A,#N/A,FALSE,"Info Source";#N/A,#N/A,FALSE,"Referral Source";#N/A,#N/A,FALSE,"Presenting";#N/A,#N/A,FALSE,"Case Disposition";#N/A,#N/A,FALSE,"Assessed";#N/A,#N/A,FALSE,"Telephone"}</definedName>
    <definedName name="Dx" localSheetId="2" hidden="1">{#N/A,#N/A,FALSE,"Membership";#N/A,#N/A,FALSE,"Membership cont";#N/A,#N/A,FALSE,"Info Source";#N/A,#N/A,FALSE,"Referral Source";#N/A,#N/A,FALSE,"Presenting";#N/A,#N/A,FALSE,"Case Disposition";#N/A,#N/A,FALSE,"Assessed";#N/A,#N/A,FALSE,"Telephone"}</definedName>
    <definedName name="Dx" localSheetId="3"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localSheetId="0" hidden="1">{"rfcjan",#N/A,FALSE,"Stats"}</definedName>
    <definedName name="erf" localSheetId="1" hidden="1">{"rfcjan",#N/A,FALSE,"Stats"}</definedName>
    <definedName name="erf" localSheetId="2" hidden="1">{"rfcjan",#N/A,FALSE,"Stats"}</definedName>
    <definedName name="erf" localSheetId="3" hidden="1">{"rfcjan",#N/A,FALSE,"Stats"}</definedName>
    <definedName name="erf" hidden="1">{"rfcjan",#N/A,FALSE,"Stats"}</definedName>
    <definedName name="eri" localSheetId="0" hidden="1">{"rfcjan",#N/A,FALSE,"Stats"}</definedName>
    <definedName name="eri" localSheetId="1" hidden="1">{"rfcjan",#N/A,FALSE,"Stats"}</definedName>
    <definedName name="eri" localSheetId="2" hidden="1">{"rfcjan",#N/A,FALSE,"Stats"}</definedName>
    <definedName name="eri" localSheetId="3" hidden="1">{"rfcjan",#N/A,FALSE,"Stats"}</definedName>
    <definedName name="eri" hidden="1">{"rfcjan",#N/A,FALSE,"Stats"}</definedName>
    <definedName name="erp" localSheetId="0" hidden="1">{"rfcjan",#N/A,FALSE,"Stats"}</definedName>
    <definedName name="erp" localSheetId="1" hidden="1">{"rfcjan",#N/A,FALSE,"Stats"}</definedName>
    <definedName name="erp" localSheetId="2" hidden="1">{"rfcjan",#N/A,FALSE,"Stats"}</definedName>
    <definedName name="erp" localSheetId="3" hidden="1">{"rfcjan",#N/A,FALSE,"Stats"}</definedName>
    <definedName name="erp" hidden="1">{"rfcjan",#N/A,FALSE,"Stats"}</definedName>
    <definedName name="ewra" localSheetId="0" hidden="1">{#N/A,#N/A,FALSE,"AD_Purchase";#N/A,#N/A,FALSE,"Credit";#N/A,#N/A,FALSE,"PF Acquisition";#N/A,#N/A,FALSE,"PF Offering"}</definedName>
    <definedName name="ewra" localSheetId="1" hidden="1">{#N/A,#N/A,FALSE,"AD_Purchase";#N/A,#N/A,FALSE,"Credit";#N/A,#N/A,FALSE,"PF Acquisition";#N/A,#N/A,FALSE,"PF Offering"}</definedName>
    <definedName name="ewra" localSheetId="2" hidden="1">{#N/A,#N/A,FALSE,"AD_Purchase";#N/A,#N/A,FALSE,"Credit";#N/A,#N/A,FALSE,"PF Acquisition";#N/A,#N/A,FALSE,"PF Offering"}</definedName>
    <definedName name="ewra" localSheetId="3" hidden="1">{#N/A,#N/A,FALSE,"AD_Purchase";#N/A,#N/A,FALSE,"Credit";#N/A,#N/A,FALSE,"PF Acquisition";#N/A,#N/A,FALSE,"PF Offering"}</definedName>
    <definedName name="ewra" hidden="1">{#N/A,#N/A,FALSE,"AD_Purchase";#N/A,#N/A,FALSE,"Credit";#N/A,#N/A,FALSE,"PF Acquisition";#N/A,#N/A,FALSE,"PF Offering"}</definedName>
    <definedName name="f" localSheetId="0" hidden="1">{"rfcjan",#N/A,FALSE,"Stats"}</definedName>
    <definedName name="f" localSheetId="1" hidden="1">{"rfcjan",#N/A,FALSE,"Stats"}</definedName>
    <definedName name="f" localSheetId="2" hidden="1">{"rfcjan",#N/A,FALSE,"Stats"}</definedName>
    <definedName name="f" localSheetId="3" hidden="1">{"rfcjan",#N/A,FALSE,"Stats"}</definedName>
    <definedName name="f" hidden="1">{"rfcjan",#N/A,FALSE,"Stats"}</definedName>
    <definedName name="FAR" localSheetId="0" hidden="1">{"rfcjan",#N/A,FALSE,"Stats"}</definedName>
    <definedName name="FAR" localSheetId="1" hidden="1">{"rfcjan",#N/A,FALSE,"Stats"}</definedName>
    <definedName name="FAR" localSheetId="2" hidden="1">{"rfcjan",#N/A,FALSE,"Stats"}</definedName>
    <definedName name="FAR" localSheetId="3" hidden="1">{"rfcjan",#N/A,FALSE,"Stats"}</definedName>
    <definedName name="FAR" hidden="1">{"rfcjan",#N/A,FALSE,"Stats"}</definedName>
    <definedName name="financial" localSheetId="0" hidden="1">{#N/A,#N/A,FALSE,"Summary";#N/A,#N/A,FALSE,"Projections";#N/A,#N/A,FALSE,"Mkt Mults";#N/A,#N/A,FALSE,"DCF";#N/A,#N/A,FALSE,"Accr Dil";#N/A,#N/A,FALSE,"PIC LBO";#N/A,#N/A,FALSE,"MULT10_4";#N/A,#N/A,FALSE,"CBI LBO"}</definedName>
    <definedName name="financial" localSheetId="1" hidden="1">{#N/A,#N/A,FALSE,"Summary";#N/A,#N/A,FALSE,"Projections";#N/A,#N/A,FALSE,"Mkt Mults";#N/A,#N/A,FALSE,"DCF";#N/A,#N/A,FALSE,"Accr Dil";#N/A,#N/A,FALSE,"PIC LBO";#N/A,#N/A,FALSE,"MULT10_4";#N/A,#N/A,FALSE,"CBI LBO"}</definedName>
    <definedName name="financial" localSheetId="2" hidden="1">{#N/A,#N/A,FALSE,"Summary";#N/A,#N/A,FALSE,"Projections";#N/A,#N/A,FALSE,"Mkt Mults";#N/A,#N/A,FALSE,"DCF";#N/A,#N/A,FALSE,"Accr Dil";#N/A,#N/A,FALSE,"PIC LBO";#N/A,#N/A,FALSE,"MULT10_4";#N/A,#N/A,FALSE,"CBI LBO"}</definedName>
    <definedName name="financial" localSheetId="3" hidden="1">{#N/A,#N/A,FALSE,"Summary";#N/A,#N/A,FALSE,"Projections";#N/A,#N/A,FALSE,"Mkt Mults";#N/A,#N/A,FALSE,"DCF";#N/A,#N/A,FALSE,"Accr Dil";#N/A,#N/A,FALSE,"PIC LBO";#N/A,#N/A,FALSE,"MULT10_4";#N/A,#N/A,FALSE,"CBI LBO"}</definedName>
    <definedName name="financial" hidden="1">{#N/A,#N/A,FALSE,"Summary";#N/A,#N/A,FALSE,"Projections";#N/A,#N/A,FALSE,"Mkt Mults";#N/A,#N/A,FALSE,"DCF";#N/A,#N/A,FALSE,"Accr Dil";#N/A,#N/A,FALSE,"PIC LBO";#N/A,#N/A,FALSE,"MULT10_4";#N/A,#N/A,FALSE,"CBI LBO"}</definedName>
    <definedName name="g" localSheetId="0" hidden="1">{"testysht3",#N/A,FALSE,"Sheet3"}</definedName>
    <definedName name="g" localSheetId="1" hidden="1">{"testysht3",#N/A,FALSE,"Sheet3"}</definedName>
    <definedName name="g" localSheetId="2" hidden="1">{"testysht3",#N/A,FALSE,"Sheet3"}</definedName>
    <definedName name="g" localSheetId="3" hidden="1">{"testysht3",#N/A,FALSE,"Sheet3"}</definedName>
    <definedName name="g" hidden="1">{"testysht3",#N/A,FALSE,"Sheet3"}</definedName>
    <definedName name="gasd" localSheetId="0" hidden="1">{#N/A,#N/A,FALSE,"Assessment";#N/A,#N/A,FALSE,"Staffing";#N/A,#N/A,FALSE,"Hires";#N/A,#N/A,FALSE,"Assumptions"}</definedName>
    <definedName name="gasd" localSheetId="1" hidden="1">{#N/A,#N/A,FALSE,"Assessment";#N/A,#N/A,FALSE,"Staffing";#N/A,#N/A,FALSE,"Hires";#N/A,#N/A,FALSE,"Assumptions"}</definedName>
    <definedName name="gasd" localSheetId="2" hidden="1">{#N/A,#N/A,FALSE,"Assessment";#N/A,#N/A,FALSE,"Staffing";#N/A,#N/A,FALSE,"Hires";#N/A,#N/A,FALSE,"Assumptions"}</definedName>
    <definedName name="gasd" localSheetId="3" hidden="1">{#N/A,#N/A,FALSE,"Assessment";#N/A,#N/A,FALSE,"Staffing";#N/A,#N/A,FALSE,"Hires";#N/A,#N/A,FALSE,"Assumptions"}</definedName>
    <definedName name="gasd" hidden="1">{#N/A,#N/A,FALSE,"Assessment";#N/A,#N/A,FALSE,"Staffing";#N/A,#N/A,FALSE,"Hires";#N/A,#N/A,FALSE,"Assumptions"}</definedName>
    <definedName name="gf"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localSheetId="0" hidden="1">{"rfcjan",#N/A,FALSE,"Stats"}</definedName>
    <definedName name="gyoit87" localSheetId="1" hidden="1">{"rfcjan",#N/A,FALSE,"Stats"}</definedName>
    <definedName name="gyoit87" localSheetId="2" hidden="1">{"rfcjan",#N/A,FALSE,"Stats"}</definedName>
    <definedName name="gyoit87" localSheetId="3" hidden="1">{"rfcjan",#N/A,FALSE,"Stats"}</definedName>
    <definedName name="gyoit87" hidden="1">{"rfcjan",#N/A,FALSE,"Stats"}</definedName>
    <definedName name="h" hidden="1">#REF!</definedName>
    <definedName name="help" localSheetId="0" hidden="1">{"rfcjan",#N/A,FALSE,"Stats"}</definedName>
    <definedName name="help" localSheetId="1" hidden="1">{"rfcjan",#N/A,FALSE,"Stats"}</definedName>
    <definedName name="help" localSheetId="2" hidden="1">{"rfcjan",#N/A,FALSE,"Stats"}</definedName>
    <definedName name="help" localSheetId="3" hidden="1">{"rfcjan",#N/A,FALSE,"Stats"}</definedName>
    <definedName name="help" hidden="1">{"rfcjan",#N/A,FALSE,"Stats"}</definedName>
    <definedName name="hod" localSheetId="0" hidden="1">{#N/A,#N/A,FALSE,"TS";#N/A,#N/A,FALSE,"Combo";#N/A,#N/A,FALSE,"FAIR";#N/A,#N/A,FALSE,"RBC";#N/A,#N/A,FALSE,"xxxx";#N/A,#N/A,FALSE,"A_D";#N/A,#N/A,FALSE,"WACC";#N/A,#N/A,FALSE,"DCF";#N/A,#N/A,FALSE,"LBO";#N/A,#N/A,FALSE,"AcqMults";#N/A,#N/A,FALSE,"CompMults"}</definedName>
    <definedName name="hod" localSheetId="1" hidden="1">{#N/A,#N/A,FALSE,"TS";#N/A,#N/A,FALSE,"Combo";#N/A,#N/A,FALSE,"FAIR";#N/A,#N/A,FALSE,"RBC";#N/A,#N/A,FALSE,"xxxx";#N/A,#N/A,FALSE,"A_D";#N/A,#N/A,FALSE,"WACC";#N/A,#N/A,FALSE,"DCF";#N/A,#N/A,FALSE,"LBO";#N/A,#N/A,FALSE,"AcqMults";#N/A,#N/A,FALSE,"CompMults"}</definedName>
    <definedName name="hod" localSheetId="2" hidden="1">{#N/A,#N/A,FALSE,"TS";#N/A,#N/A,FALSE,"Combo";#N/A,#N/A,FALSE,"FAIR";#N/A,#N/A,FALSE,"RBC";#N/A,#N/A,FALSE,"xxxx";#N/A,#N/A,FALSE,"A_D";#N/A,#N/A,FALSE,"WACC";#N/A,#N/A,FALSE,"DCF";#N/A,#N/A,FALSE,"LBO";#N/A,#N/A,FALSE,"AcqMults";#N/A,#N/A,FALSE,"CompMults"}</definedName>
    <definedName name="hod" localSheetId="3"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ME" localSheetId="0" hidden="1">{#N/A,#N/A,FALSE,"Assessment";#N/A,#N/A,FALSE,"Staffing";#N/A,#N/A,FALSE,"Hires";#N/A,#N/A,FALSE,"Assumptions"}</definedName>
    <definedName name="HOME" localSheetId="1" hidden="1">{#N/A,#N/A,FALSE,"Assessment";#N/A,#N/A,FALSE,"Staffing";#N/A,#N/A,FALSE,"Hires";#N/A,#N/A,FALSE,"Assumptions"}</definedName>
    <definedName name="HOME" localSheetId="2" hidden="1">{#N/A,#N/A,FALSE,"Assessment";#N/A,#N/A,FALSE,"Staffing";#N/A,#N/A,FALSE,"Hires";#N/A,#N/A,FALSE,"Assumptions"}</definedName>
    <definedName name="HOME" localSheetId="3" hidden="1">{#N/A,#N/A,FALSE,"Assessment";#N/A,#N/A,FALSE,"Staffing";#N/A,#N/A,FALSE,"Hires";#N/A,#N/A,FALSE,"Assumptions"}</definedName>
    <definedName name="HOME" hidden="1">{#N/A,#N/A,FALSE,"Assessment";#N/A,#N/A,FALSE,"Staffing";#N/A,#N/A,FALSE,"Hires";#N/A,#N/A,FALSE,"Assumptions"}</definedName>
    <definedName name="HOMFE" localSheetId="0" hidden="1">{#N/A,#N/A,FALSE,"Assessment";#N/A,#N/A,FALSE,"Staffing";#N/A,#N/A,FALSE,"Hires";#N/A,#N/A,FALSE,"Assumptions"}</definedName>
    <definedName name="HOMFE" localSheetId="1" hidden="1">{#N/A,#N/A,FALSE,"Assessment";#N/A,#N/A,FALSE,"Staffing";#N/A,#N/A,FALSE,"Hires";#N/A,#N/A,FALSE,"Assumptions"}</definedName>
    <definedName name="HOMFE" localSheetId="2" hidden="1">{#N/A,#N/A,FALSE,"Assessment";#N/A,#N/A,FALSE,"Staffing";#N/A,#N/A,FALSE,"Hires";#N/A,#N/A,FALSE,"Assumptions"}</definedName>
    <definedName name="HOMFE" localSheetId="3" hidden="1">{#N/A,#N/A,FALSE,"Assessment";#N/A,#N/A,FALSE,"Staffing";#N/A,#N/A,FALSE,"Hires";#N/A,#N/A,FALSE,"Assumptions"}</definedName>
    <definedName name="HOMFE" hidden="1">{#N/A,#N/A,FALSE,"Assessment";#N/A,#N/A,FALSE,"Staffing";#N/A,#N/A,FALSE,"Hires";#N/A,#N/A,FALSE,"Assumptions"}</definedName>
    <definedName name="houy" localSheetId="0" hidden="1">{#N/A,#N/A,FALSE,"AD_Purchase";#N/A,#N/A,FALSE,"Credit";#N/A,#N/A,FALSE,"PF Acquisition";#N/A,#N/A,FALSE,"PF Offering"}</definedName>
    <definedName name="houy" localSheetId="1" hidden="1">{#N/A,#N/A,FALSE,"AD_Purchase";#N/A,#N/A,FALSE,"Credit";#N/A,#N/A,FALSE,"PF Acquisition";#N/A,#N/A,FALSE,"PF Offering"}</definedName>
    <definedName name="houy" localSheetId="2" hidden="1">{#N/A,#N/A,FALSE,"AD_Purchase";#N/A,#N/A,FALSE,"Credit";#N/A,#N/A,FALSE,"PF Acquisition";#N/A,#N/A,FALSE,"PF Offering"}</definedName>
    <definedName name="houy" localSheetId="3" hidden="1">{#N/A,#N/A,FALSE,"AD_Purchase";#N/A,#N/A,FALSE,"Credit";#N/A,#N/A,FALSE,"PF Acquisition";#N/A,#N/A,FALSE,"PF Offering"}</definedName>
    <definedName name="houy" hidden="1">{#N/A,#N/A,FALSE,"AD_Purchase";#N/A,#N/A,FALSE,"Credit";#N/A,#N/A,FALSE,"PF Acquisition";#N/A,#N/A,FALSE,"PF Offering"}</definedName>
    <definedName name="howareyoudoing" localSheetId="0" hidden="1">{"testysht3",#N/A,FALSE,"Sheet3"}</definedName>
    <definedName name="howareyoudoing" localSheetId="1" hidden="1">{"testysht3",#N/A,FALSE,"Sheet3"}</definedName>
    <definedName name="howareyoudoing" localSheetId="2" hidden="1">{"testysht3",#N/A,FALSE,"Sheet3"}</definedName>
    <definedName name="howareyoudoing" localSheetId="3" hidden="1">{"testysht3",#N/A,FALSE,"Sheet3"}</definedName>
    <definedName name="howareyoudoing" hidden="1">{"testysht3",#N/A,FALSE,"Sheet3"}</definedName>
    <definedName name="HPGuidance" localSheetId="0" hidden="1">{"JANRDET",#N/A,FALSE,"detail"}</definedName>
    <definedName name="HPGuidance" localSheetId="1" hidden="1">{"JANRDET",#N/A,FALSE,"detail"}</definedName>
    <definedName name="HPGuidance" localSheetId="2" hidden="1">{"JANRDET",#N/A,FALSE,"detail"}</definedName>
    <definedName name="HPGuidance" localSheetId="3" hidden="1">{"JANRDET",#N/A,FALSE,"detail"}</definedName>
    <definedName name="HPGuidance" hidden="1">{"JANRDET",#N/A,FALSE,"detail"}</definedName>
    <definedName name="io" localSheetId="0" hidden="1">{0,#N/A,FALSE,0}</definedName>
    <definedName name="io" localSheetId="1" hidden="1">{0,#N/A,FALSE,0}</definedName>
    <definedName name="io" localSheetId="2" hidden="1">{0,#N/A,FALSE,0}</definedName>
    <definedName name="io" localSheetId="3" hidden="1">{0,#N/A,FALSE,0}</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0" hidden="1">{"rfcjan",#N/A,FALSE,"Stats"}</definedName>
    <definedName name="k" localSheetId="1" hidden="1">{"rfcjan",#N/A,FALSE,"Stats"}</definedName>
    <definedName name="k" localSheetId="2" hidden="1">{"rfcjan",#N/A,FALSE,"Stats"}</definedName>
    <definedName name="k" localSheetId="3" hidden="1">{"rfcjan",#N/A,FALSE,"Stats"}</definedName>
    <definedName name="k" hidden="1">{"rfcjan",#N/A,FALSE,"Stats"}</definedName>
    <definedName name="KKK" localSheetId="0" hidden="1">{#N/A,#N/A,FALSE,"Assessment";#N/A,#N/A,FALSE,"Staffing";#N/A,#N/A,FALSE,"Hires";#N/A,#N/A,FALSE,"Assumptions"}</definedName>
    <definedName name="KKK" localSheetId="1" hidden="1">{#N/A,#N/A,FALSE,"Assessment";#N/A,#N/A,FALSE,"Staffing";#N/A,#N/A,FALSE,"Hires";#N/A,#N/A,FALSE,"Assumptions"}</definedName>
    <definedName name="KKK" localSheetId="2" hidden="1">{#N/A,#N/A,FALSE,"Assessment";#N/A,#N/A,FALSE,"Staffing";#N/A,#N/A,FALSE,"Hires";#N/A,#N/A,FALSE,"Assumptions"}</definedName>
    <definedName name="KKK" localSheetId="3" hidden="1">{#N/A,#N/A,FALSE,"Assessment";#N/A,#N/A,FALSE,"Staffing";#N/A,#N/A,FALSE,"Hires";#N/A,#N/A,FALSE,"Assumptions"}</definedName>
    <definedName name="KKK" hidden="1">{#N/A,#N/A,FALSE,"Assessment";#N/A,#N/A,FALSE,"Staffing";#N/A,#N/A,FALSE,"Hires";#N/A,#N/A,FALSE,"Assumptions"}</definedName>
    <definedName name="LineSupported" localSheetId="0">'[5]Pricing Employee'!$O1&gt;=Effective_Date</definedName>
    <definedName name="LineSupported" localSheetId="1">'[5]Pricing Employee'!$O1&gt;=Effective_Date</definedName>
    <definedName name="LineSupported" localSheetId="2">'[5]Pricing Employee'!$O1&gt;=Effective_Date</definedName>
    <definedName name="LineSupported" localSheetId="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localSheetId="0" hidden="1">{"rfcjan",#N/A,FALSE,"Stats"}</definedName>
    <definedName name="nad" localSheetId="1" hidden="1">{"rfcjan",#N/A,FALSE,"Stats"}</definedName>
    <definedName name="nad" localSheetId="2" hidden="1">{"rfcjan",#N/A,FALSE,"Stats"}</definedName>
    <definedName name="nad" localSheetId="3" hidden="1">{"rfcjan",#N/A,FALSE,"Stats"}</definedName>
    <definedName name="nad" hidden="1">{"rfcjan",#N/A,FALSE,"Stats"}</definedName>
    <definedName name="nameconflict" localSheetId="0" hidden="1">{"rfcjan",#N/A,FALSE,"Stats"}</definedName>
    <definedName name="nameconflict" localSheetId="1" hidden="1">{"rfcjan",#N/A,FALSE,"Stats"}</definedName>
    <definedName name="nameconflict" localSheetId="2" hidden="1">{"rfcjan",#N/A,FALSE,"Stats"}</definedName>
    <definedName name="nameconflict" localSheetId="3" hidden="1">{"rfcjan",#N/A,FALSE,"Stats"}</definedName>
    <definedName name="nameconflict" hidden="1">{"rfcjan",#N/A,FALSE,"Stats"}</definedName>
    <definedName name="new" localSheetId="0" hidden="1">{"rfcjan",#N/A,FALSE,"Stats"}</definedName>
    <definedName name="new" localSheetId="1" hidden="1">{"rfcjan",#N/A,FALSE,"Stats"}</definedName>
    <definedName name="new" localSheetId="2" hidden="1">{"rfcjan",#N/A,FALSE,"Stats"}</definedName>
    <definedName name="new" localSheetId="3" hidden="1">{"rfcjan",#N/A,FALSE,"Stats"}</definedName>
    <definedName name="new" hidden="1">{"rfcjan",#N/A,FALSE,"Stats"}</definedName>
    <definedName name="nnn" localSheetId="0" hidden="1">{#N/A,#N/A,FALSE,"Assessment";#N/A,#N/A,FALSE,"Staffing";#N/A,#N/A,FALSE,"Hires";#N/A,#N/A,FALSE,"Assumptions"}</definedName>
    <definedName name="nnn" localSheetId="1" hidden="1">{#N/A,#N/A,FALSE,"Assessment";#N/A,#N/A,FALSE,"Staffing";#N/A,#N/A,FALSE,"Hires";#N/A,#N/A,FALSE,"Assumptions"}</definedName>
    <definedName name="nnn" localSheetId="2" hidden="1">{#N/A,#N/A,FALSE,"Assessment";#N/A,#N/A,FALSE,"Staffing";#N/A,#N/A,FALSE,"Hires";#N/A,#N/A,FALSE,"Assumptions"}</definedName>
    <definedName name="nnn" localSheetId="3" hidden="1">{#N/A,#N/A,FALSE,"Assessment";#N/A,#N/A,FALSE,"Staffing";#N/A,#N/A,FALSE,"Hires";#N/A,#N/A,FALSE,"Assumptions"}</definedName>
    <definedName name="nnn" hidden="1">{#N/A,#N/A,FALSE,"Assessment";#N/A,#N/A,FALSE,"Staffing";#N/A,#N/A,FALSE,"Hires";#N/A,#N/A,FALSE,"Assumptions"}</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localSheetId="2" hidden="1">{#N/A,#N/A,FALSE,"New Depr Sch-150% DB";#N/A,#N/A,FALSE,"Cash Flows RLP";#N/A,#N/A,FALSE,"IRR";#N/A,#N/A,FALSE,"Proforma IS";#N/A,#N/A,FALSE,"Assumptions"}</definedName>
    <definedName name="o" localSheetId="3" hidden="1">{#N/A,#N/A,FALSE,"New Depr Sch-150% DB";#N/A,#N/A,FALSE,"Cash Flows RLP";#N/A,#N/A,FALSE,"IRR";#N/A,#N/A,FALSE,"Proforma IS";#N/A,#N/A,FALSE,"Assumptions"}</definedName>
    <definedName name="o" hidden="1">{#N/A,#N/A,FALSE,"New Depr Sch-150% DB";#N/A,#N/A,FALSE,"Cash Flows RLP";#N/A,#N/A,FALSE,"IRR";#N/A,#N/A,FALSE,"Proforma IS";#N/A,#N/A,FALSE,"Assumptions"}</definedName>
    <definedName name="ouighou" localSheetId="0" hidden="1">{"rfcjan",#N/A,FALSE,"Stats"}</definedName>
    <definedName name="ouighou" localSheetId="1" hidden="1">{"rfcjan",#N/A,FALSE,"Stats"}</definedName>
    <definedName name="ouighou" localSheetId="2" hidden="1">{"rfcjan",#N/A,FALSE,"Stats"}</definedName>
    <definedName name="ouighou" localSheetId="3" hidden="1">{"rfcjan",#N/A,FALSE,"Stats"}</definedName>
    <definedName name="ouighou" hidden="1">{"rfcjan",#N/A,FALSE,"Stats"}</definedName>
    <definedName name="Portion">MAX(IF(ISNUMBER('[5]Pricing Employee'!$BY1),'[5]Pricing Employee'!$BY1),IF(ISNUMBER('[5]Pricing Employee'!$BZ1),'[5]Pricing Employee'!$BZ1))</definedName>
    <definedName name="_xlnm.Print_Area" localSheetId="5">'F-1 Provider Svcs DDI Costs'!$A$1:$S$28</definedName>
    <definedName name="_xlnm.Print_Area" localSheetId="6">'F-2 Provider Svcs Ops Costs'!$A$1:$Y$34</definedName>
    <definedName name="_xlnm.Print_Area" localSheetId="7">'F-3 Provider Svcs DDI Pool Cost'!$A$1:$Q$27</definedName>
    <definedName name="_xlnm.Print_Area" localSheetId="8">'F-4 Provider Svcs Ops Pool'!$A$1:$Q$35</definedName>
    <definedName name="_xlnm.Print_Area" localSheetId="9">'G-1 Provider Svcs DDI Cost'!$A$1:$S$27</definedName>
    <definedName name="_xlnm.Print_Area" localSheetId="10">'G-2 Provider Svcs Ops Cost'!$A$1:$Y$34</definedName>
    <definedName name="_xlnm.Print_Area" localSheetId="11">'G-3 Provider Svcs DDI Pool'!$A$1:$Q$27</definedName>
    <definedName name="_xlnm.Print_Area" localSheetId="12">'G-4 Provider Svcs Ops Pool'!$A$1:$Q$35</definedName>
    <definedName name="_xlnm.Print_Area" localSheetId="13">'H-1 Provider Svcs DDI Cost'!$A$1:$S$27</definedName>
    <definedName name="_xlnm.Print_Area" localSheetId="14">'H-2 Provider Svcs Ops Cost'!$A$1:$Y$34</definedName>
    <definedName name="_xlnm.Print_Area" localSheetId="15">'H-3 Provider Svcs DDI Pool'!$A$1:$Q$27</definedName>
    <definedName name="_xlnm.Print_Area" localSheetId="16">'H-4 Provider Svcs Ops Pool'!$A$1:$Q$35</definedName>
    <definedName name="_xlnm.Print_Area" localSheetId="3">'Sch D - Enhcmt Pool Hrs'!$A$1:$B$54</definedName>
    <definedName name="_xlnm.Print_Titles" localSheetId="5">'F-1 Provider Svcs DDI Costs'!$1:$2</definedName>
    <definedName name="_xlnm.Print_Titles" localSheetId="8">'F-4 Provider Svcs Ops Pool'!$A:$B</definedName>
    <definedName name="_xlnm.Print_Titles" localSheetId="9">'G-1 Provider Svcs DDI Cost'!$1:$2</definedName>
    <definedName name="_xlnm.Print_Titles" localSheetId="12">'G-4 Provider Svcs Ops Pool'!$A:$B</definedName>
    <definedName name="_xlnm.Print_Titles" localSheetId="13">'H-1 Provider Svcs DDI Cost'!$1:$2</definedName>
    <definedName name="_xlnm.Print_Titles" localSheetId="16">'H-4 Provider Svcs Ops Pool'!$A:$B</definedName>
    <definedName name="_xlnm.Print_Titles" localSheetId="0">'Sch A - Cost Summary DDI'!#REF!</definedName>
    <definedName name="_xlnm.Print_Titles" localSheetId="1">'Sch B- DDI Pmnt Milestone'!$4:$4</definedName>
    <definedName name="_xlnm.Print_Titles" localSheetId="2">'Sch C - Cost of Ops'!$3:$3</definedName>
    <definedName name="_xlnm.Print_Titles" localSheetId="3">'Sch D - Enhcmt Pool Hrs'!$3:$3</definedName>
    <definedName name="_xlnm.Print_Titles" localSheetId="4">'Sch E - Resource Hourly Rates'!$3:$3</definedName>
    <definedName name="ProdSource">[7]Sheet1!$B$7:$B$8</definedName>
    <definedName name="q" localSheetId="0" hidden="1">{"rfcjan",#N/A,FALSE,"Stats"}</definedName>
    <definedName name="q" localSheetId="1" hidden="1">{"rfcjan",#N/A,FALSE,"Stats"}</definedName>
    <definedName name="q" localSheetId="2" hidden="1">{"rfcjan",#N/A,FALSE,"Stats"}</definedName>
    <definedName name="q" localSheetId="3" hidden="1">{"rfcjan",#N/A,FALSE,"Stats"}</definedName>
    <definedName name="q" hidden="1">{"rfcjan",#N/A,FALSE,"Stats"}</definedName>
    <definedName name="q1rename" localSheetId="0" hidden="1">{"rfcjan",#N/A,FALSE,"Stats"}</definedName>
    <definedName name="q1rename" localSheetId="1" hidden="1">{"rfcjan",#N/A,FALSE,"Stats"}</definedName>
    <definedName name="q1rename" localSheetId="2" hidden="1">{"rfcjan",#N/A,FALSE,"Stats"}</definedName>
    <definedName name="q1rename" localSheetId="3" hidden="1">{"rfcjan",#N/A,FALSE,"Stats"}</definedName>
    <definedName name="q1rename" hidden="1">{"rfcjan",#N/A,FALSE,"Stats"}</definedName>
    <definedName name="q2rename" localSheetId="0" hidden="1">{"rfcjan",#N/A,FALSE,"Stats"}</definedName>
    <definedName name="q2rename" localSheetId="1" hidden="1">{"rfcjan",#N/A,FALSE,"Stats"}</definedName>
    <definedName name="q2rename" localSheetId="2" hidden="1">{"rfcjan",#N/A,FALSE,"Stats"}</definedName>
    <definedName name="q2rename" localSheetId="3" hidden="1">{"rfcjan",#N/A,FALSE,"Stats"}</definedName>
    <definedName name="q2rename" hidden="1">{"rfcjan",#N/A,FALSE,"Stats"}</definedName>
    <definedName name="q3rename" localSheetId="0" hidden="1">{"rfcjan",#N/A,FALSE,"Stats"}</definedName>
    <definedName name="q3rename" localSheetId="1" hidden="1">{"rfcjan",#N/A,FALSE,"Stats"}</definedName>
    <definedName name="q3rename" localSheetId="2" hidden="1">{"rfcjan",#N/A,FALSE,"Stats"}</definedName>
    <definedName name="q3rename" localSheetId="3" hidden="1">{"rfcjan",#N/A,FALSE,"Stats"}</definedName>
    <definedName name="q3rename" hidden="1">{"rfcjan",#N/A,FALSE,"Stats"}</definedName>
    <definedName name="qrenam" localSheetId="0" hidden="1">{"rfcjan",#N/A,FALSE,"Stats"}</definedName>
    <definedName name="qrenam" localSheetId="1" hidden="1">{"rfcjan",#N/A,FALSE,"Stats"}</definedName>
    <definedName name="qrenam" localSheetId="2" hidden="1">{"rfcjan",#N/A,FALSE,"Stats"}</definedName>
    <definedName name="qrenam" localSheetId="3" hidden="1">{"rfcjan",#N/A,FALSE,"Stats"}</definedName>
    <definedName name="qrenam" hidden="1">{"rfcjan",#N/A,FALSE,"Stats"}</definedName>
    <definedName name="qtr1rename" localSheetId="0" hidden="1">{"rfcjan",#N/A,FALSE,"Stats"}</definedName>
    <definedName name="qtr1rename" localSheetId="1" hidden="1">{"rfcjan",#N/A,FALSE,"Stats"}</definedName>
    <definedName name="qtr1rename" localSheetId="2" hidden="1">{"rfcjan",#N/A,FALSE,"Stats"}</definedName>
    <definedName name="qtr1rename" localSheetId="3" hidden="1">{"rfcjan",#N/A,FALSE,"Stats"}</definedName>
    <definedName name="qtr1rename" hidden="1">{"rfcjan",#N/A,FALSE,"Stats"}</definedName>
    <definedName name="qtr3rename" localSheetId="0" hidden="1">{"rfcjan",#N/A,FALSE,"Stats"}</definedName>
    <definedName name="qtr3rename" localSheetId="1" hidden="1">{"rfcjan",#N/A,FALSE,"Stats"}</definedName>
    <definedName name="qtr3rename" localSheetId="2" hidden="1">{"rfcjan",#N/A,FALSE,"Stats"}</definedName>
    <definedName name="qtr3rename" localSheetId="3" hidden="1">{"rfcjan",#N/A,FALSE,"Stats"}</definedName>
    <definedName name="qtr3rename" hidden="1">{"rfcjan",#N/A,FALSE,"Stats"}</definedName>
    <definedName name="resources" localSheetId="0" hidden="1">{#N/A,#N/A,FALSE,"Assessment";#N/A,#N/A,FALSE,"Staffing";#N/A,#N/A,FALSE,"Hires";#N/A,#N/A,FALSE,"Assumptions"}</definedName>
    <definedName name="resources" localSheetId="1" hidden="1">{#N/A,#N/A,FALSE,"Assessment";#N/A,#N/A,FALSE,"Staffing";#N/A,#N/A,FALSE,"Hires";#N/A,#N/A,FALSE,"Assumptions"}</definedName>
    <definedName name="resources" localSheetId="2" hidden="1">{#N/A,#N/A,FALSE,"Assessment";#N/A,#N/A,FALSE,"Staffing";#N/A,#N/A,FALSE,"Hires";#N/A,#N/A,FALSE,"Assumptions"}</definedName>
    <definedName name="resources" localSheetId="3" hidden="1">{#N/A,#N/A,FALSE,"Assessment";#N/A,#N/A,FALSE,"Staffing";#N/A,#N/A,FALSE,"Hires";#N/A,#N/A,FALSE,"Assumptions"}</definedName>
    <definedName name="resources" hidden="1">{#N/A,#N/A,FALSE,"Assessment";#N/A,#N/A,FALSE,"Staffing";#N/A,#N/A,FALSE,"Hires";#N/A,#N/A,FALSE,"Assumptions"}</definedName>
    <definedName name="rwe" localSheetId="0" hidden="1">{#N/A,#N/A,FALSE,"Assessment";#N/A,#N/A,FALSE,"Staffing";#N/A,#N/A,FALSE,"Hires";#N/A,#N/A,FALSE,"Assumptions"}</definedName>
    <definedName name="rwe" localSheetId="1" hidden="1">{#N/A,#N/A,FALSE,"Assessment";#N/A,#N/A,FALSE,"Staffing";#N/A,#N/A,FALSE,"Hires";#N/A,#N/A,FALSE,"Assumptions"}</definedName>
    <definedName name="rwe" localSheetId="2" hidden="1">{#N/A,#N/A,FALSE,"Assessment";#N/A,#N/A,FALSE,"Staffing";#N/A,#N/A,FALSE,"Hires";#N/A,#N/A,FALSE,"Assumptions"}</definedName>
    <definedName name="rwe" localSheetId="3" hidden="1">{#N/A,#N/A,FALSE,"Assessment";#N/A,#N/A,FALSE,"Staffing";#N/A,#N/A,FALSE,"Hires";#N/A,#N/A,FALSE,"Assumptions"}</definedName>
    <definedName name="rwe" hidden="1">{#N/A,#N/A,FALSE,"Assessment";#N/A,#N/A,FALSE,"Staffing";#N/A,#N/A,FALSE,"Hires";#N/A,#N/A,FALSE,"Assumptions"}</definedName>
    <definedName name="sadf" localSheetId="0" hidden="1">{#N/A,#N/A,FALSE,"Assessment";#N/A,#N/A,FALSE,"Staffing";#N/A,#N/A,FALSE,"Hires";#N/A,#N/A,FALSE,"Assumptions"}</definedName>
    <definedName name="sadf" localSheetId="1" hidden="1">{#N/A,#N/A,FALSE,"Assessment";#N/A,#N/A,FALSE,"Staffing";#N/A,#N/A,FALSE,"Hires";#N/A,#N/A,FALSE,"Assumptions"}</definedName>
    <definedName name="sadf" localSheetId="2" hidden="1">{#N/A,#N/A,FALSE,"Assessment";#N/A,#N/A,FALSE,"Staffing";#N/A,#N/A,FALSE,"Hires";#N/A,#N/A,FALSE,"Assumptions"}</definedName>
    <definedName name="sadf" localSheetId="3" hidden="1">{#N/A,#N/A,FALSE,"Assessment";#N/A,#N/A,FALSE,"Staffing";#N/A,#N/A,FALSE,"Hires";#N/A,#N/A,FALSE,"Assumptions"}</definedName>
    <definedName name="sadf" hidden="1">{#N/A,#N/A,FALSE,"Assessment";#N/A,#N/A,FALSE,"Staffing";#N/A,#N/A,FALSE,"Hires";#N/A,#N/A,FALSE,"Assumptions"}</definedName>
    <definedName name="sd" localSheetId="0" hidden="1">{#N/A,#N/A,FALSE,"Membership";#N/A,#N/A,FALSE,"Membership cont";#N/A,#N/A,FALSE,"Info Source";#N/A,#N/A,FALSE,"Referral Source";#N/A,#N/A,FALSE,"Presenting";#N/A,#N/A,FALSE,"Case Disposition";#N/A,#N/A,FALSE,"Assessed";#N/A,#N/A,FALSE,"Telephone"}</definedName>
    <definedName name="sd" localSheetId="1" hidden="1">{#N/A,#N/A,FALSE,"Membership";#N/A,#N/A,FALSE,"Membership cont";#N/A,#N/A,FALSE,"Info Source";#N/A,#N/A,FALSE,"Referral Source";#N/A,#N/A,FALSE,"Presenting";#N/A,#N/A,FALSE,"Case Disposition";#N/A,#N/A,FALSE,"Assessed";#N/A,#N/A,FALSE,"Telephone"}</definedName>
    <definedName name="sd" localSheetId="2" hidden="1">{#N/A,#N/A,FALSE,"Membership";#N/A,#N/A,FALSE,"Membership cont";#N/A,#N/A,FALSE,"Info Source";#N/A,#N/A,FALSE,"Referral Source";#N/A,#N/A,FALSE,"Presenting";#N/A,#N/A,FALSE,"Case Disposition";#N/A,#N/A,FALSE,"Assessed";#N/A,#N/A,FALSE,"Telephone"}</definedName>
    <definedName name="sd" localSheetId="3" hidden="1">{#N/A,#N/A,FALSE,"Membership";#N/A,#N/A,FALSE,"Membership cont";#N/A,#N/A,FALSE,"Info Source";#N/A,#N/A,FALSE,"Referral Source";#N/A,#N/A,FALSE,"Presenting";#N/A,#N/A,FALSE,"Case Disposition";#N/A,#N/A,FALSE,"Assessed";#N/A,#N/A,FALSE,"Telephone"}</definedName>
    <definedName name="sd" hidden="1">{#N/A,#N/A,FALSE,"Membership";#N/A,#N/A,FALSE,"Membership cont";#N/A,#N/A,FALSE,"Info Source";#N/A,#N/A,FALSE,"Referral Source";#N/A,#N/A,FALSE,"Presenting";#N/A,#N/A,FALSE,"Case Disposition";#N/A,#N/A,FALSE,"Assessed";#N/A,#N/A,FALSE,"Telephone"}</definedName>
    <definedName name="sdf"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localSheetId="0" hidden="1">{#N/A,#N/A,FALSE,"TS";#N/A,#N/A,FALSE,"Combo";#N/A,#N/A,FALSE,"FAIR";#N/A,#N/A,FALSE,"RBC";#N/A,#N/A,FALSE,"xxxx";#N/A,#N/A,FALSE,"A_D";#N/A,#N/A,FALSE,"WACC";#N/A,#N/A,FALSE,"DCF";#N/A,#N/A,FALSE,"LBO";#N/A,#N/A,FALSE,"AcqMults";#N/A,#N/A,FALSE,"CompMults"}</definedName>
    <definedName name="sdfaw" localSheetId="1" hidden="1">{#N/A,#N/A,FALSE,"TS";#N/A,#N/A,FALSE,"Combo";#N/A,#N/A,FALSE,"FAIR";#N/A,#N/A,FALSE,"RBC";#N/A,#N/A,FALSE,"xxxx";#N/A,#N/A,FALSE,"A_D";#N/A,#N/A,FALSE,"WACC";#N/A,#N/A,FALSE,"DCF";#N/A,#N/A,FALSE,"LBO";#N/A,#N/A,FALSE,"AcqMults";#N/A,#N/A,FALSE,"CompMults"}</definedName>
    <definedName name="sdfaw" localSheetId="2" hidden="1">{#N/A,#N/A,FALSE,"TS";#N/A,#N/A,FALSE,"Combo";#N/A,#N/A,FALSE,"FAIR";#N/A,#N/A,FALSE,"RBC";#N/A,#N/A,FALSE,"xxxx";#N/A,#N/A,FALSE,"A_D";#N/A,#N/A,FALSE,"WACC";#N/A,#N/A,FALSE,"DCF";#N/A,#N/A,FALSE,"LBO";#N/A,#N/A,FALSE,"AcqMults";#N/A,#N/A,FALSE,"CompMults"}</definedName>
    <definedName name="sdfaw" localSheetId="3" hidden="1">{#N/A,#N/A,FALSE,"TS";#N/A,#N/A,FALSE,"Combo";#N/A,#N/A,FALSE,"FAIR";#N/A,#N/A,FALSE,"RBC";#N/A,#N/A,FALSE,"xxxx";#N/A,#N/A,FALSE,"A_D";#N/A,#N/A,FALSE,"WACC";#N/A,#N/A,FALSE,"DCF";#N/A,#N/A,FALSE,"LBO";#N/A,#N/A,FALSE,"AcqMults";#N/A,#N/A,FALSE,"CompMults"}</definedName>
    <definedName name="sdfaw" hidden="1">{#N/A,#N/A,FALSE,"TS";#N/A,#N/A,FALSE,"Combo";#N/A,#N/A,FALSE,"FAIR";#N/A,#N/A,FALSE,"RBC";#N/A,#N/A,FALSE,"xxxx";#N/A,#N/A,FALSE,"A_D";#N/A,#N/A,FALSE,"WACC";#N/A,#N/A,FALSE,"DCF";#N/A,#N/A,FALSE,"LBO";#N/A,#N/A,FALSE,"AcqMults";#N/A,#N/A,FALSE,"CompMults"}</definedName>
    <definedName name="sdg"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localSheetId="0" hidden="1">{#N/A,#N/A,FALSE,"Membership";#N/A,#N/A,FALSE,"Membership cont";#N/A,#N/A,FALSE,"Info Source";#N/A,#N/A,FALSE,"Referral Source";#N/A,#N/A,FALSE,"Presenting";#N/A,#N/A,FALSE,"Case Disposition";#N/A,#N/A,FALSE,"Assessed";#N/A,#N/A,FALSE,"Telephone"}</definedName>
    <definedName name="sdwe" localSheetId="1" hidden="1">{#N/A,#N/A,FALSE,"Membership";#N/A,#N/A,FALSE,"Membership cont";#N/A,#N/A,FALSE,"Info Source";#N/A,#N/A,FALSE,"Referral Source";#N/A,#N/A,FALSE,"Presenting";#N/A,#N/A,FALSE,"Case Disposition";#N/A,#N/A,FALSE,"Assessed";#N/A,#N/A,FALSE,"Telephone"}</definedName>
    <definedName name="sdwe" localSheetId="2" hidden="1">{#N/A,#N/A,FALSE,"Membership";#N/A,#N/A,FALSE,"Membership cont";#N/A,#N/A,FALSE,"Info Source";#N/A,#N/A,FALSE,"Referral Source";#N/A,#N/A,FALSE,"Presenting";#N/A,#N/A,FALSE,"Case Disposition";#N/A,#N/A,FALSE,"Assessed";#N/A,#N/A,FALSE,"Telephone"}</definedName>
    <definedName name="sdwe" localSheetId="3" hidden="1">{#N/A,#N/A,FALSE,"Membership";#N/A,#N/A,FALSE,"Membership cont";#N/A,#N/A,FALSE,"Info Source";#N/A,#N/A,FALSE,"Referral Source";#N/A,#N/A,FALSE,"Presenting";#N/A,#N/A,FALSE,"Case Disposition";#N/A,#N/A,FALSE,"Assessed";#N/A,#N/A,FALSE,"Telephone"}</definedName>
    <definedName name="sdwe" hidden="1">{#N/A,#N/A,FALSE,"Membership";#N/A,#N/A,FALSE,"Membership cont";#N/A,#N/A,FALSE,"Info Source";#N/A,#N/A,FALSE,"Referral Source";#N/A,#N/A,FALSE,"Presenting";#N/A,#N/A,FALSE,"Case Disposition";#N/A,#N/A,FALSE,"Assessed";#N/A,#N/A,FALSE,"Telephone"}</definedName>
    <definedName name="staffing2" localSheetId="0" hidden="1">{#N/A,#N/A,FALSE,"Assessment";#N/A,#N/A,FALSE,"Staffing";#N/A,#N/A,FALSE,"Hires";#N/A,#N/A,FALSE,"Assumptions"}</definedName>
    <definedName name="staffing2" localSheetId="1" hidden="1">{#N/A,#N/A,FALSE,"Assessment";#N/A,#N/A,FALSE,"Staffing";#N/A,#N/A,FALSE,"Hires";#N/A,#N/A,FALSE,"Assumptions"}</definedName>
    <definedName name="staffing2" localSheetId="2" hidden="1">{#N/A,#N/A,FALSE,"Assessment";#N/A,#N/A,FALSE,"Staffing";#N/A,#N/A,FALSE,"Hires";#N/A,#N/A,FALSE,"Assumptions"}</definedName>
    <definedName name="staffing2" localSheetId="3" hidden="1">{#N/A,#N/A,FALSE,"Assessment";#N/A,#N/A,FALSE,"Staffing";#N/A,#N/A,FALSE,"Hires";#N/A,#N/A,FALSE,"Assumptions"}</definedName>
    <definedName name="staffing2" hidden="1">{#N/A,#N/A,FALSE,"Assessment";#N/A,#N/A,FALSE,"Staffing";#N/A,#N/A,FALSE,"Hires";#N/A,#N/A,FALSE,"Assumptions"}</definedName>
    <definedName name="Staffing3" localSheetId="0" hidden="1">{#N/A,#N/A,FALSE,"Assessment";#N/A,#N/A,FALSE,"Staffing";#N/A,#N/A,FALSE,"Hires";#N/A,#N/A,FALSE,"Assumptions"}</definedName>
    <definedName name="Staffing3" localSheetId="1" hidden="1">{#N/A,#N/A,FALSE,"Assessment";#N/A,#N/A,FALSE,"Staffing";#N/A,#N/A,FALSE,"Hires";#N/A,#N/A,FALSE,"Assumptions"}</definedName>
    <definedName name="Staffing3" localSheetId="2" hidden="1">{#N/A,#N/A,FALSE,"Assessment";#N/A,#N/A,FALSE,"Staffing";#N/A,#N/A,FALSE,"Hires";#N/A,#N/A,FALSE,"Assumptions"}</definedName>
    <definedName name="Staffing3" localSheetId="3" hidden="1">{#N/A,#N/A,FALSE,"Assessment";#N/A,#N/A,FALSE,"Staffing";#N/A,#N/A,FALSE,"Hires";#N/A,#N/A,FALSE,"Assumptions"}</definedName>
    <definedName name="Staffing3" hidden="1">{#N/A,#N/A,FALSE,"Assessment";#N/A,#N/A,FALSE,"Staffing";#N/A,#N/A,FALSE,"Hires";#N/A,#N/A,FALSE,"Assumptions"}</definedName>
    <definedName name="Start72">#REF!</definedName>
    <definedName name="Start73">#REF!</definedName>
    <definedName name="Start78" localSheetId="0">#REF!</definedName>
    <definedName name="Start78" localSheetId="1">#REF!</definedName>
    <definedName name="Start78" localSheetId="2">#REF!</definedName>
    <definedName name="Start78" localSheetId="3">#REF!</definedName>
    <definedName name="Start78">#REF!</definedName>
    <definedName name="Start79" localSheetId="0">#REF!</definedName>
    <definedName name="Start79" localSheetId="1">#REF!</definedName>
    <definedName name="Start79" localSheetId="2">#REF!</definedName>
    <definedName name="Start79" localSheetId="3">#REF!</definedName>
    <definedName name="Start79">#REF!</definedName>
    <definedName name="Start80">#REF!</definedName>
    <definedName name="Start81">#REF!</definedName>
    <definedName name="SUMMARY_BOOK" localSheetId="0" hidden="1">{"page1",#N/A,FALSE,"GIRLBO";"page2",#N/A,FALSE,"GIRLBO";"page3",#N/A,FALSE,"GIRLBO";"page4",#N/A,FALSE,"GIRLBO";"page5",#N/A,FALSE,"GIRLBO"}</definedName>
    <definedName name="SUMMARY_BOOK" localSheetId="1" hidden="1">{"page1",#N/A,FALSE,"GIRLBO";"page2",#N/A,FALSE,"GIRLBO";"page3",#N/A,FALSE,"GIRLBO";"page4",#N/A,FALSE,"GIRLBO";"page5",#N/A,FALSE,"GIRLBO"}</definedName>
    <definedName name="SUMMARY_BOOK" localSheetId="2" hidden="1">{"page1",#N/A,FALSE,"GIRLBO";"page2",#N/A,FALSE,"GIRLBO";"page3",#N/A,FALSE,"GIRLBO";"page4",#N/A,FALSE,"GIRLBO";"page5",#N/A,FALSE,"GIRLBO"}</definedName>
    <definedName name="SUMMARY_BOOK" localSheetId="3" hidden="1">{"page1",#N/A,FALSE,"GIRLBO";"page2",#N/A,FALSE,"GIRLBO";"page3",#N/A,FALSE,"GIRLBO";"page4",#N/A,FALSE,"GIRLBO";"page5",#N/A,FALSE,"GIRLBO"}</definedName>
    <definedName name="SUMMARY_BOOK" hidden="1">{"page1",#N/A,FALSE,"GIRLBO";"page2",#N/A,FALSE,"GIRLBO";"page3",#N/A,FALSE,"GIRLBO";"page4",#N/A,FALSE,"GIRLBO";"page5",#N/A,FALSE,"GIRLBO"}</definedName>
    <definedName name="suzan" localSheetId="0" hidden="1">{"testysht3",#N/A,FALSE,"Sheet3"}</definedName>
    <definedName name="suzan" localSheetId="1" hidden="1">{"testysht3",#N/A,FALSE,"Sheet3"}</definedName>
    <definedName name="suzan" localSheetId="2" hidden="1">{"testysht3",#N/A,FALSE,"Sheet3"}</definedName>
    <definedName name="suzan" localSheetId="3" hidden="1">{"testysht3",#N/A,FALSE,"Sheet3"}</definedName>
    <definedName name="suzan" hidden="1">{"testysht3",#N/A,FALSE,"Sheet3"}</definedName>
    <definedName name="t" localSheetId="0" hidden="1">{"rfcjan",#N/A,FALSE,"Stats"}</definedName>
    <definedName name="t" localSheetId="1" hidden="1">{"rfcjan",#N/A,FALSE,"Stats"}</definedName>
    <definedName name="t" localSheetId="2" hidden="1">{"rfcjan",#N/A,FALSE,"Stats"}</definedName>
    <definedName name="t" localSheetId="3" hidden="1">{"rfcjan",#N/A,FALSE,"Stats"}</definedName>
    <definedName name="t" hidden="1">{"rfcjan",#N/A,FALSE,"Stats"}</definedName>
    <definedName name="temp" localSheetId="0" hidden="1">{"rfcjan",#N/A,FALSE,"Stats"}</definedName>
    <definedName name="temp" localSheetId="1" hidden="1">{"rfcjan",#N/A,FALSE,"Stats"}</definedName>
    <definedName name="temp" localSheetId="2" hidden="1">{"rfcjan",#N/A,FALSE,"Stats"}</definedName>
    <definedName name="temp" localSheetId="3" hidden="1">{"rfcjan",#N/A,FALSE,"Stats"}</definedName>
    <definedName name="temp" hidden="1">{"rfcjan",#N/A,FALSE,"Stats"}</definedName>
    <definedName name="Temp_2" localSheetId="0" hidden="1">{#N/A,#N/A,FALSE,"Assessment";#N/A,#N/A,FALSE,"Staffing";#N/A,#N/A,FALSE,"Hires";#N/A,#N/A,FALSE,"Assumptions"}</definedName>
    <definedName name="Temp_2" localSheetId="1" hidden="1">{#N/A,#N/A,FALSE,"Assessment";#N/A,#N/A,FALSE,"Staffing";#N/A,#N/A,FALSE,"Hires";#N/A,#N/A,FALSE,"Assumptions"}</definedName>
    <definedName name="Temp_2" localSheetId="2" hidden="1">{#N/A,#N/A,FALSE,"Assessment";#N/A,#N/A,FALSE,"Staffing";#N/A,#N/A,FALSE,"Hires";#N/A,#N/A,FALSE,"Assumptions"}</definedName>
    <definedName name="Temp_2" localSheetId="3" hidden="1">{#N/A,#N/A,FALSE,"Assessment";#N/A,#N/A,FALSE,"Staffing";#N/A,#N/A,FALSE,"Hires";#N/A,#N/A,FALSE,"Assumptions"}</definedName>
    <definedName name="Temp_2" hidden="1">{#N/A,#N/A,FALSE,"Assessment";#N/A,#N/A,FALSE,"Staffing";#N/A,#N/A,FALSE,"Hires";#N/A,#N/A,FALSE,"Assumptions"}</definedName>
    <definedName name="Temp_3" localSheetId="0" hidden="1">{#N/A,#N/A,FALSE,"Assessment";#N/A,#N/A,FALSE,"Staffing";#N/A,#N/A,FALSE,"Hires";#N/A,#N/A,FALSE,"Assumptions"}</definedName>
    <definedName name="Temp_3" localSheetId="1" hidden="1">{#N/A,#N/A,FALSE,"Assessment";#N/A,#N/A,FALSE,"Staffing";#N/A,#N/A,FALSE,"Hires";#N/A,#N/A,FALSE,"Assumptions"}</definedName>
    <definedName name="Temp_3" localSheetId="2" hidden="1">{#N/A,#N/A,FALSE,"Assessment";#N/A,#N/A,FALSE,"Staffing";#N/A,#N/A,FALSE,"Hires";#N/A,#N/A,FALSE,"Assumptions"}</definedName>
    <definedName name="Temp_3" localSheetId="3" hidden="1">{#N/A,#N/A,FALSE,"Assessment";#N/A,#N/A,FALSE,"Staffing";#N/A,#N/A,FALSE,"Hires";#N/A,#N/A,FALSE,"Assumptions"}</definedName>
    <definedName name="Temp_3" hidden="1">{#N/A,#N/A,FALSE,"Assessment";#N/A,#N/A,FALSE,"Staffing";#N/A,#N/A,FALSE,"Hires";#N/A,#N/A,FALSE,"Assumptions"}</definedName>
    <definedName name="test3" localSheetId="0" hidden="1">{#N/A,#N/A,FALSE,"Membership";#N/A,#N/A,FALSE,"Membership cont";#N/A,#N/A,FALSE,"Info Source";#N/A,#N/A,FALSE,"Referral Source";#N/A,#N/A,FALSE,"Presenting";#N/A,#N/A,FALSE,"Case Disposition";#N/A,#N/A,FALSE,"Assessed";#N/A,#N/A,FALSE,"Telephone"}</definedName>
    <definedName name="test3" localSheetId="1" hidden="1">{#N/A,#N/A,FALSE,"Membership";#N/A,#N/A,FALSE,"Membership cont";#N/A,#N/A,FALSE,"Info Source";#N/A,#N/A,FALSE,"Referral Source";#N/A,#N/A,FALSE,"Presenting";#N/A,#N/A,FALSE,"Case Disposition";#N/A,#N/A,FALSE,"Assessed";#N/A,#N/A,FALSE,"Telephone"}</definedName>
    <definedName name="test3" localSheetId="2" hidden="1">{#N/A,#N/A,FALSE,"Membership";#N/A,#N/A,FALSE,"Membership cont";#N/A,#N/A,FALSE,"Info Source";#N/A,#N/A,FALSE,"Referral Source";#N/A,#N/A,FALSE,"Presenting";#N/A,#N/A,FALSE,"Case Disposition";#N/A,#N/A,FALSE,"Assessed";#N/A,#N/A,FALSE,"Telephone"}</definedName>
    <definedName name="test3" localSheetId="3" hidden="1">{#N/A,#N/A,FALSE,"Membership";#N/A,#N/A,FALSE,"Membership cont";#N/A,#N/A,FALSE,"Info Source";#N/A,#N/A,FALSE,"Referral Source";#N/A,#N/A,FALSE,"Presenting";#N/A,#N/A,FALSE,"Case Disposition";#N/A,#N/A,FALSE,"Assessed";#N/A,#N/A,FALSE,"Telephone"}</definedName>
    <definedName name="test3" hidden="1">{#N/A,#N/A,FALSE,"Membership";#N/A,#N/A,FALSE,"Membership cont";#N/A,#N/A,FALSE,"Info Source";#N/A,#N/A,FALSE,"Referral Source";#N/A,#N/A,FALSE,"Presenting";#N/A,#N/A,FALSE,"Case Disposition";#N/A,#N/A,FALSE,"Assessed";#N/A,#N/A,FALSE,"Telephone"}</definedName>
    <definedName name="Tmp" localSheetId="0" hidden="1">{"JANRDET",#N/A,FALSE,"detail"}</definedName>
    <definedName name="Tmp" localSheetId="1" hidden="1">{"JANRDET",#N/A,FALSE,"detail"}</definedName>
    <definedName name="Tmp" localSheetId="2" hidden="1">{"JANRDET",#N/A,FALSE,"detail"}</definedName>
    <definedName name="Tmp" localSheetId="3" hidden="1">{"JANRDET",#N/A,FALSE,"detail"}</definedName>
    <definedName name="Tmp" hidden="1">{"JANRDET",#N/A,FALSE,"detail"}</definedName>
    <definedName name="TotalDiscount">IF(ISNUMBER('[5]Pricing Employee'!$AJ1),'[5]Pricing Employee'!$AJ1,0)+IF(ISNUMBER('[5]Pricing Employee'!$AI1),'[5]Pricing Employee'!$AI1,0)</definedName>
    <definedName name="wer" localSheetId="0" hidden="1">{#N/A,#N/A,FALSE,"TS";#N/A,#N/A,FALSE,"Combo";#N/A,#N/A,FALSE,"FAIR";#N/A,#N/A,FALSE,"RBC";#N/A,#N/A,FALSE,"xxxx";#N/A,#N/A,FALSE,"A_D";#N/A,#N/A,FALSE,"WACC";#N/A,#N/A,FALSE,"DCF";#N/A,#N/A,FALSE,"LBO";#N/A,#N/A,FALSE,"AcqMults";#N/A,#N/A,FALSE,"CompMults"}</definedName>
    <definedName name="wer" localSheetId="1" hidden="1">{#N/A,#N/A,FALSE,"TS";#N/A,#N/A,FALSE,"Combo";#N/A,#N/A,FALSE,"FAIR";#N/A,#N/A,FALSE,"RBC";#N/A,#N/A,FALSE,"xxxx";#N/A,#N/A,FALSE,"A_D";#N/A,#N/A,FALSE,"WACC";#N/A,#N/A,FALSE,"DCF";#N/A,#N/A,FALSE,"LBO";#N/A,#N/A,FALSE,"AcqMults";#N/A,#N/A,FALSE,"CompMults"}</definedName>
    <definedName name="wer" localSheetId="2" hidden="1">{#N/A,#N/A,FALSE,"TS";#N/A,#N/A,FALSE,"Combo";#N/A,#N/A,FALSE,"FAIR";#N/A,#N/A,FALSE,"RBC";#N/A,#N/A,FALSE,"xxxx";#N/A,#N/A,FALSE,"A_D";#N/A,#N/A,FALSE,"WACC";#N/A,#N/A,FALSE,"DCF";#N/A,#N/A,FALSE,"LBO";#N/A,#N/A,FALSE,"AcqMults";#N/A,#N/A,FALSE,"CompMults"}</definedName>
    <definedName name="wer" localSheetId="3" hidden="1">{#N/A,#N/A,FALSE,"TS";#N/A,#N/A,FALSE,"Combo";#N/A,#N/A,FALSE,"FAIR";#N/A,#N/A,FALSE,"RBC";#N/A,#N/A,FALSE,"xxxx";#N/A,#N/A,FALSE,"A_D";#N/A,#N/A,FALSE,"WACC";#N/A,#N/A,FALSE,"DCF";#N/A,#N/A,FALSE,"LBO";#N/A,#N/A,FALSE,"AcqMults";#N/A,#N/A,FALSE,"CompMults"}</definedName>
    <definedName name="wer" hidden="1">{#N/A,#N/A,FALSE,"TS";#N/A,#N/A,FALSE,"Combo";#N/A,#N/A,FALSE,"FAIR";#N/A,#N/A,FALSE,"RBC";#N/A,#N/A,FALSE,"xxxx";#N/A,#N/A,FALSE,"A_D";#N/A,#N/A,FALSE,"WACC";#N/A,#N/A,FALSE,"DCF";#N/A,#N/A,FALSE,"LBO";#N/A,#N/A,FALSE,"AcqMults";#N/A,#N/A,FALSE,"CompMults"}</definedName>
    <definedName name="werasfd" localSheetId="0" hidden="1">{#N/A,#N/A,FALSE,"Assessment";#N/A,#N/A,FALSE,"Staffing";#N/A,#N/A,FALSE,"Hires";#N/A,#N/A,FALSE,"Assumptions"}</definedName>
    <definedName name="werasfd" localSheetId="1" hidden="1">{#N/A,#N/A,FALSE,"Assessment";#N/A,#N/A,FALSE,"Staffing";#N/A,#N/A,FALSE,"Hires";#N/A,#N/A,FALSE,"Assumptions"}</definedName>
    <definedName name="werasfd" localSheetId="2" hidden="1">{#N/A,#N/A,FALSE,"Assessment";#N/A,#N/A,FALSE,"Staffing";#N/A,#N/A,FALSE,"Hires";#N/A,#N/A,FALSE,"Assumptions"}</definedName>
    <definedName name="werasfd" localSheetId="3" hidden="1">{#N/A,#N/A,FALSE,"Assessment";#N/A,#N/A,FALSE,"Staffing";#N/A,#N/A,FALSE,"Hires";#N/A,#N/A,FALSE,"Assumptions"}</definedName>
    <definedName name="werasfd" hidden="1">{#N/A,#N/A,FALSE,"Assessment";#N/A,#N/A,FALSE,"Staffing";#N/A,#N/A,FALSE,"Hires";#N/A,#N/A,FALSE,"Assumptions"}</definedName>
    <definedName name="wjg" localSheetId="0" hidden="1">{"rfcjan",#N/A,FALSE,"Stats"}</definedName>
    <definedName name="wjg" localSheetId="1" hidden="1">{"rfcjan",#N/A,FALSE,"Stats"}</definedName>
    <definedName name="wjg" localSheetId="2" hidden="1">{"rfcjan",#N/A,FALSE,"Stats"}</definedName>
    <definedName name="wjg" localSheetId="3" hidden="1">{"rfcjan",#N/A,FALSE,"Stats"}</definedName>
    <definedName name="wjg" hidden="1">{"rfcjan",#N/A,FALSE,"Stats"}</definedName>
    <definedName name="wrb2rename" localSheetId="0" hidden="1">{"rfcjan",#N/A,FALSE,"Stats"}</definedName>
    <definedName name="wrb2rename" localSheetId="1" hidden="1">{"rfcjan",#N/A,FALSE,"Stats"}</definedName>
    <definedName name="wrb2rename" localSheetId="2" hidden="1">{"rfcjan",#N/A,FALSE,"Stats"}</definedName>
    <definedName name="wrb2rename" localSheetId="3" hidden="1">{"rfcjan",#N/A,FALSE,"Stats"}</definedName>
    <definedName name="wrb2rename" hidden="1">{"rfcjan",#N/A,FALSE,"Stats"}</definedName>
    <definedName name="wrkbk2" localSheetId="0" hidden="1">{"rfcjan",#N/A,FALSE,"Stats"}</definedName>
    <definedName name="wrkbk2" localSheetId="1" hidden="1">{"rfcjan",#N/A,FALSE,"Stats"}</definedName>
    <definedName name="wrkbk2" localSheetId="2" hidden="1">{"rfcjan",#N/A,FALSE,"Stats"}</definedName>
    <definedName name="wrkbk2" localSheetId="3" hidden="1">{"rfcjan",#N/A,FALSE,"Stats"}</definedName>
    <definedName name="wrkbk2" hidden="1">{"rfcjan",#N/A,FALSE,"Stats"}</definedName>
    <definedName name="wrkbk2rename" localSheetId="0" hidden="1">{"rfcjan",#N/A,FALSE,"Stats"}</definedName>
    <definedName name="wrkbk2rename" localSheetId="1" hidden="1">{"rfcjan",#N/A,FALSE,"Stats"}</definedName>
    <definedName name="wrkbk2rename" localSheetId="2" hidden="1">{"rfcjan",#N/A,FALSE,"Stats"}</definedName>
    <definedName name="wrkbk2rename" localSheetId="3" hidden="1">{"rfcjan",#N/A,FALSE,"Stats"}</definedName>
    <definedName name="wrkbk2rename" hidden="1">{"rfcjan",#N/A,FALSE,"Stats"}</definedName>
    <definedName name="wrn.2000._.Budget." localSheetId="0"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3"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localSheetId="0"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3"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localSheetId="2" hidden="1">{#N/A,#N/A,FALSE,"New Depr Sch-150% DB";#N/A,#N/A,FALSE,"Cash Flows RLP";#N/A,#N/A,FALSE,"IRR";#N/A,#N/A,FALSE,"Proforma IS";#N/A,#N/A,FALSE,"Assumptions"}</definedName>
    <definedName name="wrn.Basic._.Report." localSheetId="3"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localSheetId="2" hidden="1">{#N/A,#N/A,FALSE,"Assumptions";#N/A,#N/A,FALSE,"Proforma IS";#N/A,#N/A,FALSE,"Cash Flows RLP";#N/A,#N/A,FALSE,"IRR";#N/A,#N/A,FALSE,"New Depr Sch-150% DB";#N/A,#N/A,FALSE,"Comments"}</definedName>
    <definedName name="wrn.Complete._.Report." localSheetId="3"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localSheetId="0" hidden="1">{"rfcjan",#N/A,FALSE,"Stats"}</definedName>
    <definedName name="wrn.JANR2." localSheetId="1" hidden="1">{"rfcjan",#N/A,FALSE,"Stats"}</definedName>
    <definedName name="wrn.JANR2." localSheetId="2" hidden="1">{"rfcjan",#N/A,FALSE,"Stats"}</definedName>
    <definedName name="wrn.JANR2." localSheetId="3" hidden="1">{"rfcjan",#N/A,FALSE,"Stats"}</definedName>
    <definedName name="wrn.JANR2." hidden="1">{"rfcjan",#N/A,FALSE,"Stats"}</definedName>
    <definedName name="wrn.JANR2.rename" localSheetId="0" hidden="1">{"rfcjan",#N/A,FALSE,"Stats"}</definedName>
    <definedName name="wrn.JANR2.rename" localSheetId="1" hidden="1">{"rfcjan",#N/A,FALSE,"Stats"}</definedName>
    <definedName name="wrn.JANR2.rename" localSheetId="2" hidden="1">{"rfcjan",#N/A,FALSE,"Stats"}</definedName>
    <definedName name="wrn.JANR2.rename" localSheetId="3" hidden="1">{"rfcjan",#N/A,FALSE,"Stats"}</definedName>
    <definedName name="wrn.JANR2.rename" hidden="1">{"rfcjan",#N/A,FALSE,"Stats"}</definedName>
    <definedName name="wrn.JANRD." localSheetId="0" hidden="1">{"JANRDET",#N/A,FALSE,"detail"}</definedName>
    <definedName name="wrn.JANRD." localSheetId="1" hidden="1">{"JANRDET",#N/A,FALSE,"detail"}</definedName>
    <definedName name="wrn.JANRD." localSheetId="2" hidden="1">{"JANRDET",#N/A,FALSE,"detail"}</definedName>
    <definedName name="wrn.JANRD." localSheetId="3" hidden="1">{"JANRDET",#N/A,FALSE,"detail"}</definedName>
    <definedName name="wrn.JANRD." hidden="1">{"JANRDET",#N/A,FALSE,"detail"}</definedName>
    <definedName name="wrn.MONTHLY._.BILLING._.LIST." localSheetId="0" hidden="1">{#N/A,#N/A,TRUE,"DATA"}</definedName>
    <definedName name="wrn.MONTHLY._.BILLING._.LIST." localSheetId="1" hidden="1">{#N/A,#N/A,TRUE,"DATA"}</definedName>
    <definedName name="wrn.MONTHLY._.BILLING._.LIST." localSheetId="2" hidden="1">{#N/A,#N/A,TRUE,"DATA"}</definedName>
    <definedName name="wrn.MONTHLY._.BILLING._.LIST." localSheetId="3" hidden="1">{#N/A,#N/A,TRUE,"DATA"}</definedName>
    <definedName name="wrn.MONTHLY._.BILLING._.LIST." hidden="1">{#N/A,#N/A,TRUE,"DATA"}</definedName>
    <definedName name="wrn.print." localSheetId="0" hidden="1">{#N/A,#N/A,FALSE,"Japan 2003";#N/A,#N/A,FALSE,"Sheet2"}</definedName>
    <definedName name="wrn.print." localSheetId="1" hidden="1">{#N/A,#N/A,FALSE,"Japan 2003";#N/A,#N/A,FALSE,"Sheet2"}</definedName>
    <definedName name="wrn.print." localSheetId="2" hidden="1">{#N/A,#N/A,FALSE,"Japan 2003";#N/A,#N/A,FALSE,"Sheet2"}</definedName>
    <definedName name="wrn.print." localSheetId="3" hidden="1">{#N/A,#N/A,FALSE,"Japan 2003";#N/A,#N/A,FALSE,"Sheet2"}</definedName>
    <definedName name="wrn.print." hidden="1">{#N/A,#N/A,FALSE,"Japan 2003";#N/A,#N/A,FALSE,"Sheet2"}</definedName>
    <definedName name="wrn.Q3._.Prof._.Serv._.Summary." localSheetId="0" hidden="1">{"Professional Service Summary",#N/A,FALSE,"Q3 Prof Serv"}</definedName>
    <definedName name="wrn.Q3._.Prof._.Serv._.Summary." localSheetId="1" hidden="1">{"Professional Service Summary",#N/A,FALSE,"Q3 Prof Serv"}</definedName>
    <definedName name="wrn.Q3._.Prof._.Serv._.Summary." localSheetId="2" hidden="1">{"Professional Service Summary",#N/A,FALSE,"Q3 Prof Serv"}</definedName>
    <definedName name="wrn.Q3._.Prof._.Serv._.Summary." localSheetId="3" hidden="1">{"Professional Service Summary",#N/A,FALSE,"Q3 Prof Serv"}</definedName>
    <definedName name="wrn.Q3._.Prof._.Serv._.Summary." hidden="1">{"Professional Service Summary",#N/A,FALSE,"Q3 Prof Serv"}</definedName>
    <definedName name="wrn.Q3._.Professional._.service._.detail." localSheetId="0" hidden="1">{"Professional Service Detail",#N/A,FALSE,"Q3 Prof Serv"}</definedName>
    <definedName name="wrn.Q3._.Professional._.service._.detail." localSheetId="1" hidden="1">{"Professional Service Detail",#N/A,FALSE,"Q3 Prof Serv"}</definedName>
    <definedName name="wrn.Q3._.Professional._.service._.detail." localSheetId="2" hidden="1">{"Professional Service Detail",#N/A,FALSE,"Q3 Prof Serv"}</definedName>
    <definedName name="wrn.Q3._.Professional._.service._.detail." localSheetId="3" hidden="1">{"Professional Service Detail",#N/A,FALSE,"Q3 Prof Serv"}</definedName>
    <definedName name="wrn.Q3._.Professional._.service._.detail." hidden="1">{"Professional Service Detail",#N/A,FALSE,"Q3 Prof Serv"}</definedName>
    <definedName name="wrn.Quarterly."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localSheetId="0" hidden="1">{#N/A,#N/A,FALSE,"Membership";#N/A,#N/A,FALSE,"Membership cont";#N/A,#N/A,FALSE,"Info Source";#N/A,#N/A,FALSE,"Referral Source";#N/A,#N/A,FALSE,"Presenting";#N/A,#N/A,FALSE,"Case Disposition";#N/A,#N/A,FALSE,"Assessed";#N/A,#N/A,FALSE,"Telephone"}</definedName>
    <definedName name="wrn.Reports." localSheetId="1"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localSheetId="3"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taff._.and._.Department._.Summaries." localSheetId="0" hidden="1">{"Staff and Department Summaries",#N/A,FALSE,"Staff Revenue + Comp"}</definedName>
    <definedName name="wrn.Staff._.and._.Department._.Summaries." localSheetId="1" hidden="1">{"Staff and Department Summaries",#N/A,FALSE,"Staff Revenue + Comp"}</definedName>
    <definedName name="wrn.Staff._.and._.Department._.Summaries." localSheetId="2" hidden="1">{"Staff and Department Summaries",#N/A,FALSE,"Staff Revenue + Comp"}</definedName>
    <definedName name="wrn.Staff._.and._.Department._.Summaries." localSheetId="3" hidden="1">{"Staff and Department Summaries",#N/A,FALSE,"Staff Revenue + Comp"}</definedName>
    <definedName name="wrn.Staff._.and._.Department._.Summaries." hidden="1">{"Staff and Department Summaries",#N/A,FALSE,"Staff Revenue + Comp"}</definedName>
    <definedName name="wrn.Staff._.Detail." localSheetId="0" hidden="1">{"Staff Detail",#N/A,FALSE,"Staff Revenue + Comp"}</definedName>
    <definedName name="wrn.Staff._.Detail." localSheetId="1" hidden="1">{"Staff Detail",#N/A,FALSE,"Staff Revenue + Comp"}</definedName>
    <definedName name="wrn.Staff._.Detail." localSheetId="2" hidden="1">{"Staff Detail",#N/A,FALSE,"Staff Revenue + Comp"}</definedName>
    <definedName name="wrn.Staff._.Detail." localSheetId="3" hidden="1">{"Staff Detail",#N/A,FALSE,"Staff Revenue + Comp"}</definedName>
    <definedName name="wrn.Staff._.Detail." hidden="1">{"Staff Detail",#N/A,FALSE,"Staff Revenue + Comp"}</definedName>
    <definedName name="wrn.Staffing1" localSheetId="0" hidden="1">{#N/A,#N/A,FALSE,"Assessment";#N/A,#N/A,FALSE,"Staffing";#N/A,#N/A,FALSE,"Hires";#N/A,#N/A,FALSE,"Assumptions"}</definedName>
    <definedName name="wrn.Staffing1" localSheetId="1" hidden="1">{#N/A,#N/A,FALSE,"Assessment";#N/A,#N/A,FALSE,"Staffing";#N/A,#N/A,FALSE,"Hires";#N/A,#N/A,FALSE,"Assumptions"}</definedName>
    <definedName name="wrn.Staffing1" localSheetId="2" hidden="1">{#N/A,#N/A,FALSE,"Assessment";#N/A,#N/A,FALSE,"Staffing";#N/A,#N/A,FALSE,"Hires";#N/A,#N/A,FALSE,"Assumptions"}</definedName>
    <definedName name="wrn.Staffing1" localSheetId="3" hidden="1">{#N/A,#N/A,FALSE,"Assessment";#N/A,#N/A,FALSE,"Staffing";#N/A,#N/A,FALSE,"Hires";#N/A,#N/A,FALSE,"Assumptions"}</definedName>
    <definedName name="wrn.Staffing1" hidden="1">{#N/A,#N/A,FALSE,"Assessment";#N/A,#N/A,FALSE,"Staffing";#N/A,#N/A,FALSE,"Hires";#N/A,#N/A,FALSE,"Assumptions"}</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rename" localSheetId="0" hidden="1">{"testysht3",#N/A,FALSE,"Sheet3"}</definedName>
    <definedName name="wrn.test.rename" localSheetId="1" hidden="1">{"testysht3",#N/A,FALSE,"Sheet3"}</definedName>
    <definedName name="wrn.test.rename" localSheetId="2" hidden="1">{"testysht3",#N/A,FALSE,"Sheet3"}</definedName>
    <definedName name="wrn.test.rename" localSheetId="3" hidden="1">{"testysht3",#N/A,FALSE,"Sheet3"}</definedName>
    <definedName name="wrn.test.rename" hidden="1">{"testysht3",#N/A,FALSE,"Sheet3"}</definedName>
    <definedName name="wrn1.rename" localSheetId="0" hidden="1">{"rfcjan",#N/A,FALSE,"Stats"}</definedName>
    <definedName name="wrn1.rename" localSheetId="1" hidden="1">{"rfcjan",#N/A,FALSE,"Stats"}</definedName>
    <definedName name="wrn1.rename" localSheetId="2" hidden="1">{"rfcjan",#N/A,FALSE,"Stats"}</definedName>
    <definedName name="wrn1.rename" localSheetId="3" hidden="1">{"rfcjan",#N/A,FALSE,"Stats"}</definedName>
    <definedName name="wrn1.rename" hidden="1">{"rfcjan",#N/A,FALSE,"Stats"}</definedName>
    <definedName name="wrn10.rename" localSheetId="0" hidden="1">{"rfcjan",#N/A,FALSE,"Stats"}</definedName>
    <definedName name="wrn10.rename" localSheetId="1" hidden="1">{"rfcjan",#N/A,FALSE,"Stats"}</definedName>
    <definedName name="wrn10.rename" localSheetId="2" hidden="1">{"rfcjan",#N/A,FALSE,"Stats"}</definedName>
    <definedName name="wrn10.rename" localSheetId="3" hidden="1">{"rfcjan",#N/A,FALSE,"Stats"}</definedName>
    <definedName name="wrn10.rename" hidden="1">{"rfcjan",#N/A,FALSE,"Stats"}</definedName>
    <definedName name="wrn11.rename" localSheetId="0" hidden="1">{"JANRDET",#N/A,FALSE,"detail"}</definedName>
    <definedName name="wrn11.rename" localSheetId="1" hidden="1">{"JANRDET",#N/A,FALSE,"detail"}</definedName>
    <definedName name="wrn11.rename" localSheetId="2" hidden="1">{"JANRDET",#N/A,FALSE,"detail"}</definedName>
    <definedName name="wrn11.rename" localSheetId="3" hidden="1">{"JANRDET",#N/A,FALSE,"detail"}</definedName>
    <definedName name="wrn11.rename" hidden="1">{"JANRDET",#N/A,FALSE,"detail"}</definedName>
    <definedName name="wrn12.rename" localSheetId="0" hidden="1">{"testysht3",#N/A,FALSE,"Sheet3"}</definedName>
    <definedName name="wrn12.rename" localSheetId="1" hidden="1">{"testysht3",#N/A,FALSE,"Sheet3"}</definedName>
    <definedName name="wrn12.rename" localSheetId="2" hidden="1">{"testysht3",#N/A,FALSE,"Sheet3"}</definedName>
    <definedName name="wrn12.rename" localSheetId="3" hidden="1">{"testysht3",#N/A,FALSE,"Sheet3"}</definedName>
    <definedName name="wrn12.rename" hidden="1">{"testysht3",#N/A,FALSE,"Sheet3"}</definedName>
    <definedName name="wrn14.rename" localSheetId="0" hidden="1">{"rfcjan",#N/A,FALSE,"Stats"}</definedName>
    <definedName name="wrn14.rename" localSheetId="1" hidden="1">{"rfcjan",#N/A,FALSE,"Stats"}</definedName>
    <definedName name="wrn14.rename" localSheetId="2" hidden="1">{"rfcjan",#N/A,FALSE,"Stats"}</definedName>
    <definedName name="wrn14.rename" localSheetId="3" hidden="1">{"rfcjan",#N/A,FALSE,"Stats"}</definedName>
    <definedName name="wrn14.rename" hidden="1">{"rfcjan",#N/A,FALSE,"Stats"}</definedName>
    <definedName name="wrn15.rename" localSheetId="0" hidden="1">{"JANRDET",#N/A,FALSE,"detail"}</definedName>
    <definedName name="wrn15.rename" localSheetId="1" hidden="1">{"JANRDET",#N/A,FALSE,"detail"}</definedName>
    <definedName name="wrn15.rename" localSheetId="2" hidden="1">{"JANRDET",#N/A,FALSE,"detail"}</definedName>
    <definedName name="wrn15.rename" localSheetId="3" hidden="1">{"JANRDET",#N/A,FALSE,"detail"}</definedName>
    <definedName name="wrn15.rename" hidden="1">{"JANRDET",#N/A,FALSE,"detail"}</definedName>
    <definedName name="wrn16.rename" localSheetId="0" hidden="1">{"testysht3",#N/A,FALSE,"Sheet3"}</definedName>
    <definedName name="wrn16.rename" localSheetId="1" hidden="1">{"testysht3",#N/A,FALSE,"Sheet3"}</definedName>
    <definedName name="wrn16.rename" localSheetId="2" hidden="1">{"testysht3",#N/A,FALSE,"Sheet3"}</definedName>
    <definedName name="wrn16.rename" localSheetId="3" hidden="1">{"testysht3",#N/A,FALSE,"Sheet3"}</definedName>
    <definedName name="wrn16.rename" hidden="1">{"testysht3",#N/A,FALSE,"Sheet3"}</definedName>
    <definedName name="wrn2.rename" localSheetId="0" hidden="1">{"rfcjan",#N/A,FALSE,"Stats"}</definedName>
    <definedName name="wrn2.rename" localSheetId="1" hidden="1">{"rfcjan",#N/A,FALSE,"Stats"}</definedName>
    <definedName name="wrn2.rename" localSheetId="2" hidden="1">{"rfcjan",#N/A,FALSE,"Stats"}</definedName>
    <definedName name="wrn2.rename" localSheetId="3" hidden="1">{"rfcjan",#N/A,FALSE,"Stats"}</definedName>
    <definedName name="wrn2.rename" hidden="1">{"rfcjan",#N/A,FALSE,"Stats"}</definedName>
    <definedName name="wrn20.rename" localSheetId="0" hidden="1">{"rfcjan",#N/A,FALSE,"Stats"}</definedName>
    <definedName name="wrn20.rename" localSheetId="1" hidden="1">{"rfcjan",#N/A,FALSE,"Stats"}</definedName>
    <definedName name="wrn20.rename" localSheetId="2" hidden="1">{"rfcjan",#N/A,FALSE,"Stats"}</definedName>
    <definedName name="wrn20.rename" localSheetId="3" hidden="1">{"rfcjan",#N/A,FALSE,"Stats"}</definedName>
    <definedName name="wrn20.rename" hidden="1">{"rfcjan",#N/A,FALSE,"Stats"}</definedName>
    <definedName name="wrn21.rename" localSheetId="0" hidden="1">{"JANRDET",#N/A,FALSE,"detail"}</definedName>
    <definedName name="wrn21.rename" localSheetId="1" hidden="1">{"JANRDET",#N/A,FALSE,"detail"}</definedName>
    <definedName name="wrn21.rename" localSheetId="2" hidden="1">{"JANRDET",#N/A,FALSE,"detail"}</definedName>
    <definedName name="wrn21.rename" localSheetId="3" hidden="1">{"JANRDET",#N/A,FALSE,"detail"}</definedName>
    <definedName name="wrn21.rename" hidden="1">{"JANRDET",#N/A,FALSE,"detail"}</definedName>
    <definedName name="wrn22.rename" localSheetId="0" hidden="1">{"testysht3",#N/A,FALSE,"Sheet3"}</definedName>
    <definedName name="wrn22.rename" localSheetId="1" hidden="1">{"testysht3",#N/A,FALSE,"Sheet3"}</definedName>
    <definedName name="wrn22.rename" localSheetId="2" hidden="1">{"testysht3",#N/A,FALSE,"Sheet3"}</definedName>
    <definedName name="wrn22.rename" localSheetId="3" hidden="1">{"testysht3",#N/A,FALSE,"Sheet3"}</definedName>
    <definedName name="wrn22.rename" hidden="1">{"testysht3",#N/A,FALSE,"Sheet3"}</definedName>
    <definedName name="wrn3.rename" localSheetId="0" hidden="1">{"rfcjan",#N/A,FALSE,"Stats"}</definedName>
    <definedName name="wrn3.rename" localSheetId="1" hidden="1">{"rfcjan",#N/A,FALSE,"Stats"}</definedName>
    <definedName name="wrn3.rename" localSheetId="2" hidden="1">{"rfcjan",#N/A,FALSE,"Stats"}</definedName>
    <definedName name="wrn3.rename" localSheetId="3" hidden="1">{"rfcjan",#N/A,FALSE,"Stats"}</definedName>
    <definedName name="wrn3.rename" hidden="1">{"rfcjan",#N/A,FALSE,"Stats"}</definedName>
    <definedName name="wrn4.rename" localSheetId="0" hidden="1">{"testysht3",#N/A,FALSE,"Sheet3"}</definedName>
    <definedName name="wrn4.rename" localSheetId="1" hidden="1">{"testysht3",#N/A,FALSE,"Sheet3"}</definedName>
    <definedName name="wrn4.rename" localSheetId="2" hidden="1">{"testysht3",#N/A,FALSE,"Sheet3"}</definedName>
    <definedName name="wrn4.rename" localSheetId="3" hidden="1">{"testysht3",#N/A,FALSE,"Sheet3"}</definedName>
    <definedName name="wrn4.rename" hidden="1">{"testysht3",#N/A,FALSE,"Sheet3"}</definedName>
    <definedName name="wrnjan2" localSheetId="0" hidden="1">{"JANRDET",#N/A,FALSE,"detail"}</definedName>
    <definedName name="wrnjan2" localSheetId="1" hidden="1">{"JANRDET",#N/A,FALSE,"detail"}</definedName>
    <definedName name="wrnjan2" localSheetId="2" hidden="1">{"JANRDET",#N/A,FALSE,"detail"}</definedName>
    <definedName name="wrnjan2" localSheetId="3" hidden="1">{"JANRDET",#N/A,FALSE,"detail"}</definedName>
    <definedName name="wrnjan2" hidden="1">{"JANRDET",#N/A,FALSE,"detail"}</definedName>
    <definedName name="wrnjan2.rename" localSheetId="0" hidden="1">{"JANRDET",#N/A,FALSE,"detail"}</definedName>
    <definedName name="wrnjan2.rename" localSheetId="1" hidden="1">{"JANRDET",#N/A,FALSE,"detail"}</definedName>
    <definedName name="wrnjan2.rename" localSheetId="2" hidden="1">{"JANRDET",#N/A,FALSE,"detail"}</definedName>
    <definedName name="wrnjan2.rename" localSheetId="3" hidden="1">{"JANRDET",#N/A,FALSE,"detail"}</definedName>
    <definedName name="wrnjan2.rename" hidden="1">{"JANRDET",#N/A,FALSE,"detail"}</definedName>
    <definedName name="wrnjan3" localSheetId="0" hidden="1">{"JANRDET",#N/A,FALSE,"detail"}</definedName>
    <definedName name="wrnjan3" localSheetId="1" hidden="1">{"JANRDET",#N/A,FALSE,"detail"}</definedName>
    <definedName name="wrnjan3" localSheetId="2" hidden="1">{"JANRDET",#N/A,FALSE,"detail"}</definedName>
    <definedName name="wrnjan3" localSheetId="3" hidden="1">{"JANRDET",#N/A,FALSE,"detail"}</definedName>
    <definedName name="wrnjan3" hidden="1">{"JANRDET",#N/A,FALSE,"detail"}</definedName>
    <definedName name="wrnjan3.rename" localSheetId="0" hidden="1">{"JANRDET",#N/A,FALSE,"detail"}</definedName>
    <definedName name="wrnjan3.rename" localSheetId="1" hidden="1">{"JANRDET",#N/A,FALSE,"detail"}</definedName>
    <definedName name="wrnjan3.rename" localSheetId="2" hidden="1">{"JANRDET",#N/A,FALSE,"detail"}</definedName>
    <definedName name="wrnjan3.rename" localSheetId="3" hidden="1">{"JANRDET",#N/A,FALSE,"detail"}</definedName>
    <definedName name="wrnjan3.rename" hidden="1">{"JANRDET",#N/A,FALSE,"detail"}</definedName>
    <definedName name="wrnjanr2" localSheetId="0" hidden="1">{"rfcjan",#N/A,FALSE,"Stats"}</definedName>
    <definedName name="wrnjanr2" localSheetId="1" hidden="1">{"rfcjan",#N/A,FALSE,"Stats"}</definedName>
    <definedName name="wrnjanr2" localSheetId="2" hidden="1">{"rfcjan",#N/A,FALSE,"Stats"}</definedName>
    <definedName name="wrnjanr2" localSheetId="3" hidden="1">{"rfcjan",#N/A,FALSE,"Stats"}</definedName>
    <definedName name="wrnjanr2" hidden="1">{"rfcjan",#N/A,FALSE,"Stats"}</definedName>
    <definedName name="wrnjanr2.rename" localSheetId="0" hidden="1">{"rfcjan",#N/A,FALSE,"Stats"}</definedName>
    <definedName name="wrnjanr2.rename" localSheetId="1" hidden="1">{"rfcjan",#N/A,FALSE,"Stats"}</definedName>
    <definedName name="wrnjanr2.rename" localSheetId="2" hidden="1">{"rfcjan",#N/A,FALSE,"Stats"}</definedName>
    <definedName name="wrnjanr2.rename" localSheetId="3" hidden="1">{"rfcjan",#N/A,FALSE,"Stats"}</definedName>
    <definedName name="wrnjanr2.rename" hidden="1">{"rfcjan",#N/A,FALSE,"Stats"}</definedName>
    <definedName name="wrnjanr22" localSheetId="0" hidden="1">{"rfcjan",#N/A,FALSE,"Stats"}</definedName>
    <definedName name="wrnjanr22" localSheetId="1" hidden="1">{"rfcjan",#N/A,FALSE,"Stats"}</definedName>
    <definedName name="wrnjanr22" localSheetId="2" hidden="1">{"rfcjan",#N/A,FALSE,"Stats"}</definedName>
    <definedName name="wrnjanr22" localSheetId="3" hidden="1">{"rfcjan",#N/A,FALSE,"Stats"}</definedName>
    <definedName name="wrnjanr22" hidden="1">{"rfcjan",#N/A,FALSE,"Stats"}</definedName>
    <definedName name="wrnjanr22.rename" localSheetId="0" hidden="1">{"rfcjan",#N/A,FALSE,"Stats"}</definedName>
    <definedName name="wrnjanr22.rename" localSheetId="1" hidden="1">{"rfcjan",#N/A,FALSE,"Stats"}</definedName>
    <definedName name="wrnjanr22.rename" localSheetId="2" hidden="1">{"rfcjan",#N/A,FALSE,"Stats"}</definedName>
    <definedName name="wrnjanr22.rename" localSheetId="3" hidden="1">{"rfcjan",#N/A,FALSE,"Stats"}</definedName>
    <definedName name="wrnjanr22.rename" hidden="1">{"rfcjan",#N/A,FALSE,"Stats"}</definedName>
    <definedName name="wrnjanrd2" localSheetId="0" hidden="1">{"JANRDET",#N/A,FALSE,"detail"}</definedName>
    <definedName name="wrnjanrd2" localSheetId="1" hidden="1">{"JANRDET",#N/A,FALSE,"detail"}</definedName>
    <definedName name="wrnjanrd2" localSheetId="2" hidden="1">{"JANRDET",#N/A,FALSE,"detail"}</definedName>
    <definedName name="wrnjanrd2" localSheetId="3" hidden="1">{"JANRDET",#N/A,FALSE,"detail"}</definedName>
    <definedName name="wrnjanrd2" hidden="1">{"JANRDET",#N/A,FALSE,"detail"}</definedName>
    <definedName name="wrnjanrd2.rename" localSheetId="0" hidden="1">{"JANRDET",#N/A,FALSE,"detail"}</definedName>
    <definedName name="wrnjanrd2.rename" localSheetId="1" hidden="1">{"JANRDET",#N/A,FALSE,"detail"}</definedName>
    <definedName name="wrnjanrd2.rename" localSheetId="2" hidden="1">{"JANRDET",#N/A,FALSE,"detail"}</definedName>
    <definedName name="wrnjanrd2.rename" localSheetId="3" hidden="1">{"JANRDET",#N/A,FALSE,"detail"}</definedName>
    <definedName name="wrnjanrd2.rename" hidden="1">{"JANRDET",#N/A,FALSE,"detail"}</definedName>
    <definedName name="wrnjanrd3" localSheetId="0" hidden="1">{"JANRDET",#N/A,FALSE,"detail"}</definedName>
    <definedName name="wrnjanrd3" localSheetId="1" hidden="1">{"JANRDET",#N/A,FALSE,"detail"}</definedName>
    <definedName name="wrnjanrd3" localSheetId="2" hidden="1">{"JANRDET",#N/A,FALSE,"detail"}</definedName>
    <definedName name="wrnjanrd3" localSheetId="3" hidden="1">{"JANRDET",#N/A,FALSE,"detail"}</definedName>
    <definedName name="wrnjanrd3" hidden="1">{"JANRDET",#N/A,FALSE,"detail"}</definedName>
    <definedName name="wrnjanrd3.rename" localSheetId="0" hidden="1">{"JANRDET",#N/A,FALSE,"detail"}</definedName>
    <definedName name="wrnjanrd3.rename" localSheetId="1" hidden="1">{"JANRDET",#N/A,FALSE,"detail"}</definedName>
    <definedName name="wrnjanrd3.rename" localSheetId="2" hidden="1">{"JANRDET",#N/A,FALSE,"detail"}</definedName>
    <definedName name="wrnjanrd3.rename" localSheetId="3" hidden="1">{"JANRDET",#N/A,FALSE,"detail"}</definedName>
    <definedName name="wrnjanrd3.rename" hidden="1">{"JANRDET",#N/A,FALSE,"detail"}</definedName>
    <definedName name="wrnjj" localSheetId="0" hidden="1">{"JANRDET",#N/A,FALSE,"detail"}</definedName>
    <definedName name="wrnjj" localSheetId="1" hidden="1">{"JANRDET",#N/A,FALSE,"detail"}</definedName>
    <definedName name="wrnjj" localSheetId="2" hidden="1">{"JANRDET",#N/A,FALSE,"detail"}</definedName>
    <definedName name="wrnjj" localSheetId="3" hidden="1">{"JANRDET",#N/A,FALSE,"detail"}</definedName>
    <definedName name="wrnjj" hidden="1">{"JANRDET",#N/A,FALSE,"detail"}</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2" localSheetId="0" hidden="1">{"testysht3",#N/A,FALSE,"Sheet3"}</definedName>
    <definedName name="wrntest2" localSheetId="1" hidden="1">{"testysht3",#N/A,FALSE,"Sheet3"}</definedName>
    <definedName name="wrntest2" localSheetId="2" hidden="1">{"testysht3",#N/A,FALSE,"Sheet3"}</definedName>
    <definedName name="wrntest2" localSheetId="3" hidden="1">{"testysht3",#N/A,FALSE,"Sheet3"}</definedName>
    <definedName name="wrntest2" hidden="1">{"testysht3",#N/A,FALSE,"Sheet3"}</definedName>
    <definedName name="wrntest3" localSheetId="0" hidden="1">{"testysht3",#N/A,FALSE,"Sheet3"}</definedName>
    <definedName name="wrntest3" localSheetId="1" hidden="1">{"testysht3",#N/A,FALSE,"Sheet3"}</definedName>
    <definedName name="wrntest3" localSheetId="2" hidden="1">{"testysht3",#N/A,FALSE,"Sheet3"}</definedName>
    <definedName name="wrntest3" localSheetId="3" hidden="1">{"testysht3",#N/A,FALSE,"Sheet3"}</definedName>
    <definedName name="wrntest3" hidden="1">{"testysht3",#N/A,FALSE,"Sheet3"}</definedName>
    <definedName name="wrntest4" localSheetId="0" hidden="1">{"testysht3",#N/A,FALSE,"Sheet3"}</definedName>
    <definedName name="wrntest4" localSheetId="1" hidden="1">{"testysht3",#N/A,FALSE,"Sheet3"}</definedName>
    <definedName name="wrntest4" localSheetId="2" hidden="1">{"testysht3",#N/A,FALSE,"Sheet3"}</definedName>
    <definedName name="wrntest4" localSheetId="3" hidden="1">{"testysht3",#N/A,FALSE,"Sheet3"}</definedName>
    <definedName name="wrntest4" hidden="1">{"testysht3",#N/A,FALSE,"Sheet3"}</definedName>
    <definedName name="wrntt" localSheetId="0" hidden="1">{"testysht3",#N/A,FALSE,"Sheet3"}</definedName>
    <definedName name="wrntt" localSheetId="1" hidden="1">{"testysht3",#N/A,FALSE,"Sheet3"}</definedName>
    <definedName name="wrntt" localSheetId="2" hidden="1">{"testysht3",#N/A,FALSE,"Sheet3"}</definedName>
    <definedName name="wrntt" localSheetId="3" hidden="1">{"testysht3",#N/A,FALSE,"Sheet3"}</definedName>
    <definedName name="wrntt" hidden="1">{"testysht3",#N/A,FALSE,"Sheet3"}</definedName>
    <definedName name="wrnUJANRD.rename" localSheetId="0" hidden="1">{"JANRDET",#N/A,FALSE,"detail"}</definedName>
    <definedName name="wrnUJANRD.rename" localSheetId="1" hidden="1">{"JANRDET",#N/A,FALSE,"detail"}</definedName>
    <definedName name="wrnUJANRD.rename" localSheetId="2" hidden="1">{"JANRDET",#N/A,FALSE,"detail"}</definedName>
    <definedName name="wrnUJANRD.rename" localSheetId="3" hidden="1">{"JANRDET",#N/A,FALSE,"detail"}</definedName>
    <definedName name="wrnUJANRD.rename" hidden="1">{"JANRDET",#N/A,FALSE,"detail"}</definedName>
    <definedName name="xyz" localSheetId="0" hidden="1">{"rfcjan",#N/A,FALSE,"Stats"}</definedName>
    <definedName name="xyz" localSheetId="1" hidden="1">{"rfcjan",#N/A,FALSE,"Stats"}</definedName>
    <definedName name="xyz" localSheetId="2" hidden="1">{"rfcjan",#N/A,FALSE,"Stats"}</definedName>
    <definedName name="xyz" localSheetId="3" hidden="1">{"rfcjan",#N/A,FALSE,"Stats"}</definedName>
    <definedName name="xyz" hidden="1">{"rfcjan",#N/A,FALSE,"Stats"}</definedName>
    <definedName name="zzzz" localSheetId="0" hidden="1">{"rfcjan",#N/A,FALSE,"Stats"}</definedName>
    <definedName name="zzzz" localSheetId="1" hidden="1">{"rfcjan",#N/A,FALSE,"Stats"}</definedName>
    <definedName name="zzzz" localSheetId="2" hidden="1">{"rfcjan",#N/A,FALSE,"Stats"}</definedName>
    <definedName name="zzzz" localSheetId="3"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25" l="1"/>
  <c r="J11" i="25"/>
  <c r="C14" i="36"/>
  <c r="O19" i="36"/>
  <c r="O18" i="36"/>
  <c r="O17" i="36"/>
  <c r="O16" i="36"/>
  <c r="O15" i="36"/>
  <c r="O14" i="36"/>
  <c r="O13" i="36"/>
  <c r="O12" i="36"/>
  <c r="O11" i="36"/>
  <c r="M19" i="36"/>
  <c r="M18" i="36"/>
  <c r="M17" i="36"/>
  <c r="M16" i="36"/>
  <c r="M15" i="36"/>
  <c r="M14" i="36"/>
  <c r="M13" i="36"/>
  <c r="M12" i="36"/>
  <c r="M11" i="36"/>
  <c r="K19" i="36"/>
  <c r="K18" i="36"/>
  <c r="K17" i="36"/>
  <c r="K16" i="36"/>
  <c r="K15" i="36"/>
  <c r="K14" i="36"/>
  <c r="K13" i="36"/>
  <c r="K12" i="36"/>
  <c r="K11" i="36"/>
  <c r="I19" i="36"/>
  <c r="I18" i="36"/>
  <c r="I17" i="36"/>
  <c r="I16" i="36"/>
  <c r="I15" i="36"/>
  <c r="I14" i="36"/>
  <c r="I13" i="36"/>
  <c r="I12" i="36"/>
  <c r="I11" i="36"/>
  <c r="G19" i="36"/>
  <c r="G18" i="36"/>
  <c r="G17" i="36"/>
  <c r="G16" i="36"/>
  <c r="G15" i="36"/>
  <c r="G14" i="36"/>
  <c r="G13" i="36"/>
  <c r="G12" i="36"/>
  <c r="G11" i="36"/>
  <c r="E19" i="36"/>
  <c r="E18" i="36"/>
  <c r="E17" i="36"/>
  <c r="E16" i="36"/>
  <c r="E15" i="36"/>
  <c r="E14" i="36"/>
  <c r="E13" i="36"/>
  <c r="E12" i="36"/>
  <c r="E11" i="36"/>
  <c r="C19" i="36"/>
  <c r="C18" i="36"/>
  <c r="C17" i="36"/>
  <c r="C16" i="36"/>
  <c r="C15" i="36"/>
  <c r="C13" i="36"/>
  <c r="C12" i="36"/>
  <c r="C11" i="36"/>
  <c r="O11" i="35"/>
  <c r="M11" i="35"/>
  <c r="K11" i="35"/>
  <c r="I11" i="35"/>
  <c r="G11" i="35"/>
  <c r="E11" i="35"/>
  <c r="C11" i="35"/>
  <c r="W19" i="34"/>
  <c r="W18" i="34"/>
  <c r="W17" i="34"/>
  <c r="W16" i="34"/>
  <c r="W15" i="34"/>
  <c r="W14" i="34"/>
  <c r="W13" i="34"/>
  <c r="W12" i="34"/>
  <c r="W11" i="34"/>
  <c r="T19" i="34"/>
  <c r="T18" i="34"/>
  <c r="T17" i="34"/>
  <c r="T16" i="34"/>
  <c r="T15" i="34"/>
  <c r="T14" i="34"/>
  <c r="T13" i="34"/>
  <c r="T12" i="34"/>
  <c r="T11" i="34"/>
  <c r="Q19" i="34"/>
  <c r="Q18" i="34"/>
  <c r="Q17" i="34"/>
  <c r="Q16" i="34"/>
  <c r="Q15" i="34"/>
  <c r="Q14" i="34"/>
  <c r="Q13" i="34"/>
  <c r="Q12" i="34"/>
  <c r="Q11" i="34"/>
  <c r="N19" i="34"/>
  <c r="N18" i="34"/>
  <c r="N17" i="34"/>
  <c r="N16" i="34"/>
  <c r="N15" i="34"/>
  <c r="N14" i="34"/>
  <c r="N13" i="34"/>
  <c r="N12" i="34"/>
  <c r="N11" i="34"/>
  <c r="K19" i="34"/>
  <c r="K18" i="34"/>
  <c r="K17" i="34"/>
  <c r="K16" i="34"/>
  <c r="K15" i="34"/>
  <c r="K14" i="34"/>
  <c r="K13" i="34"/>
  <c r="K12" i="34"/>
  <c r="K11" i="34"/>
  <c r="H19" i="34"/>
  <c r="H18" i="34"/>
  <c r="H17" i="34"/>
  <c r="H16" i="34"/>
  <c r="H15" i="34"/>
  <c r="H14" i="34" l="1"/>
  <c r="H13" i="34"/>
  <c r="H12" i="34"/>
  <c r="H11" i="34"/>
  <c r="C19" i="34"/>
  <c r="C18" i="34"/>
  <c r="C17" i="34"/>
  <c r="C16" i="34"/>
  <c r="C15" i="34"/>
  <c r="C13" i="34"/>
  <c r="C14" i="34"/>
  <c r="C12" i="34"/>
  <c r="C11" i="34"/>
  <c r="X19" i="34"/>
  <c r="Y19" i="34" s="1"/>
  <c r="U19" i="34"/>
  <c r="V19" i="34" s="1"/>
  <c r="R19" i="34"/>
  <c r="S19" i="34" s="1"/>
  <c r="O19" i="34"/>
  <c r="P19" i="34" s="1"/>
  <c r="L19" i="34"/>
  <c r="M19" i="34" s="1"/>
  <c r="I19" i="34"/>
  <c r="J19" i="34" s="1"/>
  <c r="D19" i="34"/>
  <c r="R11" i="33"/>
  <c r="P11" i="33"/>
  <c r="N11" i="33"/>
  <c r="L11" i="33"/>
  <c r="J11" i="33"/>
  <c r="H11" i="33"/>
  <c r="O19" i="32"/>
  <c r="O18" i="32"/>
  <c r="O17" i="32"/>
  <c r="O16" i="32"/>
  <c r="O15" i="32"/>
  <c r="O14" i="32"/>
  <c r="O13" i="32"/>
  <c r="O12" i="32"/>
  <c r="O11" i="32"/>
  <c r="M19" i="32"/>
  <c r="M18" i="32"/>
  <c r="M17" i="32"/>
  <c r="M16" i="32"/>
  <c r="M15" i="32"/>
  <c r="M14" i="32"/>
  <c r="M13" i="32"/>
  <c r="M12" i="32"/>
  <c r="M11" i="32"/>
  <c r="K19" i="32"/>
  <c r="K18" i="32"/>
  <c r="K17" i="32"/>
  <c r="K16" i="32"/>
  <c r="K15" i="32"/>
  <c r="K14" i="32"/>
  <c r="K13" i="32"/>
  <c r="K12" i="32"/>
  <c r="K11" i="32"/>
  <c r="I19" i="32"/>
  <c r="I18" i="32"/>
  <c r="I17" i="32"/>
  <c r="I16" i="32"/>
  <c r="I15" i="32"/>
  <c r="I14" i="32"/>
  <c r="I13" i="32"/>
  <c r="I12" i="32"/>
  <c r="I11" i="32"/>
  <c r="G19" i="32"/>
  <c r="G18" i="32"/>
  <c r="G17" i="32"/>
  <c r="G16" i="32"/>
  <c r="G15" i="32"/>
  <c r="G14" i="32"/>
  <c r="G13" i="32"/>
  <c r="G12" i="32"/>
  <c r="G11" i="32"/>
  <c r="E19" i="32"/>
  <c r="E18" i="32"/>
  <c r="E17" i="32"/>
  <c r="E16" i="32"/>
  <c r="E15" i="32"/>
  <c r="E14" i="32"/>
  <c r="E13" i="32"/>
  <c r="E12" i="32"/>
  <c r="E11" i="32"/>
  <c r="C19" i="32"/>
  <c r="C18" i="32"/>
  <c r="C17" i="32"/>
  <c r="C16" i="32"/>
  <c r="C15" i="32"/>
  <c r="C14" i="32"/>
  <c r="C13" i="32"/>
  <c r="C12" i="32"/>
  <c r="C11" i="32"/>
  <c r="R11" i="29"/>
  <c r="P11" i="29"/>
  <c r="N11" i="29"/>
  <c r="L11" i="29"/>
  <c r="J11" i="29"/>
  <c r="C11" i="29"/>
  <c r="H11" i="29"/>
  <c r="O19" i="27"/>
  <c r="O18" i="27"/>
  <c r="O17" i="27"/>
  <c r="O16" i="27"/>
  <c r="O15" i="27"/>
  <c r="O14" i="27"/>
  <c r="O13" i="27"/>
  <c r="O12" i="27"/>
  <c r="O11" i="27"/>
  <c r="M19" i="27"/>
  <c r="M18" i="27"/>
  <c r="M17" i="27"/>
  <c r="M16" i="27"/>
  <c r="M15" i="27"/>
  <c r="M14" i="27"/>
  <c r="M13" i="27"/>
  <c r="M12" i="27"/>
  <c r="M11" i="27"/>
  <c r="K19" i="27"/>
  <c r="K18" i="27"/>
  <c r="K17" i="27"/>
  <c r="K16" i="27"/>
  <c r="K15" i="27"/>
  <c r="K14" i="27"/>
  <c r="K13" i="27"/>
  <c r="K12" i="27"/>
  <c r="K11" i="27"/>
  <c r="I19" i="27"/>
  <c r="I18" i="27"/>
  <c r="I17" i="27"/>
  <c r="I16" i="27"/>
  <c r="I15" i="27"/>
  <c r="I14" i="27"/>
  <c r="I13" i="27"/>
  <c r="I12" i="27" l="1"/>
  <c r="I11" i="27"/>
  <c r="G19" i="27"/>
  <c r="G18" i="27"/>
  <c r="G17" i="27"/>
  <c r="G16" i="27"/>
  <c r="G15" i="27"/>
  <c r="G14" i="27"/>
  <c r="G13" i="27"/>
  <c r="G12" i="27"/>
  <c r="G11" i="27"/>
  <c r="O11" i="26"/>
  <c r="M11" i="26"/>
  <c r="K11" i="26"/>
  <c r="I11" i="26"/>
  <c r="G11" i="26"/>
  <c r="E11" i="26"/>
  <c r="C11" i="26"/>
  <c r="P11" i="25"/>
  <c r="N11" i="25"/>
  <c r="L11" i="25"/>
  <c r="H11" i="25"/>
  <c r="W19" i="21"/>
  <c r="X19" i="21" s="1"/>
  <c r="Y19" i="21" s="1"/>
  <c r="W18" i="21"/>
  <c r="W17" i="21"/>
  <c r="W16" i="21"/>
  <c r="W15" i="21"/>
  <c r="W14" i="21"/>
  <c r="W13" i="21"/>
  <c r="W12" i="21"/>
  <c r="W11" i="21"/>
  <c r="T19" i="21"/>
  <c r="U19" i="21" s="1"/>
  <c r="V19" i="21" s="1"/>
  <c r="T18" i="21"/>
  <c r="T17" i="21"/>
  <c r="T16" i="21"/>
  <c r="T15" i="21"/>
  <c r="T14" i="21"/>
  <c r="T13" i="21"/>
  <c r="T12" i="21"/>
  <c r="T11" i="21"/>
  <c r="R19" i="21"/>
  <c r="S19" i="21" s="1"/>
  <c r="O19" i="21"/>
  <c r="P19" i="21" s="1"/>
  <c r="L19" i="21"/>
  <c r="M19" i="21" s="1"/>
  <c r="I19" i="21"/>
  <c r="J19" i="21" s="1"/>
  <c r="D19" i="21"/>
  <c r="Q19" i="21"/>
  <c r="Q18" i="21"/>
  <c r="Q17" i="21"/>
  <c r="Q16" i="21"/>
  <c r="Q15" i="21"/>
  <c r="Q14" i="21"/>
  <c r="Q13" i="21"/>
  <c r="Q12" i="21"/>
  <c r="Q11" i="21"/>
  <c r="N19" i="21"/>
  <c r="N18" i="21"/>
  <c r="N17" i="21"/>
  <c r="N16" i="21"/>
  <c r="N15" i="21"/>
  <c r="N14" i="21"/>
  <c r="N13" i="21"/>
  <c r="N12" i="21"/>
  <c r="N11" i="21"/>
  <c r="K19" i="21"/>
  <c r="K18" i="21"/>
  <c r="K17" i="21"/>
  <c r="K16" i="21"/>
  <c r="K15" i="21"/>
  <c r="K14" i="21"/>
  <c r="K13" i="21"/>
  <c r="K12" i="21"/>
  <c r="K11" i="21"/>
  <c r="H19" i="21"/>
  <c r="H18" i="21"/>
  <c r="H17" i="21"/>
  <c r="H16" i="21"/>
  <c r="H15" i="21"/>
  <c r="H14" i="21"/>
  <c r="H13" i="21"/>
  <c r="H12" i="21"/>
  <c r="H11" i="21"/>
  <c r="C19" i="21" l="1"/>
  <c r="C18" i="21"/>
  <c r="C17" i="21"/>
  <c r="C16" i="21"/>
  <c r="C15" i="21"/>
  <c r="C14" i="21"/>
  <c r="C13" i="21"/>
  <c r="C12" i="21"/>
  <c r="C11" i="21"/>
  <c r="C11" i="25"/>
  <c r="B52" i="44" l="1"/>
  <c r="B42" i="44"/>
  <c r="B35" i="44"/>
  <c r="B37" i="44" s="1"/>
  <c r="B25" i="44"/>
  <c r="B16" i="44"/>
  <c r="B18" i="44" s="1"/>
  <c r="B6" i="44"/>
  <c r="B58" i="43"/>
  <c r="B50" i="43"/>
  <c r="B60" i="43" s="1"/>
  <c r="B39" i="43"/>
  <c r="B31" i="43"/>
  <c r="B41" i="43" s="1"/>
  <c r="B18" i="43"/>
  <c r="B10" i="43"/>
  <c r="B20" i="43" s="1"/>
  <c r="F36" i="42"/>
  <c r="F24" i="42"/>
  <c r="F9" i="42"/>
  <c r="F8" i="42"/>
  <c r="F7" i="42"/>
  <c r="B54" i="44" l="1"/>
  <c r="E38" i="42"/>
  <c r="D38" i="42"/>
  <c r="C38" i="42"/>
  <c r="B38" i="42"/>
  <c r="F38" i="42" s="1"/>
  <c r="E26" i="42"/>
  <c r="D26" i="42"/>
  <c r="C26" i="42"/>
  <c r="B26" i="42"/>
  <c r="F11" i="42"/>
  <c r="B15" i="42" s="1"/>
  <c r="E11" i="42"/>
  <c r="D11" i="42"/>
  <c r="D12" i="42" s="1"/>
  <c r="C11" i="42"/>
  <c r="B11" i="42"/>
  <c r="C12" i="42" l="1"/>
  <c r="E12" i="42"/>
  <c r="B12" i="42"/>
  <c r="F12" i="42" s="1"/>
  <c r="F26" i="42"/>
  <c r="C27" i="42" s="1"/>
  <c r="B42" i="42"/>
  <c r="D39" i="42"/>
  <c r="B39" i="42"/>
  <c r="F39" i="42" s="1"/>
  <c r="B30" i="42"/>
  <c r="D27" i="42"/>
  <c r="B27" i="42"/>
  <c r="F27" i="42" s="1"/>
  <c r="C39" i="42"/>
  <c r="E39" i="42"/>
  <c r="B27" i="36"/>
  <c r="B28" i="36" s="1"/>
  <c r="B29" i="36" s="1"/>
  <c r="B19" i="35"/>
  <c r="B20" i="35" s="1"/>
  <c r="B21" i="35" s="1"/>
  <c r="B28" i="34"/>
  <c r="B29" i="34" s="1"/>
  <c r="B27" i="34"/>
  <c r="B19" i="33"/>
  <c r="B20" i="33" s="1"/>
  <c r="B21" i="33" s="1"/>
  <c r="B27" i="32"/>
  <c r="B28" i="32" s="1"/>
  <c r="B29" i="32" s="1"/>
  <c r="B19" i="31"/>
  <c r="B20" i="31" s="1"/>
  <c r="B21" i="31" s="1"/>
  <c r="B27" i="30"/>
  <c r="B28" i="30" s="1"/>
  <c r="B29" i="30" s="1"/>
  <c r="B19" i="29"/>
  <c r="B20" i="29" s="1"/>
  <c r="B21" i="29" s="1"/>
  <c r="B27" i="27"/>
  <c r="B28" i="27" s="1"/>
  <c r="B29" i="27" s="1"/>
  <c r="B19" i="26"/>
  <c r="B20" i="26" s="1"/>
  <c r="B21" i="26" s="1"/>
  <c r="B19" i="25"/>
  <c r="B20" i="25" s="1"/>
  <c r="B21" i="25" s="1"/>
  <c r="B27" i="21"/>
  <c r="B28" i="21" s="1"/>
  <c r="B29" i="21" s="1"/>
  <c r="C11" i="31" l="1"/>
  <c r="G11" i="31"/>
  <c r="O11" i="31"/>
  <c r="M11" i="31"/>
  <c r="K11" i="31"/>
  <c r="I11" i="31"/>
  <c r="E11" i="31"/>
  <c r="E13" i="27"/>
  <c r="E12" i="27"/>
  <c r="E11" i="27"/>
  <c r="C19" i="27"/>
  <c r="C18" i="27"/>
  <c r="C13" i="27"/>
  <c r="C12" i="27"/>
  <c r="C11" i="27"/>
  <c r="C17" i="27"/>
  <c r="E19" i="27"/>
  <c r="C16" i="27"/>
  <c r="E18" i="27"/>
  <c r="C15" i="27"/>
  <c r="E17" i="27"/>
  <c r="C14" i="27"/>
  <c r="E16" i="27"/>
  <c r="E15" i="27"/>
  <c r="E14" i="27"/>
  <c r="E27" i="42"/>
  <c r="C32" i="36"/>
  <c r="C11" i="33"/>
  <c r="C11" i="30"/>
  <c r="C32" i="30"/>
  <c r="D19" i="32" l="1"/>
  <c r="D19" i="27"/>
  <c r="I11" i="21" l="1"/>
  <c r="H11" i="30"/>
  <c r="I11" i="30" s="1"/>
  <c r="L11" i="21" l="1"/>
  <c r="I11" i="25"/>
  <c r="I11" i="33" l="1"/>
  <c r="L11" i="34"/>
  <c r="I11" i="34"/>
  <c r="K11" i="33" l="1"/>
  <c r="R11" i="21"/>
  <c r="O11" i="21"/>
  <c r="K11" i="25"/>
  <c r="M11" i="33" l="1"/>
  <c r="O11" i="25"/>
  <c r="M11" i="25"/>
  <c r="O11" i="33" l="1"/>
  <c r="P8" i="36"/>
  <c r="F11" i="35"/>
  <c r="F12" i="35" s="1"/>
  <c r="D11" i="35"/>
  <c r="P8" i="35"/>
  <c r="G20" i="34"/>
  <c r="D11" i="34"/>
  <c r="Y8" i="34"/>
  <c r="G12" i="33"/>
  <c r="C12" i="33"/>
  <c r="M12" i="33"/>
  <c r="S8" i="33"/>
  <c r="P8" i="32"/>
  <c r="D11" i="31"/>
  <c r="G20" i="30"/>
  <c r="C12" i="30"/>
  <c r="C13" i="30" s="1"/>
  <c r="D11" i="30"/>
  <c r="Y8" i="30"/>
  <c r="G12" i="29"/>
  <c r="C12" i="29"/>
  <c r="S8" i="29"/>
  <c r="P8" i="27"/>
  <c r="D11" i="26"/>
  <c r="P8" i="26"/>
  <c r="S11" i="33" l="1"/>
  <c r="S12" i="33" s="1"/>
  <c r="Q11" i="33"/>
  <c r="R11" i="34"/>
  <c r="O11" i="34"/>
  <c r="P11" i="34" s="1"/>
  <c r="I12" i="34"/>
  <c r="J12" i="34" s="1"/>
  <c r="D12" i="26"/>
  <c r="D12" i="31"/>
  <c r="D12" i="35"/>
  <c r="D13" i="36"/>
  <c r="D11" i="36"/>
  <c r="D12" i="34"/>
  <c r="I12" i="33"/>
  <c r="J11" i="35"/>
  <c r="J12" i="35" s="1"/>
  <c r="H11" i="35"/>
  <c r="H12" i="35" s="1"/>
  <c r="M11" i="34"/>
  <c r="J11" i="34"/>
  <c r="D13" i="34"/>
  <c r="K12" i="33"/>
  <c r="O12" i="33"/>
  <c r="D11" i="32"/>
  <c r="H11" i="31"/>
  <c r="H12" i="31" s="1"/>
  <c r="F11" i="31"/>
  <c r="F12" i="31" s="1"/>
  <c r="D13" i="30"/>
  <c r="C14" i="30"/>
  <c r="D12" i="30"/>
  <c r="D11" i="27"/>
  <c r="H11" i="26"/>
  <c r="H12" i="26" s="1"/>
  <c r="F11" i="26"/>
  <c r="F12" i="26" s="1"/>
  <c r="L12" i="34" l="1"/>
  <c r="M12" i="34" s="1"/>
  <c r="O12" i="34"/>
  <c r="P12" i="34" s="1"/>
  <c r="I13" i="34"/>
  <c r="J13" i="34" s="1"/>
  <c r="D12" i="27"/>
  <c r="D12" i="36"/>
  <c r="F11" i="27"/>
  <c r="F11" i="36"/>
  <c r="L11" i="35"/>
  <c r="L12" i="35" s="1"/>
  <c r="D14" i="34"/>
  <c r="S11" i="34"/>
  <c r="R12" i="34"/>
  <c r="Q12" i="33"/>
  <c r="C14" i="33" s="1"/>
  <c r="B25" i="41" s="1"/>
  <c r="F11" i="32"/>
  <c r="D12" i="32"/>
  <c r="J11" i="31"/>
  <c r="J12" i="31" s="1"/>
  <c r="D14" i="30"/>
  <c r="C15" i="30"/>
  <c r="H11" i="27"/>
  <c r="D13" i="27"/>
  <c r="J11" i="26"/>
  <c r="J12" i="26" s="1"/>
  <c r="D14" i="36" l="1"/>
  <c r="F12" i="27"/>
  <c r="X11" i="34"/>
  <c r="U11" i="34"/>
  <c r="V11" i="34" s="1"/>
  <c r="I14" i="34"/>
  <c r="J14" i="34" s="1"/>
  <c r="O13" i="34"/>
  <c r="P13" i="34" s="1"/>
  <c r="L13" i="34"/>
  <c r="M13" i="34" s="1"/>
  <c r="D15" i="36"/>
  <c r="H11" i="36"/>
  <c r="F12" i="36"/>
  <c r="N11" i="35"/>
  <c r="N12" i="35" s="1"/>
  <c r="P11" i="35"/>
  <c r="P12" i="35" s="1"/>
  <c r="R13" i="34"/>
  <c r="S12" i="34"/>
  <c r="U12" i="34"/>
  <c r="D15" i="34"/>
  <c r="H11" i="32"/>
  <c r="D13" i="32"/>
  <c r="F12" i="32"/>
  <c r="L11" i="31"/>
  <c r="L12" i="31" s="1"/>
  <c r="D15" i="30"/>
  <c r="C16" i="30"/>
  <c r="D14" i="27"/>
  <c r="J11" i="27"/>
  <c r="F13" i="27"/>
  <c r="H12" i="27"/>
  <c r="L11" i="26"/>
  <c r="L12" i="26" s="1"/>
  <c r="L14" i="34" l="1"/>
  <c r="M14" i="34" s="1"/>
  <c r="O14" i="34"/>
  <c r="P14" i="34" s="1"/>
  <c r="I15" i="34"/>
  <c r="J15" i="34" s="1"/>
  <c r="C14" i="35"/>
  <c r="B27" i="41" s="1"/>
  <c r="J11" i="36"/>
  <c r="H12" i="36"/>
  <c r="F13" i="36"/>
  <c r="D16" i="36"/>
  <c r="X12" i="34"/>
  <c r="Y11" i="34"/>
  <c r="R14" i="34"/>
  <c r="S13" i="34"/>
  <c r="D16" i="34"/>
  <c r="U13" i="34"/>
  <c r="V12" i="34"/>
  <c r="F13" i="32"/>
  <c r="D14" i="32"/>
  <c r="J11" i="32"/>
  <c r="H12" i="32"/>
  <c r="P11" i="31"/>
  <c r="P12" i="31" s="1"/>
  <c r="N11" i="31"/>
  <c r="N12" i="31" s="1"/>
  <c r="D16" i="30"/>
  <c r="C17" i="30"/>
  <c r="F14" i="27"/>
  <c r="L11" i="27"/>
  <c r="D15" i="27"/>
  <c r="J12" i="27"/>
  <c r="H13" i="27"/>
  <c r="P11" i="26"/>
  <c r="P12" i="26" s="1"/>
  <c r="N11" i="26"/>
  <c r="N12" i="26" s="1"/>
  <c r="I16" i="34" l="1"/>
  <c r="J16" i="34" s="1"/>
  <c r="L15" i="34"/>
  <c r="M15" i="34" s="1"/>
  <c r="O15" i="34"/>
  <c r="P15" i="34" s="1"/>
  <c r="H13" i="36"/>
  <c r="L11" i="36"/>
  <c r="F14" i="36"/>
  <c r="J12" i="36"/>
  <c r="D17" i="36"/>
  <c r="X13" i="34"/>
  <c r="Y12" i="34"/>
  <c r="U14" i="34"/>
  <c r="V13" i="34"/>
  <c r="D17" i="34"/>
  <c r="R15" i="34"/>
  <c r="S14" i="34"/>
  <c r="H13" i="32"/>
  <c r="J12" i="32"/>
  <c r="L11" i="32"/>
  <c r="F14" i="32"/>
  <c r="D15" i="32"/>
  <c r="C14" i="31"/>
  <c r="B17" i="41" s="1"/>
  <c r="D17" i="30"/>
  <c r="C18" i="30"/>
  <c r="F15" i="27"/>
  <c r="H14" i="27"/>
  <c r="D16" i="27"/>
  <c r="N11" i="27"/>
  <c r="L12" i="27"/>
  <c r="J13" i="27"/>
  <c r="C14" i="26"/>
  <c r="B7" i="41" s="1"/>
  <c r="O16" i="34" l="1"/>
  <c r="P16" i="34" s="1"/>
  <c r="L16" i="34"/>
  <c r="M16" i="34" s="1"/>
  <c r="I17" i="34"/>
  <c r="J17" i="34" s="1"/>
  <c r="I18" i="34"/>
  <c r="J18" i="34" s="1"/>
  <c r="J13" i="36"/>
  <c r="H14" i="36"/>
  <c r="N11" i="36"/>
  <c r="D19" i="36"/>
  <c r="D18" i="36"/>
  <c r="F15" i="36"/>
  <c r="L12" i="36"/>
  <c r="U15" i="34"/>
  <c r="V14" i="34"/>
  <c r="R16" i="34"/>
  <c r="S15" i="34"/>
  <c r="D18" i="34"/>
  <c r="X14" i="34"/>
  <c r="Y13" i="34"/>
  <c r="J13" i="32"/>
  <c r="D16" i="32"/>
  <c r="N11" i="32"/>
  <c r="H14" i="32"/>
  <c r="F15" i="32"/>
  <c r="L12" i="32"/>
  <c r="D18" i="30"/>
  <c r="C19" i="30"/>
  <c r="D19" i="30" s="1"/>
  <c r="H15" i="27"/>
  <c r="L13" i="27"/>
  <c r="D17" i="27"/>
  <c r="F16" i="27"/>
  <c r="N12" i="27"/>
  <c r="J14" i="27"/>
  <c r="P11" i="27"/>
  <c r="J20" i="34" l="1"/>
  <c r="L18" i="34"/>
  <c r="M18" i="34" s="1"/>
  <c r="L17" i="34"/>
  <c r="M17" i="34" s="1"/>
  <c r="O18" i="34"/>
  <c r="P18" i="34" s="1"/>
  <c r="O17" i="34"/>
  <c r="P17" i="34" s="1"/>
  <c r="D20" i="30"/>
  <c r="D20" i="36"/>
  <c r="L13" i="36"/>
  <c r="N12" i="36"/>
  <c r="P11" i="36"/>
  <c r="H15" i="36"/>
  <c r="F16" i="36"/>
  <c r="J14" i="36"/>
  <c r="X15" i="34"/>
  <c r="Y14" i="34"/>
  <c r="R17" i="34"/>
  <c r="S16" i="34"/>
  <c r="U16" i="34"/>
  <c r="V15" i="34"/>
  <c r="D20" i="34"/>
  <c r="N12" i="32"/>
  <c r="P11" i="32"/>
  <c r="L13" i="32"/>
  <c r="F16" i="32"/>
  <c r="D17" i="32"/>
  <c r="H15" i="32"/>
  <c r="J14" i="32"/>
  <c r="L14" i="27"/>
  <c r="H16" i="27"/>
  <c r="J15" i="27"/>
  <c r="F19" i="27"/>
  <c r="F17" i="27"/>
  <c r="P12" i="27"/>
  <c r="N13" i="27"/>
  <c r="D18" i="27"/>
  <c r="P20" i="34" l="1"/>
  <c r="M20" i="34"/>
  <c r="N13" i="36"/>
  <c r="H16" i="36"/>
  <c r="L14" i="36"/>
  <c r="J15" i="36"/>
  <c r="F17" i="36"/>
  <c r="P12" i="36"/>
  <c r="U17" i="34"/>
  <c r="V16" i="34"/>
  <c r="X16" i="34"/>
  <c r="Y15" i="34"/>
  <c r="R18" i="34"/>
  <c r="S17" i="34"/>
  <c r="D18" i="32"/>
  <c r="P12" i="32"/>
  <c r="L14" i="32"/>
  <c r="J15" i="32"/>
  <c r="H16" i="32"/>
  <c r="N13" i="32"/>
  <c r="F17" i="32"/>
  <c r="F19" i="32"/>
  <c r="D20" i="27"/>
  <c r="N14" i="27"/>
  <c r="P13" i="27"/>
  <c r="J16" i="27"/>
  <c r="L15" i="27"/>
  <c r="F18" i="27"/>
  <c r="H17" i="27"/>
  <c r="H19" i="27"/>
  <c r="D20" i="32" l="1"/>
  <c r="F20" i="27"/>
  <c r="P13" i="36"/>
  <c r="L15" i="36"/>
  <c r="H17" i="36"/>
  <c r="N14" i="36"/>
  <c r="F19" i="36"/>
  <c r="F18" i="36"/>
  <c r="J16" i="36"/>
  <c r="U18" i="34"/>
  <c r="V17" i="34"/>
  <c r="S18" i="34"/>
  <c r="X17" i="34"/>
  <c r="Y16" i="34"/>
  <c r="J16" i="32"/>
  <c r="N14" i="32"/>
  <c r="L15" i="32"/>
  <c r="H19" i="32"/>
  <c r="H17" i="32"/>
  <c r="P13" i="32"/>
  <c r="F18" i="32"/>
  <c r="N15" i="27"/>
  <c r="P14" i="27"/>
  <c r="H18" i="27"/>
  <c r="L16" i="27"/>
  <c r="J19" i="27"/>
  <c r="J17" i="27"/>
  <c r="F20" i="32" l="1"/>
  <c r="F20" i="36"/>
  <c r="N15" i="36"/>
  <c r="L16" i="36"/>
  <c r="P14" i="36"/>
  <c r="J17" i="36"/>
  <c r="H19" i="36"/>
  <c r="H18" i="36"/>
  <c r="S20" i="34"/>
  <c r="X18" i="34"/>
  <c r="Y17" i="34"/>
  <c r="V18" i="34"/>
  <c r="H18" i="32"/>
  <c r="L16" i="32"/>
  <c r="J17" i="32"/>
  <c r="J19" i="32"/>
  <c r="P14" i="32"/>
  <c r="N15" i="32"/>
  <c r="N16" i="27"/>
  <c r="J18" i="27"/>
  <c r="L17" i="27"/>
  <c r="L19" i="27"/>
  <c r="H20" i="27"/>
  <c r="P15" i="27"/>
  <c r="H20" i="36" l="1"/>
  <c r="H20" i="32"/>
  <c r="V20" i="34"/>
  <c r="P15" i="36"/>
  <c r="N16" i="36"/>
  <c r="J19" i="36"/>
  <c r="J18" i="36"/>
  <c r="L17" i="36"/>
  <c r="Y18" i="34"/>
  <c r="P15" i="32"/>
  <c r="J18" i="32"/>
  <c r="N16" i="32"/>
  <c r="L19" i="32"/>
  <c r="L17" i="32"/>
  <c r="L18" i="27"/>
  <c r="N19" i="27"/>
  <c r="N17" i="27"/>
  <c r="P16" i="27"/>
  <c r="J20" i="27"/>
  <c r="J20" i="32" l="1"/>
  <c r="L19" i="36"/>
  <c r="L18" i="36"/>
  <c r="N17" i="36"/>
  <c r="J20" i="36"/>
  <c r="P16" i="36"/>
  <c r="Y20" i="34"/>
  <c r="C22" i="34" s="1"/>
  <c r="B26" i="41" s="1"/>
  <c r="L18" i="32"/>
  <c r="N17" i="32"/>
  <c r="N19" i="32"/>
  <c r="P16" i="32"/>
  <c r="N18" i="27"/>
  <c r="P17" i="27"/>
  <c r="P19" i="27"/>
  <c r="L20" i="27"/>
  <c r="L20" i="36" l="1"/>
  <c r="N19" i="36"/>
  <c r="N18" i="36"/>
  <c r="P17" i="36"/>
  <c r="L20" i="32"/>
  <c r="N18" i="32"/>
  <c r="P19" i="32"/>
  <c r="P17" i="32"/>
  <c r="N20" i="27"/>
  <c r="P18" i="27"/>
  <c r="P19" i="36" l="1"/>
  <c r="P18" i="36"/>
  <c r="N20" i="36"/>
  <c r="P18" i="32"/>
  <c r="P20" i="32" s="1"/>
  <c r="N20" i="32"/>
  <c r="P20" i="27"/>
  <c r="C22" i="27" s="1"/>
  <c r="B8" i="41" s="1"/>
  <c r="C22" i="32" l="1"/>
  <c r="B18" i="41" s="1"/>
  <c r="P20" i="36"/>
  <c r="C22" i="36" s="1"/>
  <c r="B28" i="41" s="1"/>
  <c r="B30" i="41" s="1"/>
  <c r="G12" i="25" l="1"/>
  <c r="C12" i="25"/>
  <c r="S8" i="25"/>
  <c r="I12" i="25" l="1"/>
  <c r="O12" i="25"/>
  <c r="M12" i="25"/>
  <c r="K12" i="25"/>
  <c r="Q11" i="25" l="1"/>
  <c r="Q12" i="25" s="1"/>
  <c r="S11" i="25" l="1"/>
  <c r="S12" i="25" s="1"/>
  <c r="C14" i="25" s="1"/>
  <c r="B5" i="41" s="1"/>
  <c r="G20" i="21" l="1"/>
  <c r="D12" i="21"/>
  <c r="D11" i="21"/>
  <c r="Y8" i="21"/>
  <c r="D13" i="21" l="1"/>
  <c r="L12" i="21"/>
  <c r="P11" i="21"/>
  <c r="M11" i="21"/>
  <c r="J11" i="21"/>
  <c r="I12" i="21" l="1"/>
  <c r="J12" i="21" s="1"/>
  <c r="D14" i="21"/>
  <c r="L13" i="21"/>
  <c r="M12" i="21"/>
  <c r="O13" i="21" l="1"/>
  <c r="O12" i="21"/>
  <c r="P12" i="21" s="1"/>
  <c r="I13" i="21"/>
  <c r="J13" i="21" s="1"/>
  <c r="D15" i="21"/>
  <c r="M13" i="21"/>
  <c r="R12" i="21"/>
  <c r="S11" i="21"/>
  <c r="L15" i="21" l="1"/>
  <c r="L14" i="21"/>
  <c r="M14" i="21" s="1"/>
  <c r="X11" i="21"/>
  <c r="U11" i="21"/>
  <c r="V11" i="21" s="1"/>
  <c r="I14" i="21"/>
  <c r="J14" i="21" s="1"/>
  <c r="D16" i="21"/>
  <c r="U12" i="21"/>
  <c r="R13" i="21"/>
  <c r="S12" i="21"/>
  <c r="O14" i="21"/>
  <c r="P13" i="21"/>
  <c r="I15" i="21" l="1"/>
  <c r="J15" i="21" s="1"/>
  <c r="D17" i="21"/>
  <c r="R14" i="21"/>
  <c r="S13" i="21"/>
  <c r="X12" i="21"/>
  <c r="Y11" i="21"/>
  <c r="O15" i="21"/>
  <c r="P14" i="21"/>
  <c r="L16" i="21"/>
  <c r="M15" i="21"/>
  <c r="U13" i="21"/>
  <c r="V12" i="21"/>
  <c r="I16" i="21" l="1"/>
  <c r="J16" i="21" s="1"/>
  <c r="O16" i="21"/>
  <c r="P15" i="21"/>
  <c r="X13" i="21"/>
  <c r="Y12" i="21"/>
  <c r="R15" i="21"/>
  <c r="S14" i="21"/>
  <c r="U14" i="21"/>
  <c r="V13" i="21"/>
  <c r="L17" i="21"/>
  <c r="M16" i="21"/>
  <c r="I17" i="21" l="1"/>
  <c r="J17" i="21" s="1"/>
  <c r="I18" i="21"/>
  <c r="J18" i="21" s="1"/>
  <c r="D18" i="21"/>
  <c r="D20" i="21" s="1"/>
  <c r="X14" i="21"/>
  <c r="Y13" i="21"/>
  <c r="U15" i="21"/>
  <c r="V14" i="21"/>
  <c r="L18" i="21"/>
  <c r="M17" i="21"/>
  <c r="R16" i="21"/>
  <c r="S15" i="21"/>
  <c r="O17" i="21"/>
  <c r="P16" i="21"/>
  <c r="J20" i="21" l="1"/>
  <c r="R17" i="21"/>
  <c r="S16" i="21"/>
  <c r="M18" i="21"/>
  <c r="U16" i="21"/>
  <c r="V15" i="21"/>
  <c r="X15" i="21"/>
  <c r="Y14" i="21"/>
  <c r="O18" i="21"/>
  <c r="P17" i="21"/>
  <c r="U17" i="21" l="1"/>
  <c r="V16" i="21"/>
  <c r="R18" i="21"/>
  <c r="S17" i="21"/>
  <c r="P18" i="21"/>
  <c r="X16" i="21"/>
  <c r="Y15" i="21"/>
  <c r="M20" i="21"/>
  <c r="P20" i="21" l="1"/>
  <c r="X17" i="21"/>
  <c r="Y16" i="21"/>
  <c r="S18" i="21"/>
  <c r="U18" i="21"/>
  <c r="V17" i="21"/>
  <c r="S20" i="21" l="1"/>
  <c r="V18" i="21"/>
  <c r="X18" i="21"/>
  <c r="Y17" i="21"/>
  <c r="Y18" i="21" l="1"/>
  <c r="V20" i="21"/>
  <c r="Y20" i="21" l="1"/>
  <c r="C22" i="21" s="1"/>
  <c r="B6" i="41" s="1"/>
  <c r="B10" i="41" s="1"/>
  <c r="H12" i="30" l="1"/>
  <c r="K11" i="30"/>
  <c r="J11" i="30"/>
  <c r="L11" i="30" l="1"/>
  <c r="M11" i="30" s="1"/>
  <c r="I12" i="30"/>
  <c r="J12" i="30" s="1"/>
  <c r="K12" i="30"/>
  <c r="N11" i="30"/>
  <c r="O11" i="30" s="1"/>
  <c r="H13" i="30"/>
  <c r="I13" i="30" s="1"/>
  <c r="L12" i="30" l="1"/>
  <c r="M12" i="30" s="1"/>
  <c r="K13" i="30"/>
  <c r="J13" i="30"/>
  <c r="H14" i="30"/>
  <c r="I14" i="30" s="1"/>
  <c r="N12" i="30"/>
  <c r="O12" i="30" s="1"/>
  <c r="Q11" i="30"/>
  <c r="R11" i="30" s="1"/>
  <c r="P11" i="30"/>
  <c r="K14" i="30" l="1"/>
  <c r="L14" i="30" s="1"/>
  <c r="M14" i="30" s="1"/>
  <c r="L13" i="30"/>
  <c r="M13" i="30" s="1"/>
  <c r="T11" i="30"/>
  <c r="U11" i="30" s="1"/>
  <c r="Q12" i="30"/>
  <c r="R12" i="30" s="1"/>
  <c r="S11" i="30"/>
  <c r="P12" i="30"/>
  <c r="N13" i="30"/>
  <c r="O13" i="30" s="1"/>
  <c r="H15" i="30"/>
  <c r="I15" i="30" s="1"/>
  <c r="J14" i="30"/>
  <c r="K15" i="30"/>
  <c r="L15" i="30" s="1"/>
  <c r="H16" i="30" l="1"/>
  <c r="I16" i="30" s="1"/>
  <c r="J15" i="30"/>
  <c r="M15" i="30"/>
  <c r="K16" i="30"/>
  <c r="L16" i="30" s="1"/>
  <c r="S12" i="30"/>
  <c r="Q13" i="30"/>
  <c r="R13" i="30" s="1"/>
  <c r="P13" i="30"/>
  <c r="N14" i="30"/>
  <c r="O14" i="30" s="1"/>
  <c r="T12" i="30"/>
  <c r="U12" i="30" s="1"/>
  <c r="V11" i="30"/>
  <c r="W11" i="30"/>
  <c r="X11" i="30" s="1"/>
  <c r="S13" i="30" l="1"/>
  <c r="Q14" i="30"/>
  <c r="R14" i="30" s="1"/>
  <c r="W12" i="30"/>
  <c r="X12" i="30" s="1"/>
  <c r="Y11" i="30"/>
  <c r="V12" i="30"/>
  <c r="T13" i="30"/>
  <c r="U13" i="30" s="1"/>
  <c r="N15" i="30"/>
  <c r="O15" i="30" s="1"/>
  <c r="P14" i="30"/>
  <c r="M16" i="30"/>
  <c r="K17" i="30"/>
  <c r="L17" i="30" s="1"/>
  <c r="J16" i="30"/>
  <c r="H17" i="30"/>
  <c r="I17" i="30" s="1"/>
  <c r="M17" i="30" l="1"/>
  <c r="K18" i="30"/>
  <c r="L18" i="30" s="1"/>
  <c r="V13" i="30"/>
  <c r="T14" i="30"/>
  <c r="U14" i="30" s="1"/>
  <c r="P15" i="30"/>
  <c r="N16" i="30"/>
  <c r="O16" i="30" s="1"/>
  <c r="W13" i="30"/>
  <c r="X13" i="30" s="1"/>
  <c r="Y12" i="30"/>
  <c r="J17" i="30"/>
  <c r="H18" i="30"/>
  <c r="I18" i="30" s="1"/>
  <c r="Q15" i="30"/>
  <c r="R15" i="30" s="1"/>
  <c r="S14" i="30"/>
  <c r="Q16" i="30" l="1"/>
  <c r="R16" i="30" s="1"/>
  <c r="S15" i="30"/>
  <c r="W14" i="30"/>
  <c r="X14" i="30" s="1"/>
  <c r="Y13" i="30"/>
  <c r="T15" i="30"/>
  <c r="U15" i="30" s="1"/>
  <c r="V14" i="30"/>
  <c r="N17" i="30"/>
  <c r="O17" i="30" s="1"/>
  <c r="P16" i="30"/>
  <c r="J18" i="30"/>
  <c r="H19" i="30"/>
  <c r="M18" i="30"/>
  <c r="K19" i="30"/>
  <c r="L19" i="30" l="1"/>
  <c r="M19" i="30" s="1"/>
  <c r="M20" i="30" s="1"/>
  <c r="I19" i="30"/>
  <c r="J19" i="30" s="1"/>
  <c r="J20" i="30" s="1"/>
  <c r="V15" i="30"/>
  <c r="T16" i="30"/>
  <c r="U16" i="30" s="1"/>
  <c r="S16" i="30"/>
  <c r="Q17" i="30"/>
  <c r="R17" i="30" s="1"/>
  <c r="P17" i="30"/>
  <c r="N18" i="30"/>
  <c r="O18" i="30" s="1"/>
  <c r="W15" i="30"/>
  <c r="X15" i="30" s="1"/>
  <c r="Y14" i="30"/>
  <c r="P18" i="30" l="1"/>
  <c r="N19" i="30"/>
  <c r="T17" i="30"/>
  <c r="U17" i="30" s="1"/>
  <c r="V16" i="30"/>
  <c r="S17" i="30"/>
  <c r="Q18" i="30"/>
  <c r="R18" i="30" s="1"/>
  <c r="Y15" i="30"/>
  <c r="W16" i="30"/>
  <c r="X16" i="30" s="1"/>
  <c r="O19" i="30" l="1"/>
  <c r="P19" i="30" s="1"/>
  <c r="P20" i="30" s="1"/>
  <c r="V17" i="30"/>
  <c r="T18" i="30"/>
  <c r="U18" i="30" s="1"/>
  <c r="Y16" i="30"/>
  <c r="W17" i="30"/>
  <c r="X17" i="30" s="1"/>
  <c r="S18" i="30"/>
  <c r="Q19" i="30"/>
  <c r="R19" i="30" l="1"/>
  <c r="S19" i="30" s="1"/>
  <c r="S20" i="30" s="1"/>
  <c r="V18" i="30"/>
  <c r="T19" i="30"/>
  <c r="W18" i="30"/>
  <c r="X18" i="30" s="1"/>
  <c r="Y17" i="30"/>
  <c r="U19" i="30" l="1"/>
  <c r="V19" i="30" s="1"/>
  <c r="V20" i="30" s="1"/>
  <c r="Y18" i="30"/>
  <c r="W19" i="30"/>
  <c r="X19" i="30" l="1"/>
  <c r="Y19" i="30" s="1"/>
  <c r="Y20" i="30" s="1"/>
  <c r="C22" i="30" s="1"/>
  <c r="B16" i="41" s="1"/>
  <c r="I11" i="29"/>
  <c r="K11" i="29" l="1"/>
  <c r="I12" i="29"/>
  <c r="M11" i="29" l="1"/>
  <c r="K12" i="29"/>
  <c r="O11" i="29" l="1"/>
  <c r="M12" i="29"/>
  <c r="Q11" i="29" l="1"/>
  <c r="O12" i="29"/>
  <c r="Q12" i="29" l="1"/>
  <c r="S11" i="29" l="1"/>
  <c r="S12" i="29" s="1"/>
  <c r="C14" i="29" s="1"/>
  <c r="B15" i="41" s="1"/>
  <c r="B20" i="4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C:\Users\pareta\Desktop\AMS Deals\Biswajeet Deals\Montana\Pricing Sheet\Pricing Scenario_final Manish v3.xlsm" keepAlive="1" name="Pricing Scenario_final Manish v3" type="5" refreshedVersion="0" new="1" background="1">
    <dbPr connection="Provider=Microsoft.ACE.OLEDB.12.0;Password=&quot;&quot;;User ID=Admin;Data Source=C:\Users\pareta\Desktop\AMS Deals\Biswajeet Deals\Montana\Pricing Sheet\Pricing Scenario_final Manish v3.xlsm;Mode=Share Deny Write;Extended Properties=&quot;HDR=YES;&quot;;Jet OLEDB:System database=&quot;&quot;;Jet OLEDB:Registry Path=&quot;&quot;;Jet OLEDB:Database Password=&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F1 Pricing$'" commandType="3"/>
  </connection>
</connections>
</file>

<file path=xl/sharedStrings.xml><?xml version="1.0" encoding="utf-8"?>
<sst xmlns="http://schemas.openxmlformats.org/spreadsheetml/2006/main" count="935" uniqueCount="280">
  <si>
    <t>Phase</t>
  </si>
  <si>
    <t xml:space="preserve">Cost </t>
  </si>
  <si>
    <t>Operations</t>
  </si>
  <si>
    <t>DDI</t>
  </si>
  <si>
    <t>GRAND TOTAL</t>
  </si>
  <si>
    <t>Schedule E - Resource Hourly Rates</t>
  </si>
  <si>
    <t>Type of resource</t>
  </si>
  <si>
    <t>Phases</t>
  </si>
  <si>
    <t>DDI and Certification</t>
  </si>
  <si>
    <t>Schedule C - Cost of Operations Option A</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</si>
  <si>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</si>
  <si>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</si>
  <si>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</si>
  <si>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t>Schedule C - Cost of Operations Option B</t>
  </si>
  <si>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</si>
  <si>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</si>
  <si>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</si>
  <si>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</si>
  <si>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</si>
  <si>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</si>
  <si>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</si>
  <si>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</si>
  <si>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</si>
  <si>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</si>
  <si>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</si>
  <si>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</si>
  <si>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</si>
  <si>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</si>
  <si>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t>Provider Services Schedule E - Resource Hourly Rates</t>
  </si>
  <si>
    <r>
      <rPr>
        <b/>
        <sz val="12"/>
        <color theme="1"/>
        <rFont val="Arial"/>
        <family val="2"/>
      </rPr>
      <t>Option B</t>
    </r>
    <r>
      <rPr>
        <sz val="12"/>
        <color theme="1"/>
        <rFont val="Arial"/>
        <family val="2"/>
      </rPr>
      <t xml:space="preserve"> Operations Optional Year 9</t>
    </r>
  </si>
  <si>
    <t>Provider Services Schedule C - Cost of Operations</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</si>
  <si>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</si>
  <si>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</si>
  <si>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</si>
  <si>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</si>
  <si>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</si>
  <si>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</si>
  <si>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</si>
  <si>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</si>
  <si>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</si>
  <si>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</si>
  <si>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</si>
  <si>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</si>
  <si>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</si>
  <si>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</si>
  <si>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</si>
  <si>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</si>
  <si>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</si>
  <si>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Group Provider Range:</t>
  </si>
  <si>
    <t>Median Providers:</t>
  </si>
  <si>
    <t>No Variable Pricing in Group 1</t>
  </si>
  <si>
    <t>Base Cost Amount</t>
  </si>
  <si>
    <t>Variable Rate</t>
  </si>
  <si>
    <t>Monthly Variable Cost</t>
  </si>
  <si>
    <t>Annual Variable Cost</t>
  </si>
  <si>
    <t>Variable Cost</t>
  </si>
  <si>
    <t>N/A</t>
  </si>
  <si>
    <t>COLA Percentage:</t>
  </si>
  <si>
    <t>Year 1 Variable Rate:</t>
  </si>
  <si>
    <t>Variable Rate Factor Group 2-7:</t>
  </si>
  <si>
    <t>Operations Year</t>
  </si>
  <si>
    <t>Monthly Base Cost</t>
  </si>
  <si>
    <t>Annual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</si>
  <si>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</si>
  <si>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</si>
  <si>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</si>
  <si>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</si>
  <si>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</si>
  <si>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</si>
  <si>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</si>
  <si>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</si>
  <si>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</si>
  <si>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</si>
  <si>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Pool Hour Cost</t>
  </si>
  <si>
    <t>DDI:</t>
  </si>
  <si>
    <t>Year 1 Hourly Rate:</t>
  </si>
  <si>
    <t>Operations Year one begins the first day of the month following the implementation of the MPATH Module.</t>
  </si>
  <si>
    <t>This schedule represents the hourly rates for resources in both the DDI and Certification phases and Operations phases</t>
  </si>
  <si>
    <t>Schedule G - Provider Services Option A Scope of Work Costs
Schedule G-1 Provider Services DDI Costs</t>
  </si>
  <si>
    <t>Schedule G - Provider Services Option A Scope of Work Costs
Schedule G-2 Provider Services Operations Costs</t>
  </si>
  <si>
    <t>Schedule G - Provider Services Option A Scope of Work Costs
Schedule G-3 Provider Services DDI Enhancement Pool Hour Costs</t>
  </si>
  <si>
    <t>Schedule G - Provider Services Option A Scope of Work Costs
Schedule G-4 Provider Services Operations Enhancement Pool Hour Costs</t>
  </si>
  <si>
    <t>Schedule H - Provider Services Option B Scope of Work Costs
Schedule H-1 Provider Services DDI Costs</t>
  </si>
  <si>
    <t>Schedule H - Provider Services Option B Scope of Work Costs
Schedule H-2 Provider Services Operations Costs</t>
  </si>
  <si>
    <t>Schedule H - Provider Services Option B Scope of Work Costs
Schedule H-3 Provider Services DDI Enhancement Pool Hour Costs</t>
  </si>
  <si>
    <t>Schedule H - Provider Services Option B Scope of Work Costs
Schedule H-4 Provider Services Operations Enhancement Pool Hour Costs</t>
  </si>
  <si>
    <t>DDI Enhancement Pool Hours:</t>
  </si>
  <si>
    <t>Operations Annual Enhancement Pool Hours:</t>
  </si>
  <si>
    <t xml:space="preserve"> </t>
  </si>
  <si>
    <t xml:space="preserve">Account Executive </t>
  </si>
  <si>
    <t xml:space="preserve">Advanced Business Analyst </t>
  </si>
  <si>
    <t xml:space="preserve">Advanced Developer </t>
  </si>
  <si>
    <t>Advanced Project Manager</t>
  </si>
  <si>
    <t>Advanced Tester</t>
  </si>
  <si>
    <t>Developer</t>
  </si>
  <si>
    <t>Sr. Account Security Officer</t>
  </si>
  <si>
    <t>Sr. Architect</t>
  </si>
  <si>
    <t>Sr. Business Analyst</t>
  </si>
  <si>
    <t>Sr. Developer</t>
  </si>
  <si>
    <t>Sr. Project/Program Manager</t>
  </si>
  <si>
    <t>Tester</t>
  </si>
  <si>
    <t>Call Center Rep</t>
  </si>
  <si>
    <t>Provider Enrollment Clerk</t>
  </si>
  <si>
    <t>Sr Provider Enrollment Lead</t>
  </si>
  <si>
    <t>Trainer</t>
  </si>
  <si>
    <t>Site Representative</t>
  </si>
  <si>
    <t>Sr. ITO Delivery Lead</t>
  </si>
  <si>
    <t>Sr. ITO Technology Lead</t>
  </si>
  <si>
    <t>Sr. ITO Services Lead</t>
  </si>
  <si>
    <t>Consumer Price Index Urban (CPI-U) Adjustment:</t>
  </si>
  <si>
    <t>A. CPI-U for Master Agreement Date 6/1/2018:</t>
  </si>
  <si>
    <t>B. CPI-U for Participating Addendum Date:</t>
  </si>
  <si>
    <t>C. Index Point Change equals B minus A:</t>
  </si>
  <si>
    <t>E. CPI-U Inflation Percentage equals B plus 1.00:</t>
  </si>
  <si>
    <t>D. Equals C divided by A:</t>
  </si>
  <si>
    <t xml:space="preserve">Provider Services Schedule A - Cost Summary </t>
  </si>
  <si>
    <t xml:space="preserve">Instruction </t>
  </si>
  <si>
    <t>Insert "Total DDI Cost" from Schedule F, Tab F-1</t>
  </si>
  <si>
    <t>Insert "Total Operations Costs" from Schedule F, Tab F-2</t>
  </si>
  <si>
    <t>Insert "Total DDI Enhancement Pool Hour Costs" from Schedule F, Tab F-3</t>
  </si>
  <si>
    <t>Insert "Total Operations Enhancement Pool Hour Costs" from Schedule F, Tab F-4</t>
  </si>
  <si>
    <t>Schedule A - Provider Services Option A Scope of Work Costs</t>
  </si>
  <si>
    <r>
      <rPr>
        <b/>
        <sz val="12"/>
        <color theme="1"/>
        <rFont val="Arial"/>
        <family val="2"/>
      </rPr>
      <t>Provider Services Option A</t>
    </r>
    <r>
      <rPr>
        <sz val="12"/>
        <color theme="1"/>
        <rFont val="Arial"/>
        <family val="2"/>
      </rPr>
      <t xml:space="preserve"> DDI</t>
    </r>
  </si>
  <si>
    <t>Insert "Total DDI Costs" from Schedule G, Tab G-1</t>
  </si>
  <si>
    <r>
      <rPr>
        <b/>
        <sz val="12"/>
        <color theme="1"/>
        <rFont val="Arial"/>
        <family val="2"/>
      </rPr>
      <t>Provider Services Option A</t>
    </r>
    <r>
      <rPr>
        <sz val="12"/>
        <color theme="1"/>
        <rFont val="Arial"/>
        <family val="2"/>
      </rPr>
      <t xml:space="preserve"> Operations</t>
    </r>
  </si>
  <si>
    <t>Insert "Total Operations Costs" from Schedule G, Tab G-2</t>
  </si>
  <si>
    <r>
      <rPr>
        <b/>
        <sz val="12"/>
        <color theme="1"/>
        <rFont val="Arial"/>
        <family val="2"/>
      </rPr>
      <t xml:space="preserve">Provider Services Option A </t>
    </r>
    <r>
      <rPr>
        <sz val="12"/>
        <color theme="1"/>
        <rFont val="Arial"/>
        <family val="2"/>
      </rPr>
      <t>DDI</t>
    </r>
    <r>
      <rPr>
        <b/>
        <sz val="12"/>
        <color theme="1"/>
        <rFont val="Arial"/>
        <family val="2"/>
      </rPr>
      <t xml:space="preserve"> </t>
    </r>
    <r>
      <rPr>
        <sz val="12"/>
        <color theme="1"/>
        <rFont val="Arial"/>
        <family val="2"/>
      </rPr>
      <t>Enhancement Pool Hours</t>
    </r>
  </si>
  <si>
    <t>Insert "Total DDI Enhancement Pool Hour Costs" from Schedule G, Tab G-3</t>
  </si>
  <si>
    <r>
      <rPr>
        <b/>
        <sz val="12"/>
        <color theme="1"/>
        <rFont val="Arial"/>
        <family val="2"/>
      </rPr>
      <t xml:space="preserve">Provider Services Option A </t>
    </r>
    <r>
      <rPr>
        <sz val="12"/>
        <color theme="1"/>
        <rFont val="Arial"/>
        <family val="2"/>
      </rPr>
      <t>Operations Enhancement Pool Hours</t>
    </r>
  </si>
  <si>
    <t>Insert "Total Operations Enhancement Pool Hour Costs" from Schedule G, Tab G-4</t>
  </si>
  <si>
    <t xml:space="preserve"> Schedule A - Provider Services Option B Scope of Work Costs</t>
  </si>
  <si>
    <t>Cost</t>
  </si>
  <si>
    <r>
      <rPr>
        <b/>
        <sz val="12"/>
        <color theme="1"/>
        <rFont val="Arial"/>
        <family val="2"/>
      </rPr>
      <t>Provider Services Option B</t>
    </r>
    <r>
      <rPr>
        <sz val="12"/>
        <color theme="1"/>
        <rFont val="Arial"/>
        <family val="2"/>
      </rPr>
      <t xml:space="preserve"> DDI</t>
    </r>
  </si>
  <si>
    <t>Insert "Total DDI Costs" from Schedule H, Tab H-1</t>
  </si>
  <si>
    <r>
      <rPr>
        <b/>
        <sz val="12"/>
        <color theme="1"/>
        <rFont val="Arial"/>
        <family val="2"/>
      </rPr>
      <t xml:space="preserve">Provider Services Option B </t>
    </r>
    <r>
      <rPr>
        <sz val="12"/>
        <color theme="1"/>
        <rFont val="Arial"/>
        <family val="2"/>
      </rPr>
      <t>Operations</t>
    </r>
  </si>
  <si>
    <t>Insert "Total Operations Costs" from Schedule H, Tab H-2</t>
  </si>
  <si>
    <r>
      <rPr>
        <b/>
        <sz val="12"/>
        <color theme="1"/>
        <rFont val="Arial"/>
        <family val="2"/>
      </rPr>
      <t xml:space="preserve">Provider Services Option B </t>
    </r>
    <r>
      <rPr>
        <sz val="12"/>
        <color theme="1"/>
        <rFont val="Arial"/>
        <family val="2"/>
      </rPr>
      <t>DDI</t>
    </r>
    <r>
      <rPr>
        <b/>
        <sz val="12"/>
        <color theme="1"/>
        <rFont val="Arial"/>
        <family val="2"/>
      </rPr>
      <t xml:space="preserve"> </t>
    </r>
    <r>
      <rPr>
        <sz val="12"/>
        <color theme="1"/>
        <rFont val="Arial"/>
        <family val="2"/>
      </rPr>
      <t>Enhancement Pool Hours</t>
    </r>
  </si>
  <si>
    <t>Insert "Total DDI Enhancement Pool Hour Costs" from Schedule H, Tab H-3</t>
  </si>
  <si>
    <r>
      <rPr>
        <b/>
        <sz val="12"/>
        <color theme="1"/>
        <rFont val="Arial"/>
        <family val="2"/>
      </rPr>
      <t xml:space="preserve">Provider Services Option B </t>
    </r>
    <r>
      <rPr>
        <sz val="12"/>
        <color theme="1"/>
        <rFont val="Arial"/>
        <family val="2"/>
      </rPr>
      <t>Operations Enhancement Pool Hours</t>
    </r>
  </si>
  <si>
    <t>Insert "Total Operations Enhancement Pool Hour Costs" from Schedule H, Tab H-4</t>
  </si>
  <si>
    <t>All Inclusive Provider Services Option B Costs</t>
  </si>
  <si>
    <t xml:space="preserve">Provider Services Schedule B DDI Payment Milestones by Phase </t>
  </si>
  <si>
    <t>Payment Milestone</t>
  </si>
  <si>
    <t>DDI Phase</t>
  </si>
  <si>
    <t xml:space="preserve">Development Configuration and Build </t>
  </si>
  <si>
    <t>User Acceptance Testing and Integration Testing</t>
  </si>
  <si>
    <t>Implementation and Acceptance</t>
  </si>
  <si>
    <t>Certification</t>
  </si>
  <si>
    <t>Total Cost</t>
  </si>
  <si>
    <t xml:space="preserve">Provider Enrollment </t>
  </si>
  <si>
    <t xml:space="preserve">Provider Maintenance </t>
  </si>
  <si>
    <t xml:space="preserve">Provider Self-Service Portal </t>
  </si>
  <si>
    <t xml:space="preserve">Total Cost By Phase </t>
  </si>
  <si>
    <t xml:space="preserve">Total Percentage By Phase </t>
  </si>
  <si>
    <t>Minimum percent of total DDI cost cannot be less than the following percentages for each phase.**</t>
  </si>
  <si>
    <t>Maximum percent of total DDI cost cannot exceed the following percentages for each phase.**</t>
  </si>
  <si>
    <t xml:space="preserve">Grand Total </t>
  </si>
  <si>
    <t>*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</si>
  <si>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B-2: Provider Services Option A Scope of Work 
 Design, Development &amp; Implementation (DDI) Payment Milestone by Phase</t>
  </si>
  <si>
    <t xml:space="preserve">DDI Phase </t>
  </si>
  <si>
    <t>Development Configuration and Build</t>
  </si>
  <si>
    <t xml:space="preserve">Total Cost </t>
  </si>
  <si>
    <t>Provider Services Option A</t>
  </si>
  <si>
    <t>Schedule B-3: Provider Services Option B Scope of Work 
 Design, Development &amp; Implementation (DDI) Payment Milestone by Phase</t>
  </si>
  <si>
    <t>Provider Services Option B</t>
  </si>
  <si>
    <t xml:space="preserve">Provider Services Schedule D Enhancement Pool Hours </t>
  </si>
  <si>
    <t>Operations Year one begins the first day of the month following the implementation of the MPATH Module and overlaps with the year of Certification.</t>
  </si>
  <si>
    <t xml:space="preserve"> Schedule D - Enhancement Pool Hours Option A</t>
  </si>
  <si>
    <t xml:space="preserve"> Schedule D - Enhancement Pool Hours Option B</t>
  </si>
  <si>
    <t>Schedule F - Provider Services Core Scope of Work Costs
Schedule F-1 Provider Services DDI Costs</t>
  </si>
  <si>
    <t>Provider Services Core DDI Costs (Based on Number of Active De-duplicated Providers)</t>
  </si>
  <si>
    <t>Core DDI Costs:</t>
  </si>
  <si>
    <t>Total Core DDI Costs:</t>
  </si>
  <si>
    <t>Schedule F - Provider Services Core Scope of Work Costs
Schedule F-2 Provider Services Operations Costs</t>
  </si>
  <si>
    <t>Provider Services Core Operations Costs (Based on Number of Active De-duplicated Providers)</t>
  </si>
  <si>
    <t>Core Operations Costs:</t>
  </si>
  <si>
    <t>Total Core Operations Costs:</t>
  </si>
  <si>
    <t>Schedule F - Provider Services Core Scope of Work Costs
Schedule F-3 Provider Services DDI Enhancement Pool Hour Costs</t>
  </si>
  <si>
    <t>Provider Services Core DDI Enhancement Pool Costs (Based on Number of Active De-duplicated Providers)</t>
  </si>
  <si>
    <t>Core DDI Enhancement Pool Hour Costs:</t>
  </si>
  <si>
    <t>Total Core DDI Ehancement Pool Hour Costs:</t>
  </si>
  <si>
    <t>OMC17: The Contractor shall provide 1,500 system enhancement pool hours for the duration of the DDI phase of the contract. The cost of these 1,500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</si>
  <si>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Schedule F - Provider Services Core Scope of Work Costs
Schedule F-4 Provider Services Operations Enhancement Pool Hour Costs</t>
  </si>
  <si>
    <t>Provider Services Core Scope of Work Operations Enhancement Pool Hour Costs (Based on Number of Active De-duplicated Providers)</t>
  </si>
  <si>
    <t>Core Operations Enhancement Pool Hour Costs:</t>
  </si>
  <si>
    <t>Total Core Operations Enhancement Pool Hour Costs:</t>
  </si>
  <si>
    <t>OMC21:The Contractor will provide 500 system enhancement pool hours during the Operations phase per operations year. The cost of these annual 500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</si>
  <si>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Provider Services Option A DDI Costs (Based on Number of Active De-duplicated Providers)</t>
  </si>
  <si>
    <t>Option A DDI Costs:</t>
  </si>
  <si>
    <t>Total Option A DDI Costs:</t>
  </si>
  <si>
    <t>Provider Services Option A Operations Costs (Based on Number of Active De-duplicated Providers)</t>
  </si>
  <si>
    <t>Option A Operations Costs:</t>
  </si>
  <si>
    <t>Total Option A Operations Costs:</t>
  </si>
  <si>
    <t>Provider Services Option A DDI Enhancement Pool Costs (Based on Number of Active De-duplicated Providers)</t>
  </si>
  <si>
    <t>Option A DDI Enhancement Pool Hour Costs:</t>
  </si>
  <si>
    <t>Total Option A DDI Enhancement Pool Hour Costs:</t>
  </si>
  <si>
    <t>OMC22: The Contractor shall provide 500 system enhancement pool hours for the duration of the DDI phase of the contract. The cost of these 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</si>
  <si>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Provider Services Option A Scope of Work Operations Enhancement Pool Hour Costs (Based on Number of Active De-duplicated Providers)</t>
  </si>
  <si>
    <t>Option A Operations Enhancement Pool Hour Costs:</t>
  </si>
  <si>
    <t>Total Option A Operations Enhancement Pool Hour Costs:</t>
  </si>
  <si>
    <t>OMC23: The Contractor will provide 100 system enhancement pool hours during the Operations phase per operations year. The cost of these annual 100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 Schedule D-Enhancement Pool Hours. The cost of the contract will be reduced proportional to the cost of the unused hours using the rates provided in Attachment G Pricing Schedules, Schedule D-Enhancement Pool Hours.</t>
  </si>
  <si>
    <t>Provider Services Option B DDI Costs (Based on Number of Active De-duplicated Providers)</t>
  </si>
  <si>
    <t>Option B DDI Costs:</t>
  </si>
  <si>
    <t>Total Option B DDI Costs:</t>
  </si>
  <si>
    <t>Option B Operations Costs:</t>
  </si>
  <si>
    <t>Total Option B Operations Costs:</t>
  </si>
  <si>
    <t>Provider Services Option B Operations Costs (Based on Number of Active De-duplicated Providers)</t>
  </si>
  <si>
    <t>Provider Services Option B DDI Enhancement Pool Costs (Based on Number of Active De-duplicated Providers)</t>
  </si>
  <si>
    <t>Option B DDI Enhancement Pool Hour Costs:</t>
  </si>
  <si>
    <t>Total Option B DDI Enhancement Pool Hour Costs:</t>
  </si>
  <si>
    <t>OMC24: The Contractor will provide 250 system enhancement pool hours for the duration of the DDI phase of the contract. The cost of these 250 system enhancement pool hours are included in the offeror’s fixed price and included in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</si>
  <si>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Provider Services Option B Scope of Work Operations Enhancement Pool Hour Costs (Based on Number of Active De-duplicated Providers)</t>
  </si>
  <si>
    <t>Total Option B Operations Enhancement Pool Hour Costs:</t>
  </si>
  <si>
    <t>Option B Operations Enhancement Pool Hour Costs:</t>
  </si>
  <si>
    <t>OMC25:  The Contractor will provide 100 system enhancement pool hours during the Operations phase per operations year. The cost of these annual 100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 Schedule D-Enhancement Pool Hours. The cost of the contract will be reduced proportional to the cost of the unused hours using the rates provided in Attachment G Pricing Schedules, Schedule D-Enhancement Pool Hours.</t>
  </si>
  <si>
    <t xml:space="preserve"> Schedule A - Provider Services Core Scope of Work Costs</t>
  </si>
  <si>
    <r>
      <rPr>
        <b/>
        <sz val="12"/>
        <color theme="1"/>
        <rFont val="Arial"/>
        <family val="2"/>
      </rPr>
      <t xml:space="preserve">Provider Services Core Scope of Work </t>
    </r>
    <r>
      <rPr>
        <sz val="12"/>
        <color theme="1"/>
        <rFont val="Arial"/>
        <family val="2"/>
      </rPr>
      <t xml:space="preserve"> DDI</t>
    </r>
  </si>
  <si>
    <r>
      <rPr>
        <b/>
        <sz val="12"/>
        <color theme="1"/>
        <rFont val="Arial"/>
        <family val="2"/>
      </rPr>
      <t xml:space="preserve">Provider Services Core Scope of Work </t>
    </r>
    <r>
      <rPr>
        <sz val="12"/>
        <color theme="1"/>
        <rFont val="Arial"/>
        <family val="2"/>
      </rPr>
      <t>Operations</t>
    </r>
  </si>
  <si>
    <r>
      <rPr>
        <b/>
        <sz val="12"/>
        <color theme="1"/>
        <rFont val="Arial"/>
        <family val="2"/>
      </rPr>
      <t xml:space="preserve">Provider Services Core Scope of Work </t>
    </r>
    <r>
      <rPr>
        <sz val="12"/>
        <color theme="1"/>
        <rFont val="Arial"/>
        <family val="2"/>
      </rPr>
      <t>DDI</t>
    </r>
    <r>
      <rPr>
        <b/>
        <sz val="12"/>
        <color theme="1"/>
        <rFont val="Arial"/>
        <family val="2"/>
      </rPr>
      <t xml:space="preserve"> </t>
    </r>
    <r>
      <rPr>
        <sz val="12"/>
        <color theme="1"/>
        <rFont val="Arial"/>
        <family val="2"/>
      </rPr>
      <t>Enhancement Pool Hours</t>
    </r>
  </si>
  <si>
    <r>
      <rPr>
        <b/>
        <sz val="12"/>
        <color theme="1"/>
        <rFont val="Arial"/>
        <family val="2"/>
      </rPr>
      <t xml:space="preserve">Provider Services Core Scope of Work </t>
    </r>
    <r>
      <rPr>
        <sz val="12"/>
        <color theme="1"/>
        <rFont val="Arial"/>
        <family val="2"/>
      </rPr>
      <t>Operations</t>
    </r>
    <r>
      <rPr>
        <b/>
        <sz val="12"/>
        <color theme="1"/>
        <rFont val="Arial"/>
        <family val="2"/>
      </rPr>
      <t xml:space="preserve"> </t>
    </r>
    <r>
      <rPr>
        <sz val="12"/>
        <color theme="1"/>
        <rFont val="Arial"/>
        <family val="2"/>
      </rPr>
      <t>Enhancement Pool Hours</t>
    </r>
  </si>
  <si>
    <t>All Inclusive Provider Services Core Scope of Work Costs</t>
  </si>
  <si>
    <t>All Inclusive Provider Services Option A Costs</t>
  </si>
  <si>
    <t>Schedule B-1: Provider Services Core Scope of Work 
 Design, Development &amp; Implementation (DDI) Payment Milestone by Phase</t>
  </si>
  <si>
    <t>Schedule C - Cost of Operations Core</t>
  </si>
  <si>
    <t>Core Operations Year 1</t>
  </si>
  <si>
    <t>Core Operations Year 2</t>
  </si>
  <si>
    <t>Core Operations Year 3</t>
  </si>
  <si>
    <t>Core Operations Year 4</t>
  </si>
  <si>
    <t>Core TOTAL</t>
  </si>
  <si>
    <t>Core Operations Optional Year 5</t>
  </si>
  <si>
    <t>Core Operations Optional Year 6</t>
  </si>
  <si>
    <t>Core Operations Optional Year 7</t>
  </si>
  <si>
    <t>Core Operations Optional Year 8</t>
  </si>
  <si>
    <t>Core Operations Optional Year 9</t>
  </si>
  <si>
    <t>Core GRAND TOTAL</t>
  </si>
  <si>
    <t>Option A TOTAL</t>
  </si>
  <si>
    <t>Option A GRAND TOTAL</t>
  </si>
  <si>
    <t>Option B TOTAL</t>
  </si>
  <si>
    <t>Option B GRAND TOTAL</t>
  </si>
  <si>
    <t xml:space="preserve"> Schedule D - Enhancement Pool Hours Core</t>
  </si>
  <si>
    <t>Core DDI - 1,500 hours</t>
  </si>
  <si>
    <t>Total Core DDI</t>
  </si>
  <si>
    <t>Core Operations Year 1 - 500 hours</t>
  </si>
  <si>
    <t>Core Operations Year 2 - 500 hours</t>
  </si>
  <si>
    <t>Core Operations Year 3 - 500 hours</t>
  </si>
  <si>
    <t>Core Operations Year 4 - 500 hours</t>
  </si>
  <si>
    <t>Core Optional Operations Year 1 - 500 hours</t>
  </si>
  <si>
    <t>Core Optional Operations Year 2 - 500 hours</t>
  </si>
  <si>
    <t>Core Optional Operations Year 3 - 500 hours</t>
  </si>
  <si>
    <t>Core Optional Operations Year 4 - 500 hours</t>
  </si>
  <si>
    <t>Core Optional Operations Year 5 - 500 hours</t>
  </si>
  <si>
    <t>Total Core Operations</t>
  </si>
  <si>
    <t>Core Grand Total</t>
  </si>
  <si>
    <t>Option A DDI - 500 hours</t>
  </si>
  <si>
    <t>Total Option A DDI</t>
  </si>
  <si>
    <t>Option A Operations Year 1 - 100 hours</t>
  </si>
  <si>
    <t>Option A Operations Year 2 - 100 hours</t>
  </si>
  <si>
    <t>Option A Operations Year 3 - 100 hours</t>
  </si>
  <si>
    <t>Option A Operations Year 4 - 100 hours</t>
  </si>
  <si>
    <t>Option A Optional Operations Year 1 -100 hours</t>
  </si>
  <si>
    <t>Option A Optional Operations Year 2 - 100 hours</t>
  </si>
  <si>
    <t>Option A Optional Operations Year 3 - 100 hours</t>
  </si>
  <si>
    <t>Option A Optional Operations Year 4 - 100 hours</t>
  </si>
  <si>
    <t>Option A Optional Operations Year 5 - 100 hours</t>
  </si>
  <si>
    <t>Total Option A Operations</t>
  </si>
  <si>
    <t>Option A Grand Total</t>
  </si>
  <si>
    <t>Option B DDI - 250 hours</t>
  </si>
  <si>
    <t>Total Option B DDI</t>
  </si>
  <si>
    <t>Option B Operations Year 1 - 100 hours</t>
  </si>
  <si>
    <t>Option B Operations Year 2 - 100 hours</t>
  </si>
  <si>
    <t>Option B Operations Year 3 - 100 hours</t>
  </si>
  <si>
    <t>Option B Operations Year 4 - 100 hours</t>
  </si>
  <si>
    <t>Option B Optional Operations Year 1 - 100 hours</t>
  </si>
  <si>
    <t>Option B Optional Operations Year 2 -100 hours</t>
  </si>
  <si>
    <t>Option B Optional Operations Year 3 - 100 hours</t>
  </si>
  <si>
    <t>Option B Optional Operations Year 4 - 100 hours</t>
  </si>
  <si>
    <t>Option B Optional Operations Year 5 - 100 hours</t>
  </si>
  <si>
    <t>Total Option B Operations</t>
  </si>
  <si>
    <t>Option B Grand Total</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</si>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</sst>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quot;$&quot;#,##0.00"/>
    <numFmt numFmtId="170" formatCode="0.000000"/>
  </numFmts>
  <fonts count="28" x14ac:knownFonts="1">
    <font>
      <sz val="11"/>
      <color theme="1"/>
      <name val="Calibri"/>
      <family val="2"/>
      <scheme val="minor"/>
    </font>
    <font>
      <sz val="11"/>
      <color rgb="FFFF0000"/>
      <name val="Arial"/>
      <family val="2"/>
    </font>
    <font>
      <b/>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i/>
      <sz val="11"/>
      <color theme="0"/>
      <name val="Arial"/>
      <family val="2"/>
    </font>
    <font>
      <b/>
      <i/>
      <sz val="9"/>
      <color theme="1"/>
      <name val="Arial"/>
      <family val="2"/>
    </font>
    <font>
      <sz val="14"/>
      <color theme="0"/>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9"/>
      <color theme="1"/>
      <name val="Arial"/>
      <family val="2"/>
    </font>
    <font>
      <sz val="9"/>
      <color theme="1"/>
      <name val="Calibri"/>
      <family val="2"/>
      <scheme val="minor"/>
    </font>
    <font>
      <sz val="12"/>
      <color rgb="FFFF0000"/>
      <name val="Arial"/>
      <family val="2"/>
    </font>
    <font>
      <sz val="12"/>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cellStyleXfs>
  <cellXfs count="245">
    <xf numFmtId="0" fontId="0" fillId="0" borderId="0" xfId="0"/>
    <xf numFmtId="0" fontId="1" fillId="0" borderId="0" xfId="0" applyFont="1"/>
    <xf numFmtId="0" fontId="3" fillId="0" borderId="0" xfId="0" applyFont="1"/>
    <xf numFmtId="164" fontId="6" fillId="0" borderId="1" xfId="0" applyNumberFormat="1" applyFont="1" applyBorder="1"/>
    <xf numFmtId="164" fontId="6" fillId="0" borderId="11" xfId="0" applyNumberFormat="1" applyFont="1" applyBorder="1"/>
    <xf numFmtId="164" fontId="6" fillId="0" borderId="3" xfId="0" applyNumberFormat="1" applyFont="1" applyBorder="1"/>
    <xf numFmtId="164" fontId="6" fillId="0" borderId="7" xfId="0" applyNumberFormat="1" applyFont="1" applyBorder="1"/>
    <xf numFmtId="0" fontId="6" fillId="0" borderId="2" xfId="0" applyFont="1" applyBorder="1"/>
    <xf numFmtId="164" fontId="6" fillId="0" borderId="10" xfId="0" applyNumberFormat="1" applyFont="1" applyBorder="1"/>
    <xf numFmtId="0" fontId="6" fillId="0" borderId="5" xfId="0" applyFont="1" applyBorder="1"/>
    <xf numFmtId="164" fontId="6" fillId="0" borderId="6" xfId="0" applyNumberFormat="1" applyFont="1" applyBorder="1"/>
    <xf numFmtId="0" fontId="6" fillId="0" borderId="22" xfId="0" applyFont="1" applyBorder="1"/>
    <xf numFmtId="164" fontId="6" fillId="0" borderId="23" xfId="0" applyNumberFormat="1" applyFont="1" applyBorder="1"/>
    <xf numFmtId="164" fontId="6" fillId="0" borderId="24" xfId="0" applyNumberFormat="1" applyFont="1" applyBorder="1"/>
    <xf numFmtId="0" fontId="9" fillId="4" borderId="6" xfId="0" applyFont="1" applyFill="1" applyBorder="1" applyAlignment="1">
      <alignment horizontal="center"/>
    </xf>
    <xf numFmtId="0" fontId="9" fillId="4" borderId="7" xfId="0" applyFont="1" applyFill="1" applyBorder="1" applyAlignment="1">
      <alignment horizontal="center"/>
    </xf>
    <xf numFmtId="0" fontId="3" fillId="0" borderId="0" xfId="0" applyFont="1" applyAlignment="1">
      <alignment wrapText="1"/>
    </xf>
    <xf numFmtId="0" fontId="3" fillId="0" borderId="30" xfId="0" applyFont="1" applyBorder="1"/>
    <xf numFmtId="0" fontId="3" fillId="0" borderId="33" xfId="0" applyFont="1" applyBorder="1"/>
    <xf numFmtId="0" fontId="8" fillId="0" borderId="31" xfId="0" applyFont="1" applyBorder="1" applyAlignment="1">
      <alignment horizontal="right"/>
    </xf>
    <xf numFmtId="0" fontId="3" fillId="0" borderId="31" xfId="0" applyFont="1" applyBorder="1"/>
    <xf numFmtId="0" fontId="3" fillId="0" borderId="32" xfId="0" applyFont="1" applyBorder="1"/>
    <xf numFmtId="165" fontId="3" fillId="0" borderId="30" xfId="1" applyNumberFormat="1" applyFont="1" applyBorder="1" applyProtection="1"/>
    <xf numFmtId="0" fontId="13" fillId="0" borderId="31" xfId="0" applyFont="1" applyBorder="1" applyAlignment="1">
      <alignment horizontal="right"/>
    </xf>
    <xf numFmtId="3" fontId="13" fillId="0" borderId="32" xfId="0" applyNumberFormat="1" applyFont="1" applyBorder="1" applyAlignment="1">
      <alignment horizontal="right"/>
    </xf>
    <xf numFmtId="165" fontId="13" fillId="0" borderId="31" xfId="1" applyNumberFormat="1" applyFont="1" applyBorder="1" applyProtection="1"/>
    <xf numFmtId="165" fontId="13" fillId="0" borderId="0" xfId="1" applyNumberFormat="1" applyFont="1" applyBorder="1" applyProtection="1"/>
    <xf numFmtId="165" fontId="13" fillId="0" borderId="32" xfId="1" applyNumberFormat="1" applyFont="1" applyBorder="1" applyProtection="1"/>
    <xf numFmtId="165" fontId="14" fillId="0" borderId="33" xfId="1" applyNumberFormat="1" applyFont="1" applyBorder="1" applyProtection="1"/>
    <xf numFmtId="165" fontId="3" fillId="0" borderId="0" xfId="1" applyNumberFormat="1" applyFont="1" applyProtection="1"/>
    <xf numFmtId="165" fontId="3" fillId="0" borderId="30" xfId="0" applyNumberFormat="1" applyFont="1" applyBorder="1"/>
    <xf numFmtId="165" fontId="8" fillId="0" borderId="0" xfId="0" applyNumberFormat="1" applyFont="1" applyAlignment="1">
      <alignment horizontal="right"/>
    </xf>
    <xf numFmtId="165" fontId="8" fillId="0" borderId="31" xfId="0" applyNumberFormat="1" applyFont="1" applyBorder="1" applyAlignment="1">
      <alignment horizontal="right"/>
    </xf>
    <xf numFmtId="165" fontId="3" fillId="0" borderId="0" xfId="0" applyNumberFormat="1" applyFont="1"/>
    <xf numFmtId="0" fontId="8" fillId="0" borderId="30" xfId="0" applyFont="1" applyBorder="1" applyAlignment="1">
      <alignment wrapText="1"/>
    </xf>
    <xf numFmtId="0" fontId="15" fillId="0" borderId="0" xfId="0" applyFont="1" applyAlignment="1">
      <alignment horizontal="center" wrapText="1"/>
    </xf>
    <xf numFmtId="0" fontId="15" fillId="0" borderId="31" xfId="0" applyFont="1" applyBorder="1" applyAlignment="1" applyProtection="1">
      <alignment horizontal="center" wrapText="1"/>
      <protection locked="0"/>
    </xf>
    <xf numFmtId="0" fontId="15" fillId="0" borderId="33" xfId="0" applyFont="1" applyBorder="1" applyAlignment="1">
      <alignment horizontal="center" wrapText="1"/>
    </xf>
    <xf numFmtId="166" fontId="3" fillId="0" borderId="31" xfId="2" applyNumberFormat="1" applyFont="1" applyBorder="1" applyProtection="1"/>
    <xf numFmtId="166" fontId="3" fillId="0" borderId="0" xfId="2" applyNumberFormat="1" applyFont="1" applyBorder="1" applyProtection="1"/>
    <xf numFmtId="166" fontId="3" fillId="0" borderId="32" xfId="2" applyNumberFormat="1" applyFont="1" applyBorder="1" applyProtection="1"/>
    <xf numFmtId="167" fontId="3" fillId="8" borderId="31" xfId="2" applyNumberFormat="1" applyFont="1" applyFill="1" applyBorder="1" applyProtection="1">
      <protection locked="0"/>
    </xf>
    <xf numFmtId="44" fontId="3" fillId="0" borderId="32" xfId="2" applyFont="1" applyBorder="1" applyProtection="1"/>
    <xf numFmtId="44" fontId="3" fillId="0" borderId="33" xfId="2" applyFont="1" applyBorder="1" applyProtection="1"/>
    <xf numFmtId="0" fontId="8" fillId="0" borderId="39" xfId="0" applyFont="1" applyBorder="1"/>
    <xf numFmtId="0" fontId="8" fillId="0" borderId="27" xfId="0" applyFont="1" applyBorder="1"/>
    <xf numFmtId="44" fontId="8" fillId="0" borderId="14" xfId="0" applyNumberFormat="1" applyFont="1" applyBorder="1"/>
    <xf numFmtId="44" fontId="8" fillId="0" borderId="40" xfId="0" applyNumberFormat="1" applyFont="1" applyBorder="1"/>
    <xf numFmtId="0" fontId="8" fillId="0" borderId="0" xfId="0" applyFont="1"/>
    <xf numFmtId="44" fontId="3" fillId="0" borderId="0" xfId="2" applyFont="1" applyBorder="1" applyProtection="1"/>
    <xf numFmtId="10" fontId="3" fillId="6" borderId="0" xfId="3" applyNumberFormat="1" applyFont="1" applyFill="1" applyBorder="1" applyProtection="1">
      <protection locked="0"/>
    </xf>
    <xf numFmtId="166" fontId="3" fillId="6" borderId="0" xfId="0" applyNumberFormat="1" applyFont="1" applyFill="1" applyProtection="1">
      <protection locked="0"/>
    </xf>
    <xf numFmtId="0" fontId="3" fillId="0" borderId="0" xfId="0" applyFont="1" applyProtection="1">
      <protection locked="0"/>
    </xf>
    <xf numFmtId="0" fontId="3" fillId="0" borderId="28" xfId="0" applyFont="1" applyBorder="1"/>
    <xf numFmtId="0" fontId="3" fillId="0" borderId="29" xfId="0" applyFont="1" applyBorder="1"/>
    <xf numFmtId="0" fontId="3" fillId="6" borderId="29" xfId="0" applyFont="1" applyFill="1" applyBorder="1" applyProtection="1">
      <protection locked="0"/>
    </xf>
    <xf numFmtId="0" fontId="3" fillId="0" borderId="34" xfId="0" applyFont="1" applyBorder="1"/>
    <xf numFmtId="0" fontId="3" fillId="0" borderId="0" xfId="0" applyFont="1" applyAlignment="1">
      <alignment horizontal="center"/>
    </xf>
    <xf numFmtId="0" fontId="3" fillId="0" borderId="31" xfId="0" applyFont="1" applyBorder="1" applyAlignment="1">
      <alignment wrapText="1"/>
    </xf>
    <xf numFmtId="44" fontId="3" fillId="7" borderId="31" xfId="2" applyFont="1" applyFill="1" applyBorder="1" applyProtection="1"/>
    <xf numFmtId="167" fontId="3" fillId="8" borderId="31" xfId="2" applyNumberFormat="1" applyFont="1" applyFill="1" applyBorder="1" applyProtection="1"/>
    <xf numFmtId="167" fontId="3" fillId="8" borderId="31" xfId="0" applyNumberFormat="1" applyFont="1" applyFill="1" applyBorder="1"/>
    <xf numFmtId="0" fontId="8" fillId="0" borderId="39" xfId="0" applyFont="1" applyBorder="1" applyAlignment="1">
      <alignment horizontal="right"/>
    </xf>
    <xf numFmtId="44" fontId="8" fillId="0" borderId="14" xfId="0" applyNumberFormat="1" applyFont="1" applyBorder="1" applyAlignment="1">
      <alignment horizontal="right"/>
    </xf>
    <xf numFmtId="168" fontId="3" fillId="0" borderId="0" xfId="0" applyNumberFormat="1" applyFont="1"/>
    <xf numFmtId="10" fontId="3" fillId="6" borderId="0" xfId="3" applyNumberFormat="1" applyFont="1" applyFill="1" applyBorder="1" applyProtection="1"/>
    <xf numFmtId="166" fontId="3" fillId="6" borderId="0" xfId="0" applyNumberFormat="1" applyFont="1" applyFill="1"/>
    <xf numFmtId="0" fontId="3" fillId="6" borderId="29" xfId="0" applyFont="1" applyFill="1" applyBorder="1"/>
    <xf numFmtId="0" fontId="8" fillId="0" borderId="0" xfId="0" applyFont="1" applyAlignment="1">
      <alignment horizontal="right"/>
    </xf>
    <xf numFmtId="165" fontId="14" fillId="0" borderId="32" xfId="1" applyNumberFormat="1" applyFont="1" applyBorder="1" applyProtection="1"/>
    <xf numFmtId="165" fontId="3" fillId="0" borderId="33" xfId="1" applyNumberFormat="1" applyFont="1" applyBorder="1" applyProtection="1"/>
    <xf numFmtId="0" fontId="15" fillId="0" borderId="31" xfId="0" applyFont="1" applyBorder="1" applyAlignment="1">
      <alignment horizontal="center" wrapText="1"/>
    </xf>
    <xf numFmtId="0" fontId="15" fillId="0" borderId="32" xfId="0" applyFont="1" applyBorder="1" applyAlignment="1">
      <alignment horizontal="center" wrapText="1"/>
    </xf>
    <xf numFmtId="0" fontId="3" fillId="0" borderId="33" xfId="0" applyFont="1" applyBorder="1" applyAlignment="1">
      <alignment wrapText="1"/>
    </xf>
    <xf numFmtId="44" fontId="3" fillId="0" borderId="32" xfId="2" applyFont="1" applyBorder="1"/>
    <xf numFmtId="0" fontId="8" fillId="0" borderId="33" xfId="0" applyFont="1" applyBorder="1"/>
    <xf numFmtId="44" fontId="3" fillId="6" borderId="0" xfId="0" applyNumberFormat="1" applyFont="1" applyFill="1" applyProtection="1">
      <protection locked="0"/>
    </xf>
    <xf numFmtId="165" fontId="3" fillId="0" borderId="33" xfId="0" applyNumberFormat="1" applyFont="1" applyBorder="1"/>
    <xf numFmtId="0" fontId="4" fillId="0" borderId="0" xfId="0" applyFont="1"/>
    <xf numFmtId="0" fontId="8" fillId="0" borderId="32" xfId="0" applyFont="1" applyBorder="1" applyAlignment="1">
      <alignment horizontal="right"/>
    </xf>
    <xf numFmtId="165" fontId="8" fillId="0" borderId="32" xfId="0" applyNumberFormat="1" applyFont="1" applyBorder="1" applyAlignment="1">
      <alignment horizontal="right"/>
    </xf>
    <xf numFmtId="0" fontId="3" fillId="0" borderId="30" xfId="0" applyFont="1" applyBorder="1" applyAlignment="1">
      <alignment horizontal="right"/>
    </xf>
    <xf numFmtId="165" fontId="3" fillId="5" borderId="33" xfId="0" applyNumberFormat="1" applyFont="1" applyFill="1" applyBorder="1"/>
    <xf numFmtId="165" fontId="3" fillId="5" borderId="0" xfId="0" applyNumberFormat="1" applyFont="1" applyFill="1"/>
    <xf numFmtId="0" fontId="3" fillId="0" borderId="28" xfId="0" applyFont="1" applyBorder="1" applyAlignment="1">
      <alignment horizontal="right"/>
    </xf>
    <xf numFmtId="0" fontId="4" fillId="0" borderId="0" xfId="0" applyFont="1" applyAlignment="1">
      <alignment horizontal="center"/>
    </xf>
    <xf numFmtId="44" fontId="8" fillId="0" borderId="9" xfId="0" applyNumberFormat="1" applyFont="1" applyBorder="1" applyAlignment="1">
      <alignment horizontal="right"/>
    </xf>
    <xf numFmtId="0" fontId="8" fillId="0" borderId="30" xfId="0" applyFont="1" applyBorder="1" applyAlignment="1">
      <alignment horizontal="left" vertical="top"/>
    </xf>
    <xf numFmtId="0" fontId="3" fillId="0" borderId="30" xfId="0" applyFont="1" applyBorder="1" applyAlignment="1">
      <alignment horizontal="left" indent="1"/>
    </xf>
    <xf numFmtId="0" fontId="6" fillId="0" borderId="0" xfId="4" applyFont="1"/>
    <xf numFmtId="0" fontId="9" fillId="4" borderId="13" xfId="4" applyFont="1" applyFill="1" applyBorder="1" applyAlignment="1">
      <alignment horizontal="center" wrapText="1"/>
    </xf>
    <xf numFmtId="164" fontId="6" fillId="0" borderId="11" xfId="4" applyNumberFormat="1" applyFont="1" applyBorder="1"/>
    <xf numFmtId="0" fontId="5" fillId="3" borderId="41" xfId="4" applyFont="1" applyFill="1" applyBorder="1" applyAlignment="1">
      <alignment wrapText="1"/>
    </xf>
    <xf numFmtId="164" fontId="6" fillId="3" borderId="3" xfId="4" applyNumberFormat="1" applyFont="1" applyFill="1" applyBorder="1"/>
    <xf numFmtId="0" fontId="5" fillId="0" borderId="5" xfId="4" applyFont="1" applyBorder="1" applyAlignment="1">
      <alignment horizontal="right"/>
    </xf>
    <xf numFmtId="0" fontId="6" fillId="0" borderId="7" xfId="4" applyFont="1" applyBorder="1"/>
    <xf numFmtId="0" fontId="5" fillId="0" borderId="0" xfId="4" applyFont="1" applyAlignment="1">
      <alignment horizontal="right"/>
    </xf>
    <xf numFmtId="0" fontId="3" fillId="0" borderId="0" xfId="4" applyFont="1"/>
    <xf numFmtId="0" fontId="3" fillId="0" borderId="0" xfId="4" applyFont="1" applyAlignment="1">
      <alignment wrapText="1"/>
    </xf>
    <xf numFmtId="0" fontId="19" fillId="4" borderId="49" xfId="4" applyFont="1" applyFill="1" applyBorder="1" applyAlignment="1">
      <alignment horizontal="center" wrapText="1"/>
    </xf>
    <xf numFmtId="0" fontId="19" fillId="4" borderId="6" xfId="4" applyFont="1" applyFill="1" applyBorder="1" applyAlignment="1">
      <alignment horizontal="center" wrapText="1"/>
    </xf>
    <xf numFmtId="0" fontId="19" fillId="4" borderId="7" xfId="4" applyFont="1" applyFill="1" applyBorder="1" applyAlignment="1">
      <alignment horizontal="center" wrapText="1"/>
    </xf>
    <xf numFmtId="0" fontId="5" fillId="0" borderId="50" xfId="4" applyFont="1" applyBorder="1" applyAlignment="1">
      <alignment horizontal="left" wrapText="1"/>
    </xf>
    <xf numFmtId="169" fontId="6" fillId="0" borderId="14" xfId="4" applyNumberFormat="1" applyFont="1" applyBorder="1"/>
    <xf numFmtId="169" fontId="6" fillId="5" borderId="10" xfId="4" applyNumberFormat="1" applyFont="1" applyFill="1" applyBorder="1"/>
    <xf numFmtId="169" fontId="6" fillId="5" borderId="11" xfId="4" applyNumberFormat="1" applyFont="1" applyFill="1" applyBorder="1"/>
    <xf numFmtId="164" fontId="5" fillId="3" borderId="51" xfId="4" applyNumberFormat="1" applyFont="1" applyFill="1" applyBorder="1"/>
    <xf numFmtId="10" fontId="6" fillId="3" borderId="52" xfId="4" applyNumberFormat="1" applyFont="1" applyFill="1" applyBorder="1"/>
    <xf numFmtId="10" fontId="6" fillId="3" borderId="1" xfId="4" applyNumberFormat="1" applyFont="1" applyFill="1" applyBorder="1"/>
    <xf numFmtId="10" fontId="6" fillId="3" borderId="3" xfId="4" applyNumberFormat="1" applyFont="1" applyFill="1" applyBorder="1"/>
    <xf numFmtId="0" fontId="20" fillId="0" borderId="48" xfId="4" applyFont="1" applyBorder="1" applyAlignment="1">
      <alignment horizontal="right" wrapText="1"/>
    </xf>
    <xf numFmtId="169" fontId="6" fillId="0" borderId="49" xfId="4" applyNumberFormat="1" applyFont="1" applyBorder="1"/>
    <xf numFmtId="10" fontId="6" fillId="9" borderId="6" xfId="5" applyNumberFormat="1" applyFont="1" applyFill="1" applyBorder="1"/>
    <xf numFmtId="10" fontId="6" fillId="9" borderId="49" xfId="4" applyNumberFormat="1" applyFont="1" applyFill="1" applyBorder="1"/>
    <xf numFmtId="0" fontId="21" fillId="0" borderId="0" xfId="4" applyFont="1" applyAlignment="1">
      <alignment horizontal="left" wrapText="1"/>
    </xf>
    <xf numFmtId="9" fontId="22" fillId="0" borderId="0" xfId="4" applyNumberFormat="1" applyFont="1" applyAlignment="1">
      <alignment horizontal="center"/>
    </xf>
    <xf numFmtId="9" fontId="7" fillId="0" borderId="0" xfId="4" applyNumberFormat="1" applyFont="1"/>
    <xf numFmtId="0" fontId="7" fillId="0" borderId="0" xfId="4" applyFont="1"/>
    <xf numFmtId="169" fontId="5" fillId="0" borderId="17" xfId="4" applyNumberFormat="1" applyFont="1" applyBorder="1" applyAlignment="1">
      <alignment horizontal="right"/>
    </xf>
    <xf numFmtId="169" fontId="3" fillId="0" borderId="9" xfId="4" applyNumberFormat="1" applyFont="1" applyBorder="1"/>
    <xf numFmtId="169" fontId="6" fillId="0" borderId="0" xfId="4" applyNumberFormat="1" applyFont="1"/>
    <xf numFmtId="4" fontId="7" fillId="0" borderId="0" xfId="6" applyNumberFormat="1" applyFont="1"/>
    <xf numFmtId="4" fontId="3" fillId="0" borderId="0" xfId="4" applyNumberFormat="1" applyFont="1"/>
    <xf numFmtId="0" fontId="20" fillId="0" borderId="0" xfId="4" applyFont="1" applyAlignment="1">
      <alignment horizontal="center" wrapText="1"/>
    </xf>
    <xf numFmtId="0" fontId="3" fillId="0" borderId="0" xfId="4" applyFont="1" applyAlignment="1">
      <alignment vertical="top" wrapText="1"/>
    </xf>
    <xf numFmtId="0" fontId="20" fillId="0" borderId="51" xfId="4" applyFont="1" applyBorder="1" applyAlignment="1">
      <alignment horizontal="left" wrapText="1"/>
    </xf>
    <xf numFmtId="169" fontId="6" fillId="5" borderId="52" xfId="4" applyNumberFormat="1" applyFont="1" applyFill="1" applyBorder="1"/>
    <xf numFmtId="4" fontId="6" fillId="3" borderId="52" xfId="4" applyNumberFormat="1" applyFont="1" applyFill="1" applyBorder="1"/>
    <xf numFmtId="4" fontId="6" fillId="3" borderId="1" xfId="4" applyNumberFormat="1" applyFont="1" applyFill="1" applyBorder="1"/>
    <xf numFmtId="4" fontId="6" fillId="3" borderId="3" xfId="4" applyNumberFormat="1" applyFont="1" applyFill="1" applyBorder="1"/>
    <xf numFmtId="0" fontId="5" fillId="0" borderId="17" xfId="4" applyFont="1" applyBorder="1" applyAlignment="1">
      <alignment horizontal="right"/>
    </xf>
    <xf numFmtId="169" fontId="3" fillId="0" borderId="9" xfId="7" applyNumberFormat="1" applyFont="1" applyBorder="1"/>
    <xf numFmtId="0" fontId="5" fillId="0" borderId="51" xfId="4" applyFont="1" applyBorder="1" applyAlignment="1">
      <alignment horizontal="left" wrapText="1"/>
    </xf>
    <xf numFmtId="169" fontId="6" fillId="5" borderId="1" xfId="4" applyNumberFormat="1" applyFont="1" applyFill="1" applyBorder="1"/>
    <xf numFmtId="9" fontId="6" fillId="3" borderId="52" xfId="4" applyNumberFormat="1" applyFont="1" applyFill="1" applyBorder="1"/>
    <xf numFmtId="9" fontId="6" fillId="3" borderId="1" xfId="4" applyNumberFormat="1" applyFont="1" applyFill="1" applyBorder="1"/>
    <xf numFmtId="9" fontId="6" fillId="3" borderId="3" xfId="4" applyNumberFormat="1" applyFont="1" applyFill="1" applyBorder="1"/>
    <xf numFmtId="9" fontId="6" fillId="0" borderId="49" xfId="4" applyNumberFormat="1" applyFont="1" applyBorder="1"/>
    <xf numFmtId="0" fontId="9" fillId="4" borderId="12" xfId="4" applyFont="1" applyFill="1" applyBorder="1" applyAlignment="1">
      <alignment horizontal="center"/>
    </xf>
    <xf numFmtId="0" fontId="6" fillId="0" borderId="2" xfId="4" applyFont="1" applyBorder="1"/>
    <xf numFmtId="0" fontId="6" fillId="0" borderId="4" xfId="4" applyFont="1" applyBorder="1"/>
    <xf numFmtId="164" fontId="6" fillId="0" borderId="3" xfId="4" applyNumberFormat="1" applyFont="1" applyBorder="1"/>
    <xf numFmtId="0" fontId="5" fillId="3" borderId="4" xfId="4" applyFont="1" applyFill="1" applyBorder="1" applyAlignment="1">
      <alignment wrapText="1"/>
    </xf>
    <xf numFmtId="0" fontId="5" fillId="0" borderId="4" xfId="4" applyFont="1" applyBorder="1" applyAlignment="1">
      <alignment horizontal="right"/>
    </xf>
    <xf numFmtId="0" fontId="11" fillId="0" borderId="0" xfId="4"/>
    <xf numFmtId="0" fontId="5" fillId="0" borderId="4" xfId="4" applyFont="1" applyBorder="1" applyAlignment="1">
      <alignment horizontal="right" wrapText="1"/>
    </xf>
    <xf numFmtId="0" fontId="6" fillId="0" borderId="4" xfId="4" applyFont="1" applyBorder="1" applyAlignment="1">
      <alignment wrapText="1"/>
    </xf>
    <xf numFmtId="0" fontId="6" fillId="0" borderId="4" xfId="4" applyFont="1" applyBorder="1" applyAlignment="1">
      <alignment vertical="top" wrapText="1"/>
    </xf>
    <xf numFmtId="0" fontId="5" fillId="0" borderId="4" xfId="4" applyFont="1" applyBorder="1" applyAlignment="1">
      <alignment horizontal="right" vertical="top" wrapText="1"/>
    </xf>
    <xf numFmtId="0" fontId="5" fillId="0" borderId="5" xfId="4" applyFont="1" applyBorder="1" applyAlignment="1">
      <alignment horizontal="right" wrapText="1"/>
    </xf>
    <xf numFmtId="0" fontId="5" fillId="0" borderId="0" xfId="4" applyFont="1" applyAlignment="1">
      <alignment horizontal="right" wrapText="1"/>
    </xf>
    <xf numFmtId="170" fontId="8" fillId="0" borderId="0" xfId="0" applyNumberFormat="1" applyFont="1" applyAlignment="1">
      <alignment horizontal="right"/>
    </xf>
    <xf numFmtId="167" fontId="3" fillId="8" borderId="31" xfId="2" applyNumberFormat="1" applyFont="1" applyFill="1" applyBorder="1"/>
    <xf numFmtId="44" fontId="6" fillId="0" borderId="27" xfId="4" applyNumberFormat="1" applyFont="1" applyBorder="1"/>
    <xf numFmtId="44" fontId="6" fillId="0" borderId="27" xfId="4" applyNumberFormat="1" applyFont="1" applyBorder="1" applyAlignment="1">
      <alignment wrapText="1"/>
    </xf>
    <xf numFmtId="44" fontId="5" fillId="0" borderId="42" xfId="4" applyNumberFormat="1" applyFont="1" applyBorder="1" applyAlignment="1">
      <alignment horizontal="right"/>
    </xf>
    <xf numFmtId="44" fontId="6" fillId="0" borderId="41" xfId="4" applyNumberFormat="1" applyFont="1" applyBorder="1" applyAlignment="1">
      <alignment wrapText="1"/>
    </xf>
    <xf numFmtId="44" fontId="5" fillId="0" borderId="3" xfId="2" applyFont="1" applyBorder="1"/>
    <xf numFmtId="44" fontId="8" fillId="0" borderId="3" xfId="2" applyFont="1" applyBorder="1"/>
    <xf numFmtId="44" fontId="8" fillId="0" borderId="7" xfId="2" applyFont="1" applyBorder="1"/>
    <xf numFmtId="164" fontId="6" fillId="0" borderId="3" xfId="8" applyNumberFormat="1" applyFont="1" applyBorder="1"/>
    <xf numFmtId="164" fontId="5" fillId="0" borderId="7" xfId="4" applyNumberFormat="1" applyFont="1" applyBorder="1"/>
    <xf numFmtId="167" fontId="3" fillId="6" borderId="0" xfId="0" applyNumberFormat="1" applyFont="1" applyFill="1" applyProtection="1">
      <protection locked="0"/>
    </xf>
    <xf numFmtId="44" fontId="3" fillId="0" borderId="0" xfId="0" applyNumberFormat="1" applyFont="1"/>
    <xf numFmtId="43" fontId="3" fillId="6" borderId="29" xfId="1" applyFont="1" applyFill="1" applyBorder="1" applyProtection="1">
      <protection locked="0"/>
    </xf>
    <xf numFmtId="44" fontId="26" fillId="0" borderId="0" xfId="4" applyNumberFormat="1" applyFont="1"/>
    <xf numFmtId="44" fontId="27" fillId="0" borderId="27" xfId="4" applyNumberFormat="1" applyFont="1" applyBorder="1" applyAlignment="1">
      <alignment wrapText="1"/>
    </xf>
    <xf numFmtId="0" fontId="12" fillId="4" borderId="30" xfId="4" applyFont="1" applyFill="1" applyBorder="1" applyAlignment="1">
      <alignment horizontal="center"/>
    </xf>
    <xf numFmtId="0" fontId="12" fillId="4" borderId="0" xfId="4" applyFont="1" applyFill="1" applyAlignment="1">
      <alignment horizontal="center"/>
    </xf>
    <xf numFmtId="0" fontId="4" fillId="2" borderId="53" xfId="4" applyFont="1" applyFill="1" applyBorder="1" applyAlignment="1">
      <alignment horizontal="center"/>
    </xf>
    <xf numFmtId="0" fontId="4" fillId="2" borderId="54" xfId="4" applyFont="1" applyFill="1" applyBorder="1" applyAlignment="1">
      <alignment horizontal="center"/>
    </xf>
    <xf numFmtId="0" fontId="4" fillId="2" borderId="55" xfId="4" applyFont="1" applyFill="1" applyBorder="1" applyAlignment="1">
      <alignment horizontal="center"/>
    </xf>
    <xf numFmtId="0" fontId="4" fillId="2" borderId="15" xfId="4" applyFont="1" applyFill="1" applyBorder="1" applyAlignment="1">
      <alignment horizontal="center" vertical="top" wrapText="1"/>
    </xf>
    <xf numFmtId="0" fontId="17" fillId="2" borderId="21" xfId="4" applyFont="1" applyFill="1" applyBorder="1" applyAlignment="1">
      <alignment horizontal="center" vertical="top"/>
    </xf>
    <xf numFmtId="0" fontId="17" fillId="2" borderId="43" xfId="4" applyFont="1" applyFill="1" applyBorder="1" applyAlignment="1">
      <alignment horizontal="center" vertical="top"/>
    </xf>
    <xf numFmtId="0" fontId="17" fillId="2" borderId="16" xfId="4" applyFont="1" applyFill="1" applyBorder="1" applyAlignment="1">
      <alignment horizontal="center" vertical="top"/>
    </xf>
    <xf numFmtId="0" fontId="12" fillId="4" borderId="15" xfId="4" applyFont="1" applyFill="1" applyBorder="1" applyAlignment="1">
      <alignment horizontal="center"/>
    </xf>
    <xf numFmtId="0" fontId="16" fillId="4" borderId="21" xfId="4" applyFont="1" applyFill="1" applyBorder="1" applyAlignment="1">
      <alignment horizontal="center"/>
    </xf>
    <xf numFmtId="0" fontId="16" fillId="4" borderId="43" xfId="4" applyFont="1" applyFill="1" applyBorder="1" applyAlignment="1">
      <alignment horizontal="center"/>
    </xf>
    <xf numFmtId="0" fontId="16" fillId="4" borderId="16" xfId="4" applyFont="1" applyFill="1" applyBorder="1" applyAlignment="1">
      <alignment horizontal="center"/>
    </xf>
    <xf numFmtId="0" fontId="9" fillId="4" borderId="44" xfId="4" applyFont="1" applyFill="1" applyBorder="1" applyAlignment="1">
      <alignment horizontal="center" vertical="center" wrapText="1"/>
    </xf>
    <xf numFmtId="0" fontId="18" fillId="4" borderId="48" xfId="4" applyFont="1" applyFill="1" applyBorder="1" applyAlignment="1">
      <alignment vertical="center" wrapText="1"/>
    </xf>
    <xf numFmtId="0" fontId="9" fillId="4" borderId="45" xfId="4" applyFont="1" applyFill="1" applyBorder="1" applyAlignment="1">
      <alignment horizontal="center" wrapText="1"/>
    </xf>
    <xf numFmtId="0" fontId="9" fillId="4" borderId="46" xfId="4" applyFont="1" applyFill="1" applyBorder="1" applyAlignment="1">
      <alignment horizontal="center" wrapText="1"/>
    </xf>
    <xf numFmtId="0" fontId="9" fillId="4" borderId="47" xfId="4" applyFont="1" applyFill="1" applyBorder="1" applyAlignment="1">
      <alignment horizontal="center" wrapText="1"/>
    </xf>
    <xf numFmtId="0" fontId="9" fillId="4" borderId="20" xfId="4" applyFont="1" applyFill="1" applyBorder="1" applyAlignment="1">
      <alignment horizontal="center" wrapText="1"/>
    </xf>
    <xf numFmtId="0" fontId="23" fillId="0" borderId="0" xfId="4" applyFont="1" applyAlignment="1">
      <alignment horizontal="left" vertical="top" wrapText="1"/>
    </xf>
    <xf numFmtId="0" fontId="4" fillId="2" borderId="15" xfId="4" applyFont="1" applyFill="1" applyBorder="1" applyAlignment="1">
      <alignment horizontal="center"/>
    </xf>
    <xf numFmtId="0" fontId="4" fillId="2" borderId="16" xfId="4" applyFont="1" applyFill="1" applyBorder="1" applyAlignment="1">
      <alignment horizontal="center"/>
    </xf>
    <xf numFmtId="0" fontId="12" fillId="4" borderId="16" xfId="4" applyFont="1" applyFill="1" applyBorder="1" applyAlignment="1">
      <alignment horizontal="center"/>
    </xf>
    <xf numFmtId="0" fontId="24" fillId="0" borderId="0" xfId="4" applyFont="1" applyAlignment="1">
      <alignment wrapText="1"/>
    </xf>
    <xf numFmtId="0" fontId="25" fillId="0" borderId="0" xfId="4" applyFont="1" applyAlignment="1">
      <alignment wrapText="1"/>
    </xf>
    <xf numFmtId="0" fontId="8" fillId="0" borderId="0" xfId="4" applyFont="1" applyAlignment="1">
      <alignment wrapText="1"/>
    </xf>
    <xf numFmtId="0" fontId="2" fillId="0" borderId="0" xfId="4" applyFont="1" applyAlignment="1">
      <alignment wrapText="1"/>
    </xf>
    <xf numFmtId="0" fontId="5" fillId="0" borderId="0" xfId="4" applyFont="1" applyAlignment="1">
      <alignment horizontal="left" vertical="center" wrapText="1"/>
    </xf>
    <xf numFmtId="0" fontId="9" fillId="4" borderId="10" xfId="0" applyFont="1" applyFill="1" applyBorder="1" applyAlignment="1">
      <alignment horizontal="center"/>
    </xf>
    <xf numFmtId="0" fontId="9" fillId="4" borderId="11" xfId="0" applyFont="1" applyFill="1" applyBorder="1" applyAlignment="1">
      <alignment horizontal="center"/>
    </xf>
    <xf numFmtId="0" fontId="4" fillId="2" borderId="15" xfId="0" applyFont="1" applyFill="1" applyBorder="1" applyAlignment="1">
      <alignment horizontal="center"/>
    </xf>
    <xf numFmtId="0" fontId="4" fillId="2" borderId="21" xfId="0" applyFont="1" applyFill="1" applyBorder="1" applyAlignment="1">
      <alignment horizontal="center"/>
    </xf>
    <xf numFmtId="0" fontId="4" fillId="2" borderId="16" xfId="0" applyFont="1" applyFill="1" applyBorder="1" applyAlignment="1">
      <alignment horizontal="center"/>
    </xf>
    <xf numFmtId="0" fontId="9" fillId="4" borderId="2"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2" fillId="4" borderId="15" xfId="0" applyFont="1" applyFill="1" applyBorder="1" applyAlignment="1">
      <alignment horizontal="center"/>
    </xf>
    <xf numFmtId="0" fontId="12" fillId="4" borderId="21" xfId="0" applyFont="1" applyFill="1" applyBorder="1" applyAlignment="1">
      <alignment horizontal="center"/>
    </xf>
    <xf numFmtId="0" fontId="12" fillId="4" borderId="16" xfId="0" applyFont="1" applyFill="1" applyBorder="1" applyAlignment="1">
      <alignment horizontal="center"/>
    </xf>
    <xf numFmtId="0" fontId="5" fillId="0" borderId="0" xfId="0" applyFont="1" applyAlignment="1">
      <alignment horizontal="left" vertical="center" wrapText="1"/>
    </xf>
    <xf numFmtId="165" fontId="8" fillId="0" borderId="31" xfId="0" applyNumberFormat="1" applyFont="1" applyBorder="1"/>
    <xf numFmtId="165" fontId="8" fillId="0" borderId="33" xfId="0" applyNumberFormat="1" applyFont="1" applyBorder="1"/>
    <xf numFmtId="0" fontId="15" fillId="0" borderId="31" xfId="0" applyFont="1" applyBorder="1" applyAlignment="1">
      <alignment horizontal="center" wrapText="1"/>
    </xf>
    <xf numFmtId="0" fontId="15" fillId="0" borderId="32" xfId="0" applyFont="1" applyBorder="1" applyAlignment="1">
      <alignment horizontal="center" wrapText="1"/>
    </xf>
    <xf numFmtId="44" fontId="3" fillId="7" borderId="31" xfId="2" applyFont="1" applyFill="1" applyBorder="1" applyAlignment="1" applyProtection="1">
      <alignment horizontal="center"/>
      <protection locked="0"/>
    </xf>
    <xf numFmtId="44" fontId="3" fillId="7" borderId="32" xfId="2" applyFont="1" applyFill="1" applyBorder="1" applyAlignment="1" applyProtection="1">
      <alignment horizontal="center"/>
      <protection locked="0"/>
    </xf>
    <xf numFmtId="0" fontId="8" fillId="0" borderId="30" xfId="0" applyFont="1" applyBorder="1" applyAlignment="1">
      <alignment horizontal="right"/>
    </xf>
    <xf numFmtId="0" fontId="8" fillId="0" borderId="0" xfId="0" applyFont="1" applyAlignment="1">
      <alignment horizontal="right"/>
    </xf>
    <xf numFmtId="44" fontId="8" fillId="0" borderId="39" xfId="0" applyNumberFormat="1" applyFont="1" applyBorder="1" applyAlignment="1">
      <alignment horizontal="center"/>
    </xf>
    <xf numFmtId="44" fontId="8" fillId="0" borderId="14" xfId="0" applyNumberFormat="1" applyFont="1" applyBorder="1" applyAlignment="1">
      <alignment horizontal="center"/>
    </xf>
    <xf numFmtId="165" fontId="8" fillId="0" borderId="32" xfId="0" applyNumberFormat="1" applyFont="1" applyBorder="1"/>
    <xf numFmtId="0" fontId="8" fillId="0" borderId="8" xfId="0" applyFont="1" applyBorder="1" applyAlignment="1">
      <alignment horizontal="right"/>
    </xf>
    <xf numFmtId="0" fontId="8" fillId="0" borderId="26" xfId="0" applyFont="1" applyBorder="1" applyAlignment="1">
      <alignment horizontal="right"/>
    </xf>
    <xf numFmtId="165" fontId="8" fillId="0" borderId="31" xfId="0" applyNumberFormat="1" applyFont="1" applyBorder="1" applyAlignment="1">
      <alignment horizontal="center"/>
    </xf>
    <xf numFmtId="165" fontId="8" fillId="0" borderId="0" xfId="0" applyNumberFormat="1" applyFont="1" applyAlignment="1">
      <alignment horizontal="center"/>
    </xf>
    <xf numFmtId="165" fontId="8" fillId="0" borderId="32" xfId="0" applyNumberFormat="1" applyFont="1" applyBorder="1" applyAlignment="1">
      <alignment horizontal="center"/>
    </xf>
    <xf numFmtId="0" fontId="4" fillId="0" borderId="0" xfId="0" applyFont="1" applyAlignment="1">
      <alignment horizontal="center" wrapText="1"/>
    </xf>
    <xf numFmtId="0" fontId="8" fillId="0" borderId="18" xfId="0" applyFont="1" applyBorder="1" applyAlignment="1">
      <alignment horizontal="center"/>
    </xf>
    <xf numFmtId="0" fontId="8" fillId="0" borderId="25" xfId="0" applyFont="1" applyBorder="1" applyAlignment="1">
      <alignment horizontal="center"/>
    </xf>
    <xf numFmtId="0" fontId="8" fillId="0" borderId="19"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3" fillId="0" borderId="30" xfId="0" applyFont="1" applyBorder="1" applyAlignment="1">
      <alignment horizontal="right"/>
    </xf>
    <xf numFmtId="0" fontId="3" fillId="0" borderId="32" xfId="0" applyFont="1" applyBorder="1" applyAlignment="1">
      <alignment horizontal="right"/>
    </xf>
    <xf numFmtId="165" fontId="8" fillId="0" borderId="0" xfId="0" applyNumberFormat="1" applyFont="1"/>
    <xf numFmtId="0" fontId="4" fillId="0" borderId="0" xfId="0" applyFont="1" applyAlignment="1">
      <alignment horizontal="center"/>
    </xf>
    <xf numFmtId="0" fontId="8" fillId="0" borderId="32" xfId="0" applyFont="1" applyBorder="1" applyAlignment="1">
      <alignment horizontal="right"/>
    </xf>
    <xf numFmtId="0" fontId="3" fillId="0" borderId="0" xfId="0" applyFont="1" applyAlignment="1">
      <alignment horizontal="left" vertical="top" wrapText="1"/>
    </xf>
    <xf numFmtId="0" fontId="3" fillId="0" borderId="0" xfId="0" applyFont="1" applyAlignment="1">
      <alignment horizontal="left" vertical="top"/>
    </xf>
    <xf numFmtId="0" fontId="8" fillId="5" borderId="30" xfId="0" applyFont="1" applyFill="1" applyBorder="1" applyAlignment="1">
      <alignment horizontal="right"/>
    </xf>
    <xf numFmtId="0" fontId="8" fillId="5" borderId="32" xfId="0" applyFont="1" applyFill="1" applyBorder="1" applyAlignment="1">
      <alignment horizontal="right"/>
    </xf>
    <xf numFmtId="165" fontId="8" fillId="5" borderId="31" xfId="0" applyNumberFormat="1" applyFont="1" applyFill="1" applyBorder="1" applyAlignment="1">
      <alignment horizontal="center"/>
    </xf>
    <xf numFmtId="165" fontId="8" fillId="5" borderId="32" xfId="0" applyNumberFormat="1" applyFont="1" applyFill="1" applyBorder="1" applyAlignment="1">
      <alignment horizontal="center"/>
    </xf>
    <xf numFmtId="165" fontId="8" fillId="5" borderId="31" xfId="0" applyNumberFormat="1" applyFont="1" applyFill="1" applyBorder="1"/>
    <xf numFmtId="165" fontId="8" fillId="5" borderId="32" xfId="0" applyNumberFormat="1" applyFont="1" applyFill="1" applyBorder="1"/>
    <xf numFmtId="0" fontId="8" fillId="0" borderId="30" xfId="0" applyFont="1" applyBorder="1" applyAlignment="1">
      <alignment horizontal="center" wrapText="1"/>
    </xf>
    <xf numFmtId="0" fontId="8" fillId="0" borderId="32" xfId="0" applyFont="1" applyBorder="1" applyAlignment="1">
      <alignment horizontal="center" wrapText="1"/>
    </xf>
  </cellXfs>
  <cellStyles count="9">
    <cellStyle name="Comma" xfId="1" builtinId="3"/>
    <cellStyle name="Comma 2" xfId="6" xr:uid="{823FBE21-54EF-A943-8AD2-69ACE0C75119}"/>
    <cellStyle name="Currency" xfId="2" builtinId="4"/>
    <cellStyle name="Currency 2" xfId="7" xr:uid="{5DD9BCC7-0D95-6E4C-88E2-F9379EB045AE}"/>
    <cellStyle name="Normal" xfId="0" builtinId="0"/>
    <cellStyle name="Normal 2" xfId="4" xr:uid="{53B2A6E8-BBE2-B947-9E4F-671C8AFDB788}"/>
    <cellStyle name="Normal 2 2" xfId="8" xr:uid="{824AB84C-D17E-4FA8-B317-C46E015CF3AC}"/>
    <cellStyle name="Percent" xfId="3" builtinId="5"/>
    <cellStyle name="Percent 2" xfId="5" xr:uid="{4FC41D1E-38B5-314D-811E-C658B356009D}"/>
  </cellStyles>
  <dxfs count="24">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onnections" Target="connection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_rels/drawing2.xml.rels><?xml version="1.0" encoding="UTF-8" standalone="yes"?>
<Relationships xmlns="http://schemas.openxmlformats.org/package/2006/relationships"><Relationship Id="rId3" Type="http://schemas.openxmlformats.org/officeDocument/2006/relationships/customXml" Target="../ink/ink8.xml"/><Relationship Id="rId2" Type="http://schemas.openxmlformats.org/officeDocument/2006/relationships/image" Target="../media/image1.png"/><Relationship Id="rId1" Type="http://schemas.openxmlformats.org/officeDocument/2006/relationships/customXml" Target="../ink/ink7.xml"/><Relationship Id="rId4" Type="http://schemas.openxmlformats.org/officeDocument/2006/relationships/customXml" Target="../ink/ink9.xml"/></Relationships>
</file>

<file path=xl/drawings/drawing1.xml><?xml version="1.0" encoding="utf-8"?>
<xdr:wsDr xmlns:xdr="http://schemas.openxmlformats.org/drawingml/2006/spreadsheetDrawing" xmlns:a="http://schemas.openxmlformats.org/drawingml/2006/main">
  <xdr:twoCellAnchor>
    <xdr:from>
      <xdr:col>1</xdr:col>
      <xdr:colOff>2976225</xdr:colOff>
      <xdr:row>17</xdr:row>
      <xdr:rowOff>136326</xdr:rowOff>
    </xdr:from>
    <xdr:to>
      <xdr:col>1</xdr:col>
      <xdr:colOff>2976585</xdr:colOff>
      <xdr:row>17</xdr:row>
      <xdr:rowOff>136686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36FF3B08-430D-422C-AFCF-4859B2D0CC49}"/>
                </a:ext>
              </a:extLst>
            </xdr14:cNvPr>
            <xdr14:cNvContentPartPr/>
          </xdr14:nvContentPartPr>
          <xdr14:nvPr macro=""/>
          <xdr14:xfrm>
            <a:off x="6357600" y="2963520"/>
            <a:ext cx="360" cy="360"/>
          </xdr14:xfrm>
        </xdr:contentPart>
      </mc:Choice>
      <mc:Fallback xmlns="">
        <xdr:pic>
          <xdr:nvPicPr>
            <xdr:cNvPr id="2" name="Ink 1">
              <a:extLst>
                <a:ext uri="{FF2B5EF4-FFF2-40B4-BE49-F238E27FC236}">
                  <a16:creationId xmlns:a16="http://schemas.microsoft.com/office/drawing/2014/main" id="{A2B9C07C-6573-4A7E-8256-0B3649C8F8E3}"/>
                </a:ext>
              </a:extLst>
            </xdr:cNvPr>
            <xdr:cNvPicPr/>
          </xdr:nvPicPr>
          <xdr:blipFill>
            <a:blip xmlns:r="http://schemas.openxmlformats.org/officeDocument/2006/relationships" r:embed="rId2"/>
            <a:stretch>
              <a:fillRect/>
            </a:stretch>
          </xdr:blipFill>
          <xdr:spPr>
            <a:xfrm>
              <a:off x="6348600" y="2954520"/>
              <a:ext cx="18000" cy="18000"/>
            </a:xfrm>
            <a:prstGeom prst="rect">
              <a:avLst/>
            </a:prstGeom>
          </xdr:spPr>
        </xdr:pic>
      </mc:Fallback>
    </mc:AlternateContent>
    <xdr:clientData/>
  </xdr:twoCellAnchor>
  <xdr:twoCellAnchor>
    <xdr:from>
      <xdr:col>1</xdr:col>
      <xdr:colOff>3019425</xdr:colOff>
      <xdr:row>19</xdr:row>
      <xdr:rowOff>131880</xdr:rowOff>
    </xdr:from>
    <xdr:to>
      <xdr:col>1</xdr:col>
      <xdr:colOff>3019785</xdr:colOff>
      <xdr:row>19</xdr:row>
      <xdr:rowOff>132240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43375AF1-D3BE-42C4-8CAB-16DC8097430F}"/>
                </a:ext>
              </a:extLst>
            </xdr14:cNvPr>
            <xdr14:cNvContentPartPr/>
          </xdr14:nvContentPartPr>
          <xdr14:nvPr macro=""/>
          <xdr14:xfrm>
            <a:off x="6400800" y="3179880"/>
            <a:ext cx="360" cy="360"/>
          </xdr14:xfrm>
        </xdr:contentPart>
      </mc:Choice>
      <mc:Fallback xmlns="">
        <xdr:pic>
          <xdr:nvPicPr>
            <xdr:cNvPr id="3" name="Ink 2">
              <a:extLst>
                <a:ext uri="{FF2B5EF4-FFF2-40B4-BE49-F238E27FC236}">
                  <a16:creationId xmlns:a16="http://schemas.microsoft.com/office/drawing/2014/main" id="{59713959-727B-48E6-BBE0-787BF6087391}"/>
                </a:ext>
              </a:extLst>
            </xdr:cNvPr>
            <xdr:cNvPicPr/>
          </xdr:nvPicPr>
          <xdr:blipFill>
            <a:blip xmlns:r="http://schemas.openxmlformats.org/officeDocument/2006/relationships" r:embed="rId2"/>
            <a:stretch>
              <a:fillRect/>
            </a:stretch>
          </xdr:blipFill>
          <xdr:spPr>
            <a:xfrm>
              <a:off x="6392160" y="3170880"/>
              <a:ext cx="18000" cy="18000"/>
            </a:xfrm>
            <a:prstGeom prst="rect">
              <a:avLst/>
            </a:prstGeom>
          </xdr:spPr>
        </xdr:pic>
      </mc:Fallback>
    </mc:AlternateContent>
    <xdr:clientData/>
  </xdr:twoCellAnchor>
  <xdr:twoCellAnchor>
    <xdr:from>
      <xdr:col>1</xdr:col>
      <xdr:colOff>2976225</xdr:colOff>
      <xdr:row>38</xdr:row>
      <xdr:rowOff>136326</xdr:rowOff>
    </xdr:from>
    <xdr:to>
      <xdr:col>1</xdr:col>
      <xdr:colOff>2976585</xdr:colOff>
      <xdr:row>38</xdr:row>
      <xdr:rowOff>136686</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896C2A54-B9EE-4D4A-9E3F-E7169747428D}"/>
                </a:ext>
              </a:extLst>
            </xdr14:cNvPr>
            <xdr14:cNvContentPartPr/>
          </xdr14:nvContentPartPr>
          <xdr14:nvPr macro=""/>
          <xdr14:xfrm>
            <a:off x="6357600" y="2963520"/>
            <a:ext cx="360" cy="360"/>
          </xdr14:xfrm>
        </xdr:contentPart>
      </mc:Choice>
      <mc:Fallback xmlns="">
        <xdr:pic>
          <xdr:nvPicPr>
            <xdr:cNvPr id="2" name="Ink 1">
              <a:extLst>
                <a:ext uri="{FF2B5EF4-FFF2-40B4-BE49-F238E27FC236}">
                  <a16:creationId xmlns:a16="http://schemas.microsoft.com/office/drawing/2014/main" id="{A2B9C07C-6573-4A7E-8256-0B3649C8F8E3}"/>
                </a:ext>
              </a:extLst>
            </xdr:cNvPr>
            <xdr:cNvPicPr/>
          </xdr:nvPicPr>
          <xdr:blipFill>
            <a:blip xmlns:r="http://schemas.openxmlformats.org/officeDocument/2006/relationships" r:embed="rId2"/>
            <a:stretch>
              <a:fillRect/>
            </a:stretch>
          </xdr:blipFill>
          <xdr:spPr>
            <a:xfrm>
              <a:off x="6348600" y="2954520"/>
              <a:ext cx="18000" cy="18000"/>
            </a:xfrm>
            <a:prstGeom prst="rect">
              <a:avLst/>
            </a:prstGeom>
          </xdr:spPr>
        </xdr:pic>
      </mc:Fallback>
    </mc:AlternateContent>
    <xdr:clientData/>
  </xdr:twoCellAnchor>
  <xdr:twoCellAnchor>
    <xdr:from>
      <xdr:col>1</xdr:col>
      <xdr:colOff>3019425</xdr:colOff>
      <xdr:row>40</xdr:row>
      <xdr:rowOff>131880</xdr:rowOff>
    </xdr:from>
    <xdr:to>
      <xdr:col>1</xdr:col>
      <xdr:colOff>3019785</xdr:colOff>
      <xdr:row>40</xdr:row>
      <xdr:rowOff>132240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BF126BCF-773F-4AB5-8593-D7DFA31C2F92}"/>
                </a:ext>
              </a:extLst>
            </xdr14:cNvPr>
            <xdr14:cNvContentPartPr/>
          </xdr14:nvContentPartPr>
          <xdr14:nvPr macro=""/>
          <xdr14:xfrm>
            <a:off x="6400800" y="3179880"/>
            <a:ext cx="360" cy="360"/>
          </xdr14:xfrm>
        </xdr:contentPart>
      </mc:Choice>
      <mc:Fallback xmlns="">
        <xdr:pic>
          <xdr:nvPicPr>
            <xdr:cNvPr id="3" name="Ink 2">
              <a:extLst>
                <a:ext uri="{FF2B5EF4-FFF2-40B4-BE49-F238E27FC236}">
                  <a16:creationId xmlns:a16="http://schemas.microsoft.com/office/drawing/2014/main" id="{59713959-727B-48E6-BBE0-787BF6087391}"/>
                </a:ext>
              </a:extLst>
            </xdr:cNvPr>
            <xdr:cNvPicPr/>
          </xdr:nvPicPr>
          <xdr:blipFill>
            <a:blip xmlns:r="http://schemas.openxmlformats.org/officeDocument/2006/relationships" r:embed="rId2"/>
            <a:stretch>
              <a:fillRect/>
            </a:stretch>
          </xdr:blipFill>
          <xdr:spPr>
            <a:xfrm>
              <a:off x="6392160" y="3170880"/>
              <a:ext cx="18000" cy="18000"/>
            </a:xfrm>
            <a:prstGeom prst="rect">
              <a:avLst/>
            </a:prstGeom>
          </xdr:spPr>
        </xdr:pic>
      </mc:Fallback>
    </mc:AlternateContent>
    <xdr:clientData/>
  </xdr:twoCellAnchor>
  <xdr:twoCellAnchor>
    <xdr:from>
      <xdr:col>1</xdr:col>
      <xdr:colOff>2976225</xdr:colOff>
      <xdr:row>57</xdr:row>
      <xdr:rowOff>136326</xdr:rowOff>
    </xdr:from>
    <xdr:to>
      <xdr:col>1</xdr:col>
      <xdr:colOff>2976585</xdr:colOff>
      <xdr:row>57</xdr:row>
      <xdr:rowOff>136686</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383ABE65-4CBC-4A9C-BD32-4C3B9331EDFB}"/>
                </a:ext>
              </a:extLst>
            </xdr14:cNvPr>
            <xdr14:cNvContentPartPr/>
          </xdr14:nvContentPartPr>
          <xdr14:nvPr macro=""/>
          <xdr14:xfrm>
            <a:off x="6357600" y="2963520"/>
            <a:ext cx="360" cy="360"/>
          </xdr14:xfrm>
        </xdr:contentPart>
      </mc:Choice>
      <mc:Fallback xmlns="">
        <xdr:pic>
          <xdr:nvPicPr>
            <xdr:cNvPr id="2" name="Ink 1">
              <a:extLst>
                <a:ext uri="{FF2B5EF4-FFF2-40B4-BE49-F238E27FC236}">
                  <a16:creationId xmlns:a16="http://schemas.microsoft.com/office/drawing/2014/main" id="{A2B9C07C-6573-4A7E-8256-0B3649C8F8E3}"/>
                </a:ext>
              </a:extLst>
            </xdr:cNvPr>
            <xdr:cNvPicPr/>
          </xdr:nvPicPr>
          <xdr:blipFill>
            <a:blip xmlns:r="http://schemas.openxmlformats.org/officeDocument/2006/relationships" r:embed="rId2"/>
            <a:stretch>
              <a:fillRect/>
            </a:stretch>
          </xdr:blipFill>
          <xdr:spPr>
            <a:xfrm>
              <a:off x="6348600" y="2954520"/>
              <a:ext cx="18000" cy="18000"/>
            </a:xfrm>
            <a:prstGeom prst="rect">
              <a:avLst/>
            </a:prstGeom>
          </xdr:spPr>
        </xdr:pic>
      </mc:Fallback>
    </mc:AlternateContent>
    <xdr:clientData/>
  </xdr:twoCellAnchor>
  <xdr:twoCellAnchor>
    <xdr:from>
      <xdr:col>1</xdr:col>
      <xdr:colOff>3019425</xdr:colOff>
      <xdr:row>59</xdr:row>
      <xdr:rowOff>131880</xdr:rowOff>
    </xdr:from>
    <xdr:to>
      <xdr:col>1</xdr:col>
      <xdr:colOff>3019785</xdr:colOff>
      <xdr:row>59</xdr:row>
      <xdr:rowOff>132240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C4500AC1-57BD-438B-959A-645C1CC7A0E9}"/>
                </a:ext>
              </a:extLst>
            </xdr14:cNvPr>
            <xdr14:cNvContentPartPr/>
          </xdr14:nvContentPartPr>
          <xdr14:nvPr macro=""/>
          <xdr14:xfrm>
            <a:off x="6400800" y="3179880"/>
            <a:ext cx="360" cy="360"/>
          </xdr14:xfrm>
        </xdr:contentPart>
      </mc:Choice>
      <mc:Fallback xmlns="">
        <xdr:pic>
          <xdr:nvPicPr>
            <xdr:cNvPr id="3" name="Ink 2">
              <a:extLst>
                <a:ext uri="{FF2B5EF4-FFF2-40B4-BE49-F238E27FC236}">
                  <a16:creationId xmlns:a16="http://schemas.microsoft.com/office/drawing/2014/main" id="{59713959-727B-48E6-BBE0-787BF6087391}"/>
                </a:ext>
              </a:extLst>
            </xdr:cNvPr>
            <xdr:cNvPicPr/>
          </xdr:nvPicPr>
          <xdr:blipFill>
            <a:blip xmlns:r="http://schemas.openxmlformats.org/officeDocument/2006/relationships" r:embed="rId2"/>
            <a:stretch>
              <a:fillRect/>
            </a:stretch>
          </xdr:blipFill>
          <xdr:spPr>
            <a:xfrm>
              <a:off x="6392160" y="317088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2704568</xdr:colOff>
      <xdr:row>15</xdr:row>
      <xdr:rowOff>108620</xdr:rowOff>
    </xdr:from>
    <xdr:to>
      <xdr:col>1</xdr:col>
      <xdr:colOff>2704928</xdr:colOff>
      <xdr:row>15</xdr:row>
      <xdr:rowOff>108980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A33162F4-B109-4432-BEFE-83B036F1D394}"/>
                </a:ext>
              </a:extLst>
            </xdr14:cNvPr>
            <xdr14:cNvContentPartPr/>
          </xdr14:nvContentPartPr>
          <xdr14:nvPr macro=""/>
          <xdr14:xfrm>
            <a:off x="6510600" y="3093120"/>
            <a:ext cx="360" cy="360"/>
          </xdr14:xfrm>
        </xdr:contentPart>
      </mc:Choice>
      <mc:Fallback xmlns="">
        <xdr:pic>
          <xdr:nvPicPr>
            <xdr:cNvPr id="4" name="Ink 3">
              <a:extLst>
                <a:ext uri="{FF2B5EF4-FFF2-40B4-BE49-F238E27FC236}">
                  <a16:creationId xmlns:a16="http://schemas.microsoft.com/office/drawing/2014/main" id="{19B58138-FD8D-4882-BAF8-201315F87995}"/>
                </a:ext>
              </a:extLst>
            </xdr:cNvPr>
            <xdr:cNvPicPr/>
          </xdr:nvPicPr>
          <xdr:blipFill>
            <a:blip xmlns:r="http://schemas.openxmlformats.org/officeDocument/2006/relationships" r:embed="rId2"/>
            <a:stretch>
              <a:fillRect/>
            </a:stretch>
          </xdr:blipFill>
          <xdr:spPr>
            <a:xfrm>
              <a:off x="6501600" y="3084480"/>
              <a:ext cx="18000" cy="18000"/>
            </a:xfrm>
            <a:prstGeom prst="rect">
              <a:avLst/>
            </a:prstGeom>
          </xdr:spPr>
        </xdr:pic>
      </mc:Fallback>
    </mc:AlternateContent>
    <xdr:clientData/>
  </xdr:twoCellAnchor>
  <xdr:twoCellAnchor>
    <xdr:from>
      <xdr:col>1</xdr:col>
      <xdr:colOff>2704568</xdr:colOff>
      <xdr:row>34</xdr:row>
      <xdr:rowOff>108620</xdr:rowOff>
    </xdr:from>
    <xdr:to>
      <xdr:col>1</xdr:col>
      <xdr:colOff>2704928</xdr:colOff>
      <xdr:row>34</xdr:row>
      <xdr:rowOff>108980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1F9CCC4C-6093-4574-89A2-7AEAE112B0B0}"/>
                </a:ext>
              </a:extLst>
            </xdr14:cNvPr>
            <xdr14:cNvContentPartPr/>
          </xdr14:nvContentPartPr>
          <xdr14:nvPr macro=""/>
          <xdr14:xfrm>
            <a:off x="6510600" y="3093120"/>
            <a:ext cx="360" cy="360"/>
          </xdr14:xfrm>
        </xdr:contentPart>
      </mc:Choice>
      <mc:Fallback xmlns="">
        <xdr:pic>
          <xdr:nvPicPr>
            <xdr:cNvPr id="4" name="Ink 3">
              <a:extLst>
                <a:ext uri="{FF2B5EF4-FFF2-40B4-BE49-F238E27FC236}">
                  <a16:creationId xmlns:a16="http://schemas.microsoft.com/office/drawing/2014/main" id="{19B58138-FD8D-4882-BAF8-201315F87995}"/>
                </a:ext>
              </a:extLst>
            </xdr:cNvPr>
            <xdr:cNvPicPr/>
          </xdr:nvPicPr>
          <xdr:blipFill>
            <a:blip xmlns:r="http://schemas.openxmlformats.org/officeDocument/2006/relationships" r:embed="rId2"/>
            <a:stretch>
              <a:fillRect/>
            </a:stretch>
          </xdr:blipFill>
          <xdr:spPr>
            <a:xfrm>
              <a:off x="6501600" y="3084480"/>
              <a:ext cx="18000" cy="18000"/>
            </a:xfrm>
            <a:prstGeom prst="rect">
              <a:avLst/>
            </a:prstGeom>
          </xdr:spPr>
        </xdr:pic>
      </mc:Fallback>
    </mc:AlternateContent>
    <xdr:clientData/>
  </xdr:twoCellAnchor>
  <xdr:twoCellAnchor>
    <xdr:from>
      <xdr:col>1</xdr:col>
      <xdr:colOff>2704568</xdr:colOff>
      <xdr:row>51</xdr:row>
      <xdr:rowOff>108620</xdr:rowOff>
    </xdr:from>
    <xdr:to>
      <xdr:col>1</xdr:col>
      <xdr:colOff>2704928</xdr:colOff>
      <xdr:row>51</xdr:row>
      <xdr:rowOff>108980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A7AC0228-CED1-4DB6-B468-A19229C07673}"/>
                </a:ext>
              </a:extLst>
            </xdr14:cNvPr>
            <xdr14:cNvContentPartPr/>
          </xdr14:nvContentPartPr>
          <xdr14:nvPr macro=""/>
          <xdr14:xfrm>
            <a:off x="6510600" y="3093120"/>
            <a:ext cx="360" cy="360"/>
          </xdr14:xfrm>
        </xdr:contentPart>
      </mc:Choice>
      <mc:Fallback xmlns="">
        <xdr:pic>
          <xdr:nvPicPr>
            <xdr:cNvPr id="4" name="Ink 3">
              <a:extLst>
                <a:ext uri="{FF2B5EF4-FFF2-40B4-BE49-F238E27FC236}">
                  <a16:creationId xmlns:a16="http://schemas.microsoft.com/office/drawing/2014/main" id="{19B58138-FD8D-4882-BAF8-201315F87995}"/>
                </a:ext>
              </a:extLst>
            </xdr:cNvPr>
            <xdr:cNvPicPr/>
          </xdr:nvPicPr>
          <xdr:blipFill>
            <a:blip xmlns:r="http://schemas.openxmlformats.org/officeDocument/2006/relationships" r:embed="rId2"/>
            <a:stretch>
              <a:fillRect/>
            </a:stretch>
          </xdr:blipFill>
          <xdr:spPr>
            <a:xfrm>
              <a:off x="6501600" y="308448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c\Home\cnsigd1\pricing\Users\abrahamm\AppData\Local\Microsoft\Windows\Temporary%20Internet%20Files\Content.Outlook\O8LK73O9\Pricing%20K-Z\STATE\Maryland\MD%20MMIS%20(CSC)\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0.531"/>
    </inkml:context>
    <inkml:brush xml:id="br0">
      <inkml:brushProperty name="width" value="0.05" units="cm"/>
      <inkml:brushProperty name="height" value="0.05" units="cm"/>
    </inkml:brush>
  </inkml:definitions>
  <inkml:trace contextRef="#ctx0" brushRef="#br0">0 0 0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0.532"/>
    </inkml:context>
    <inkml:brush xml:id="br0">
      <inkml:brushProperty name="width" value="0.05" units="cm"/>
      <inkml:brushProperty name="height" value="0.05" units="cm"/>
    </inkml:brush>
  </inkml:definitions>
  <inkml:trace contextRef="#ctx0" brushRef="#br0">1 0 0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4.641"/>
    </inkml:context>
    <inkml:brush xml:id="br0">
      <inkml:brushProperty name="width" value="0.05" units="cm"/>
      <inkml:brushProperty name="height" value="0.05" units="cm"/>
    </inkml:brush>
  </inkml:definitions>
  <inkml:trace contextRef="#ctx0" brushRef="#br0">0 0 0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4.642"/>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9.157"/>
    </inkml:context>
    <inkml:brush xml:id="br0">
      <inkml:brushProperty name="width" value="0.05" units="cm"/>
      <inkml:brushProperty name="height" value="0.05" units="cm"/>
    </inkml:brush>
  </inkml:definitions>
  <inkml:trace contextRef="#ctx0" brushRef="#br0">0 0 0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4:59.158"/>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6:52.758"/>
    </inkml:context>
    <inkml:brush xml:id="br0">
      <inkml:brushProperty name="width" value="0.05" units="cm"/>
      <inkml:brushProperty name="height" value="0.05" units="cm"/>
    </inkml:brush>
  </inkml:definitions>
  <inkml:trace contextRef="#ctx0" brushRef="#br0">0 1 0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6:55.196"/>
    </inkml:context>
    <inkml:brush xml:id="br0">
      <inkml:brushProperty name="width" value="0.05" units="cm"/>
      <inkml:brushProperty name="height" value="0.05" units="cm"/>
    </inkml:brush>
  </inkml:definitions>
  <inkml:trace contextRef="#ctx0" brushRef="#br0">0 1 0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8-12-05T17:36:59.259"/>
    </inkml:context>
    <inkml:brush xml:id="br0">
      <inkml:brushProperty name="width" value="0.05" units="cm"/>
      <inkml:brushProperty name="height" value="0.05" units="cm"/>
    </inkml:brush>
  </inkml:definitions>
  <inkml:trace contextRef="#ctx0" brushRef="#br0">0 1 0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3864-63D1-4441-B50A-37E53A8ECE7A}">
  <sheetPr>
    <tabColor rgb="FF002060"/>
    <pageSetUpPr fitToPage="1"/>
  </sheetPr>
  <dimension ref="A1:C32"/>
  <sheetViews>
    <sheetView tabSelected="1" zoomScale="70" zoomScaleNormal="70" workbookViewId="0">
      <selection activeCell="C32" sqref="C32"/>
    </sheetView>
  </sheetViews>
  <sheetFormatPr defaultColWidth="8.85546875" defaultRowHeight="15" x14ac:dyDescent="0.2"/>
  <cols>
    <col min="1" max="1" width="76.5703125" style="89" bestFit="1" customWidth="1"/>
    <col min="2" max="2" width="29.140625" style="89" customWidth="1"/>
    <col min="3" max="3" width="81.5703125" style="89" customWidth="1"/>
    <col min="4" max="16384" width="8.85546875" style="89"/>
  </cols>
  <sheetData>
    <row r="1" spans="1:3" ht="18" x14ac:dyDescent="0.25">
      <c r="A1" s="167" t="s">
        <v>115</v>
      </c>
      <c r="B1" s="168"/>
      <c r="C1" s="168"/>
    </row>
    <row r="2" spans="1:3" ht="15.75" thickBot="1" x14ac:dyDescent="0.25"/>
    <row r="3" spans="1:3" ht="18" x14ac:dyDescent="0.25">
      <c r="A3" s="169" t="s">
        <v>215</v>
      </c>
      <c r="B3" s="170"/>
      <c r="C3" s="171"/>
    </row>
    <row r="4" spans="1:3" ht="16.5" thickBot="1" x14ac:dyDescent="0.3">
      <c r="A4" s="138" t="s">
        <v>0</v>
      </c>
      <c r="B4" s="90" t="s">
        <v>1</v>
      </c>
      <c r="C4" s="90" t="s">
        <v>116</v>
      </c>
    </row>
    <row r="5" spans="1:3" ht="18" customHeight="1" x14ac:dyDescent="0.25">
      <c r="A5" s="139" t="s">
        <v>216</v>
      </c>
      <c r="B5" s="153">
        <f>'F-1 Provider Svcs DDI Costs'!C14</f>
        <v>5118913.01</v>
      </c>
      <c r="C5" s="91" t="s">
        <v>117</v>
      </c>
    </row>
    <row r="6" spans="1:3" ht="18" customHeight="1" x14ac:dyDescent="0.25">
      <c r="A6" s="139" t="s">
        <v>217</v>
      </c>
      <c r="B6" s="153">
        <f>'F-2 Provider Svcs Ops Costs'!C22</f>
        <v>24840998.640000001</v>
      </c>
      <c r="C6" s="91" t="s">
        <v>118</v>
      </c>
    </row>
    <row r="7" spans="1:3" ht="18" customHeight="1" x14ac:dyDescent="0.25">
      <c r="A7" s="139" t="s">
        <v>218</v>
      </c>
      <c r="B7" s="153">
        <f>'F-3 Provider Svcs DDI Pool Cost'!C14</f>
        <v>0</v>
      </c>
      <c r="C7" s="91" t="s">
        <v>119</v>
      </c>
    </row>
    <row r="8" spans="1:3" ht="18" customHeight="1" x14ac:dyDescent="0.25">
      <c r="A8" s="139" t="s">
        <v>219</v>
      </c>
      <c r="B8" s="166">
        <f>'F-4 Provider Svcs Ops Pool'!C22</f>
        <v>0</v>
      </c>
      <c r="C8" s="91" t="s">
        <v>120</v>
      </c>
    </row>
    <row r="9" spans="1:3" ht="2.1" customHeight="1" x14ac:dyDescent="0.25">
      <c r="A9" s="142"/>
      <c r="B9" s="92"/>
      <c r="C9" s="93"/>
    </row>
    <row r="10" spans="1:3" ht="16.5" thickBot="1" x14ac:dyDescent="0.3">
      <c r="A10" s="94" t="s">
        <v>220</v>
      </c>
      <c r="B10" s="155">
        <f>SUM(B5:B8)</f>
        <v>29959911.649999999</v>
      </c>
      <c r="C10" s="95"/>
    </row>
    <row r="11" spans="1:3" ht="15.75" x14ac:dyDescent="0.25">
      <c r="A11" s="96"/>
      <c r="B11" s="96"/>
    </row>
    <row r="12" spans="1:3" ht="15.75" thickBot="1" x14ac:dyDescent="0.25"/>
    <row r="13" spans="1:3" ht="18" x14ac:dyDescent="0.25">
      <c r="A13" s="169" t="s">
        <v>121</v>
      </c>
      <c r="B13" s="170"/>
      <c r="C13" s="171"/>
    </row>
    <row r="14" spans="1:3" ht="16.5" thickBot="1" x14ac:dyDescent="0.3">
      <c r="A14" s="138" t="s">
        <v>0</v>
      </c>
      <c r="B14" s="90" t="s">
        <v>1</v>
      </c>
      <c r="C14" s="90" t="s">
        <v>116</v>
      </c>
    </row>
    <row r="15" spans="1:3" ht="15.75" x14ac:dyDescent="0.25">
      <c r="A15" s="140" t="s">
        <v>122</v>
      </c>
      <c r="B15" s="153">
        <f>'G-1 Provider Svcs DDI Cost'!C14</f>
        <v>55116.41</v>
      </c>
      <c r="C15" s="91" t="s">
        <v>123</v>
      </c>
    </row>
    <row r="16" spans="1:3" ht="15.75" x14ac:dyDescent="0.25">
      <c r="A16" s="139" t="s">
        <v>124</v>
      </c>
      <c r="B16" s="153">
        <f>'G-2 Provider Svcs Ops Cost'!C22</f>
        <v>0</v>
      </c>
      <c r="C16" s="91" t="s">
        <v>125</v>
      </c>
    </row>
    <row r="17" spans="1:3" ht="18" customHeight="1" x14ac:dyDescent="0.25">
      <c r="A17" s="139" t="s">
        <v>126</v>
      </c>
      <c r="B17" s="154">
        <f>'G-3 Provider Svcs DDI Pool'!C14</f>
        <v>0</v>
      </c>
      <c r="C17" s="91" t="s">
        <v>127</v>
      </c>
    </row>
    <row r="18" spans="1:3" ht="15.75" x14ac:dyDescent="0.25">
      <c r="A18" s="140" t="s">
        <v>128</v>
      </c>
      <c r="B18" s="153">
        <f>'G-4 Provider Svcs Ops Pool'!C22</f>
        <v>0</v>
      </c>
      <c r="C18" s="91" t="s">
        <v>129</v>
      </c>
    </row>
    <row r="19" spans="1:3" ht="2.85" customHeight="1" x14ac:dyDescent="0.25">
      <c r="A19" s="142"/>
      <c r="B19" s="92"/>
      <c r="C19" s="93"/>
    </row>
    <row r="20" spans="1:3" ht="16.5" thickBot="1" x14ac:dyDescent="0.3">
      <c r="A20" s="94" t="s">
        <v>221</v>
      </c>
      <c r="B20" s="155">
        <f>SUM(B15:B18)</f>
        <v>55116.41</v>
      </c>
      <c r="C20" s="95"/>
    </row>
    <row r="21" spans="1:3" ht="15.75" x14ac:dyDescent="0.25">
      <c r="A21" s="96"/>
      <c r="B21" s="96"/>
    </row>
    <row r="22" spans="1:3" ht="15.75" thickBot="1" x14ac:dyDescent="0.25"/>
    <row r="23" spans="1:3" ht="18" x14ac:dyDescent="0.25">
      <c r="A23" s="169" t="s">
        <v>130</v>
      </c>
      <c r="B23" s="170"/>
      <c r="C23" s="171"/>
    </row>
    <row r="24" spans="1:3" ht="16.5" thickBot="1" x14ac:dyDescent="0.3">
      <c r="A24" s="138" t="s">
        <v>0</v>
      </c>
      <c r="B24" s="90" t="s">
        <v>131</v>
      </c>
      <c r="C24" s="90" t="s">
        <v>116</v>
      </c>
    </row>
    <row r="25" spans="1:3" ht="15.75" x14ac:dyDescent="0.25">
      <c r="A25" s="140" t="s">
        <v>132</v>
      </c>
      <c r="B25" s="153">
        <f>'H-1 Provider Svcs DDI Cost'!C14</f>
        <v>563310</v>
      </c>
      <c r="C25" s="91" t="s">
        <v>133</v>
      </c>
    </row>
    <row r="26" spans="1:3" ht="15.75" x14ac:dyDescent="0.25">
      <c r="A26" s="140" t="s">
        <v>134</v>
      </c>
      <c r="B26" s="153">
        <f>'H-2 Provider Svcs Ops Cost'!C22</f>
        <v>9176249.0399999991</v>
      </c>
      <c r="C26" s="91" t="s">
        <v>135</v>
      </c>
    </row>
    <row r="27" spans="1:3" ht="15.75" x14ac:dyDescent="0.25">
      <c r="A27" s="139" t="s">
        <v>136</v>
      </c>
      <c r="B27" s="153">
        <f>'H-3 Provider Svcs DDI Pool'!C14</f>
        <v>0</v>
      </c>
      <c r="C27" s="91" t="s">
        <v>137</v>
      </c>
    </row>
    <row r="28" spans="1:3" ht="15.75" x14ac:dyDescent="0.25">
      <c r="A28" s="146" t="s">
        <v>138</v>
      </c>
      <c r="B28" s="156">
        <f>'H-4 Provider Svcs Ops Pool'!C22</f>
        <v>0</v>
      </c>
      <c r="C28" s="91" t="s">
        <v>139</v>
      </c>
    </row>
    <row r="29" spans="1:3" ht="2.85" customHeight="1" x14ac:dyDescent="0.25">
      <c r="A29" s="142"/>
      <c r="B29" s="92"/>
      <c r="C29" s="93"/>
    </row>
    <row r="30" spans="1:3" ht="16.5" thickBot="1" x14ac:dyDescent="0.3">
      <c r="A30" s="94" t="s">
        <v>140</v>
      </c>
      <c r="B30" s="155">
        <f>SUM(B25:B28)</f>
        <v>9739559.0399999991</v>
      </c>
      <c r="C30" s="95"/>
    </row>
    <row r="32" spans="1:3" x14ac:dyDescent="0.2">
      <c r="B32" s="165"/>
    </row>
  </sheetData>
  <mergeCells count="4">
    <mergeCell ref="A1:C1"/>
    <mergeCell ref="A3:C3"/>
    <mergeCell ref="A13:C13"/>
    <mergeCell ref="A23:C23"/>
  </mergeCells>
  <pageMargins left="0.7" right="0.7" top="0.75" bottom="0.75" header="0.3" footer="0.3"/>
  <pageSetup scale="49" fitToHeight="0" orientation="portrait" horizontalDpi="300" verticalDpi="300" r:id="rId1"/>
  <headerFooter>
    <oddFooter>&amp;Rpage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pageSetUpPr fitToPage="1"/>
  </sheetPr>
  <dimension ref="A1:S25"/>
  <sheetViews>
    <sheetView zoomScale="70" zoomScaleNormal="70" workbookViewId="0">
      <selection activeCell="H10" sqref="H10"/>
    </sheetView>
  </sheetViews>
  <sheetFormatPr defaultColWidth="9.42578125" defaultRowHeight="14.25" x14ac:dyDescent="0.2"/>
  <cols>
    <col min="1" max="1" width="46.85546875" style="2" customWidth="1"/>
    <col min="2" max="2" width="11.5703125" style="2" customWidth="1"/>
    <col min="3" max="3" width="17" style="2" bestFit="1" customWidth="1"/>
    <col min="4" max="4" width="8.42578125" style="2" bestFit="1" customWidth="1"/>
    <col min="5" max="7" width="12.5703125" style="2" customWidth="1"/>
    <col min="8" max="8" width="15.5703125" style="2" bestFit="1" customWidth="1"/>
    <col min="9" max="9" width="16.5703125" style="2" bestFit="1" customWidth="1"/>
    <col min="10" max="10" width="16.42578125" style="2" bestFit="1" customWidth="1"/>
    <col min="11" max="11" width="16.5703125" style="2" bestFit="1" customWidth="1"/>
    <col min="12" max="12" width="18.42578125" style="2" bestFit="1" customWidth="1"/>
    <col min="13" max="13" width="16.5703125" style="2" bestFit="1" customWidth="1"/>
    <col min="14" max="14" width="18.42578125" style="2" bestFit="1" customWidth="1"/>
    <col min="15" max="15" width="16.5703125" style="2" bestFit="1" customWidth="1"/>
    <col min="16" max="16" width="18.42578125" style="2" bestFit="1" customWidth="1"/>
    <col min="17" max="17" width="16.5703125" style="2" bestFit="1" customWidth="1"/>
    <col min="18" max="18" width="12.5703125" style="2" customWidth="1"/>
    <col min="19" max="19" width="16.5703125" style="2" bestFit="1" customWidth="1"/>
    <col min="20" max="16384" width="9.42578125" style="2"/>
  </cols>
  <sheetData>
    <row r="1" spans="1:19" s="16" customFormat="1" ht="36.75" customHeight="1" x14ac:dyDescent="0.25">
      <c r="A1" s="222" t="s">
        <v>78</v>
      </c>
      <c r="B1" s="233"/>
      <c r="C1" s="233"/>
      <c r="D1" s="233"/>
      <c r="E1" s="233"/>
      <c r="F1" s="233"/>
      <c r="G1" s="233"/>
      <c r="H1" s="233"/>
      <c r="I1" s="233"/>
      <c r="J1" s="233"/>
      <c r="K1" s="233"/>
      <c r="L1" s="233"/>
      <c r="M1" s="233"/>
      <c r="N1" s="233"/>
      <c r="O1" s="233"/>
      <c r="P1" s="233"/>
      <c r="Q1" s="233"/>
      <c r="R1" s="233"/>
      <c r="S1" s="233"/>
    </row>
    <row r="3" spans="1:19" ht="15" thickBot="1" x14ac:dyDescent="0.25"/>
    <row r="4" spans="1:19" ht="15" x14ac:dyDescent="0.25">
      <c r="A4" s="223" t="s">
        <v>187</v>
      </c>
      <c r="B4" s="224"/>
      <c r="C4" s="224"/>
      <c r="D4" s="224"/>
      <c r="E4" s="224"/>
      <c r="F4" s="224"/>
      <c r="G4" s="224"/>
      <c r="H4" s="224"/>
      <c r="I4" s="224"/>
      <c r="J4" s="224"/>
      <c r="K4" s="224"/>
      <c r="L4" s="224"/>
      <c r="M4" s="224"/>
      <c r="N4" s="224"/>
      <c r="O4" s="224"/>
      <c r="P4" s="224"/>
      <c r="Q4" s="224"/>
      <c r="R4" s="224"/>
      <c r="S4" s="225"/>
    </row>
    <row r="5" spans="1:19" x14ac:dyDescent="0.2">
      <c r="A5" s="17"/>
      <c r="S5" s="18"/>
    </row>
    <row r="6" spans="1:19" ht="15" x14ac:dyDescent="0.25">
      <c r="A6" s="17"/>
      <c r="B6" s="68" t="s">
        <v>31</v>
      </c>
      <c r="C6" s="226" t="s">
        <v>32</v>
      </c>
      <c r="D6" s="227"/>
      <c r="E6" s="226" t="s">
        <v>33</v>
      </c>
      <c r="F6" s="228"/>
      <c r="G6" s="227"/>
      <c r="H6" s="226" t="s">
        <v>34</v>
      </c>
      <c r="I6" s="227"/>
      <c r="J6" s="226" t="s">
        <v>35</v>
      </c>
      <c r="K6" s="227"/>
      <c r="L6" s="226" t="s">
        <v>36</v>
      </c>
      <c r="M6" s="227"/>
      <c r="N6" s="226" t="s">
        <v>37</v>
      </c>
      <c r="O6" s="227"/>
      <c r="P6" s="226" t="s">
        <v>38</v>
      </c>
      <c r="Q6" s="227"/>
      <c r="R6" s="226" t="s">
        <v>39</v>
      </c>
      <c r="S6" s="229"/>
    </row>
    <row r="7" spans="1:19" ht="15" hidden="1" customHeight="1" x14ac:dyDescent="0.25">
      <c r="A7" s="17"/>
      <c r="B7" s="68" t="s">
        <v>40</v>
      </c>
      <c r="C7" s="19"/>
      <c r="D7" s="79"/>
      <c r="E7" s="20" t="s">
        <v>41</v>
      </c>
      <c r="G7" s="21"/>
      <c r="H7" s="20" t="s">
        <v>42</v>
      </c>
      <c r="I7" s="21"/>
      <c r="J7" s="20" t="s">
        <v>43</v>
      </c>
      <c r="K7" s="21"/>
      <c r="L7" s="20" t="s">
        <v>44</v>
      </c>
      <c r="M7" s="21"/>
      <c r="N7" s="20" t="s">
        <v>45</v>
      </c>
      <c r="O7" s="21"/>
      <c r="P7" s="20" t="s">
        <v>46</v>
      </c>
      <c r="Q7" s="21"/>
      <c r="R7" s="20" t="s">
        <v>47</v>
      </c>
      <c r="S7" s="18"/>
    </row>
    <row r="8" spans="1:19" s="29" customFormat="1" ht="15" x14ac:dyDescent="0.25">
      <c r="A8" s="22"/>
      <c r="B8" s="68" t="s">
        <v>48</v>
      </c>
      <c r="C8" s="23">
        <v>0</v>
      </c>
      <c r="D8" s="24">
        <v>25000</v>
      </c>
      <c r="E8" s="25">
        <v>0</v>
      </c>
      <c r="F8" s="26"/>
      <c r="G8" s="27">
        <v>25000</v>
      </c>
      <c r="H8" s="25">
        <v>25001</v>
      </c>
      <c r="I8" s="27">
        <v>75000</v>
      </c>
      <c r="J8" s="25">
        <v>75001</v>
      </c>
      <c r="K8" s="27">
        <v>125000</v>
      </c>
      <c r="L8" s="25">
        <v>125001</v>
      </c>
      <c r="M8" s="27">
        <v>175000</v>
      </c>
      <c r="N8" s="25">
        <v>175001</v>
      </c>
      <c r="O8" s="27">
        <v>225000</v>
      </c>
      <c r="P8" s="25">
        <v>225001</v>
      </c>
      <c r="Q8" s="27">
        <v>275000</v>
      </c>
      <c r="R8" s="25">
        <v>275001</v>
      </c>
      <c r="S8" s="28">
        <f>R8+49999</f>
        <v>325000</v>
      </c>
    </row>
    <row r="9" spans="1:19" s="33" customFormat="1" ht="15" x14ac:dyDescent="0.25">
      <c r="A9" s="30"/>
      <c r="B9" s="31" t="s">
        <v>49</v>
      </c>
      <c r="C9" s="32"/>
      <c r="D9" s="80"/>
      <c r="E9" s="219" t="s">
        <v>50</v>
      </c>
      <c r="F9" s="220"/>
      <c r="G9" s="221"/>
      <c r="H9" s="206">
        <v>0</v>
      </c>
      <c r="I9" s="216"/>
      <c r="J9" s="206"/>
      <c r="K9" s="216"/>
      <c r="L9" s="206">
        <v>0</v>
      </c>
      <c r="M9" s="216"/>
      <c r="N9" s="206">
        <v>0</v>
      </c>
      <c r="O9" s="216"/>
      <c r="P9" s="206">
        <v>0</v>
      </c>
      <c r="Q9" s="216"/>
      <c r="R9" s="206">
        <v>0</v>
      </c>
      <c r="S9" s="207"/>
    </row>
    <row r="10" spans="1:19" s="16" customFormat="1" ht="24.75" customHeight="1" x14ac:dyDescent="0.25">
      <c r="A10" s="34"/>
      <c r="C10" s="208" t="s">
        <v>51</v>
      </c>
      <c r="D10" s="209"/>
      <c r="E10" s="71" t="s">
        <v>52</v>
      </c>
      <c r="F10" s="35" t="s">
        <v>53</v>
      </c>
      <c r="G10" s="72" t="s">
        <v>54</v>
      </c>
      <c r="H10" s="71" t="s">
        <v>52</v>
      </c>
      <c r="I10" s="72" t="s">
        <v>55</v>
      </c>
      <c r="J10" s="71" t="s">
        <v>52</v>
      </c>
      <c r="K10" s="72" t="s">
        <v>55</v>
      </c>
      <c r="L10" s="71" t="s">
        <v>52</v>
      </c>
      <c r="M10" s="72" t="s">
        <v>55</v>
      </c>
      <c r="N10" s="71" t="s">
        <v>52</v>
      </c>
      <c r="O10" s="72" t="s">
        <v>55</v>
      </c>
      <c r="P10" s="36" t="s">
        <v>52</v>
      </c>
      <c r="Q10" s="72" t="s">
        <v>55</v>
      </c>
      <c r="R10" s="71" t="s">
        <v>52</v>
      </c>
      <c r="S10" s="37" t="s">
        <v>55</v>
      </c>
    </row>
    <row r="11" spans="1:19" x14ac:dyDescent="0.2">
      <c r="A11" s="81" t="s">
        <v>3</v>
      </c>
      <c r="C11" s="210">
        <f>ROUND(55116.4118190545*B21,2)</f>
        <v>55116.41</v>
      </c>
      <c r="D11" s="211"/>
      <c r="E11" s="38" t="s">
        <v>56</v>
      </c>
      <c r="F11" s="39" t="s">
        <v>56</v>
      </c>
      <c r="G11" s="40" t="s">
        <v>56</v>
      </c>
      <c r="H11" s="60">
        <f>ROUND(0.1837*B21,4)</f>
        <v>0.1837</v>
      </c>
      <c r="I11" s="42">
        <f>MAX(ROUND((H$9-25000)*H11,2),0)</f>
        <v>0</v>
      </c>
      <c r="J11" s="41">
        <f>ROUND(0.1837*B21,4)</f>
        <v>0.1837</v>
      </c>
      <c r="K11" s="42">
        <f>MAX(ROUND((J$9-25000)*J11,2),0)</f>
        <v>0</v>
      </c>
      <c r="L11" s="41">
        <f>ROUND(0.1837*B21,4)</f>
        <v>0.1837</v>
      </c>
      <c r="M11" s="42">
        <f>MAX(ROUND((L$9-25000)*L11,2),0)</f>
        <v>0</v>
      </c>
      <c r="N11" s="41">
        <f>ROUND(0.1837*B21,4)</f>
        <v>0.1837</v>
      </c>
      <c r="O11" s="42">
        <f>MAX(ROUND((N$9-25000)*N11,2),0)</f>
        <v>0</v>
      </c>
      <c r="P11" s="41">
        <f>ROUND(0.1837*B21,4)</f>
        <v>0.1837</v>
      </c>
      <c r="Q11" s="42">
        <f>MAX(ROUND((P$9-25000)*P11,2),0)</f>
        <v>0</v>
      </c>
      <c r="R11" s="41">
        <f>ROUND(0.1837*B21,4)</f>
        <v>0.1837</v>
      </c>
      <c r="S11" s="43">
        <f>MAX(ROUND((R$9-25000)*R11,2),0)</f>
        <v>0</v>
      </c>
    </row>
    <row r="12" spans="1:19" s="48" customFormat="1" ht="15" x14ac:dyDescent="0.25">
      <c r="A12" s="212" t="s">
        <v>188</v>
      </c>
      <c r="B12" s="213"/>
      <c r="C12" s="214">
        <f>C11</f>
        <v>55116.41</v>
      </c>
      <c r="D12" s="215"/>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7"/>
      <c r="S13" s="18"/>
    </row>
    <row r="14" spans="1:19" ht="15.75" thickBot="1" x14ac:dyDescent="0.3">
      <c r="A14" s="217" t="s">
        <v>189</v>
      </c>
      <c r="B14" s="218"/>
      <c r="C14" s="86">
        <f>SUM(E12:S12)+C12</f>
        <v>55116.41</v>
      </c>
      <c r="D14" s="68"/>
      <c r="E14" s="49"/>
      <c r="Q14" s="33"/>
      <c r="S14" s="18"/>
    </row>
    <row r="15" spans="1:19" x14ac:dyDescent="0.2">
      <c r="A15" s="17"/>
      <c r="S15" s="18"/>
    </row>
    <row r="16" spans="1:19" ht="15" x14ac:dyDescent="0.25">
      <c r="A16" s="87" t="s">
        <v>109</v>
      </c>
      <c r="B16" s="68"/>
      <c r="S16" s="18"/>
    </row>
    <row r="17" spans="1:19" ht="15" x14ac:dyDescent="0.25">
      <c r="A17" s="88" t="s">
        <v>110</v>
      </c>
      <c r="B17" s="151">
        <v>0</v>
      </c>
      <c r="S17" s="18"/>
    </row>
    <row r="18" spans="1:19" ht="15" x14ac:dyDescent="0.25">
      <c r="A18" s="88" t="s">
        <v>111</v>
      </c>
      <c r="B18" s="151">
        <v>0</v>
      </c>
      <c r="S18" s="18"/>
    </row>
    <row r="19" spans="1:19" ht="15" x14ac:dyDescent="0.25">
      <c r="A19" s="88" t="s">
        <v>112</v>
      </c>
      <c r="B19" s="151">
        <f>B18-B17</f>
        <v>0</v>
      </c>
      <c r="S19" s="18"/>
    </row>
    <row r="20" spans="1:19" ht="15" x14ac:dyDescent="0.25">
      <c r="A20" s="88" t="s">
        <v>114</v>
      </c>
      <c r="B20" s="151">
        <f>IFERROR(B19/B17,0)</f>
        <v>0</v>
      </c>
      <c r="S20" s="18"/>
    </row>
    <row r="21" spans="1:19" ht="15" x14ac:dyDescent="0.25">
      <c r="A21" s="88" t="s">
        <v>113</v>
      </c>
      <c r="B21" s="151">
        <f>B20+1</f>
        <v>1</v>
      </c>
      <c r="S21" s="18"/>
    </row>
    <row r="22" spans="1:19" x14ac:dyDescent="0.2">
      <c r="A22" s="17"/>
      <c r="S22" s="18"/>
    </row>
    <row r="23" spans="1:19" x14ac:dyDescent="0.2">
      <c r="A23" s="17" t="s">
        <v>57</v>
      </c>
      <c r="C23" s="50"/>
      <c r="S23" s="18"/>
    </row>
    <row r="24" spans="1:19" x14ac:dyDescent="0.2">
      <c r="A24" s="17" t="s">
        <v>58</v>
      </c>
      <c r="C24" s="51"/>
      <c r="J24" s="52"/>
      <c r="S24" s="18"/>
    </row>
    <row r="25" spans="1:19" ht="15" thickBot="1" x14ac:dyDescent="0.25">
      <c r="A25" s="53" t="s">
        <v>59</v>
      </c>
      <c r="B25" s="54"/>
      <c r="C25" s="54"/>
      <c r="D25" s="54"/>
      <c r="E25" s="54"/>
      <c r="F25" s="54"/>
      <c r="G25" s="54"/>
      <c r="H25" s="55"/>
      <c r="I25" s="54"/>
      <c r="J25" s="55"/>
      <c r="K25" s="54"/>
      <c r="L25" s="55"/>
      <c r="M25" s="54"/>
      <c r="N25" s="55"/>
      <c r="O25" s="54"/>
      <c r="P25" s="55"/>
      <c r="Q25" s="54"/>
      <c r="R25" s="55"/>
      <c r="S25" s="56"/>
    </row>
  </sheetData>
  <mergeCells count="22">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s>
  <pageMargins left="0.25" right="0.25" top="0.25" bottom="0.25" header="0.3" footer="0.3"/>
  <pageSetup scale="41" orientation="landscape" r:id="rId1"/>
  <headerFooter>
    <oddFooter>&amp;RPage &amp;P of &amp;N</oddFooter>
  </headerFooter>
  <rowBreaks count="1" manualBreakCount="1">
    <brk id="2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pageSetUpPr fitToPage="1"/>
  </sheetPr>
  <dimension ref="A1:Z33"/>
  <sheetViews>
    <sheetView topLeftCell="D2" zoomScale="70" zoomScaleNormal="70" workbookViewId="0">
      <selection activeCell="H10" sqref="H10"/>
    </sheetView>
  </sheetViews>
  <sheetFormatPr defaultColWidth="9.42578125" defaultRowHeight="14.25" x14ac:dyDescent="0.2"/>
  <cols>
    <col min="1" max="1" width="46.85546875" style="2" customWidth="1"/>
    <col min="2" max="2" width="11.5703125" style="2" customWidth="1"/>
    <col min="3" max="3" width="23.42578125" style="2" customWidth="1"/>
    <col min="4" max="4" width="21.5703125" style="2" customWidth="1"/>
    <col min="5" max="8" width="12.5703125" style="2" customWidth="1"/>
    <col min="9" max="9" width="27.42578125" style="2" customWidth="1"/>
    <col min="10" max="10" width="21.5703125" style="2" customWidth="1"/>
    <col min="11" max="11" width="18" style="2" customWidth="1"/>
    <col min="12" max="12" width="17.42578125" style="2" customWidth="1"/>
    <col min="13" max="13" width="24.42578125" style="2" customWidth="1"/>
    <col min="14" max="14" width="12.5703125" style="2" customWidth="1"/>
    <col min="15" max="15" width="16.42578125" style="2" bestFit="1" customWidth="1"/>
    <col min="16" max="16" width="26.42578125" style="2" customWidth="1"/>
    <col min="17" max="17" width="12.5703125" style="2" customWidth="1"/>
    <col min="18" max="18" width="16.42578125" style="2" bestFit="1" customWidth="1"/>
    <col min="19" max="19" width="20.5703125" style="2" customWidth="1"/>
    <col min="20" max="20" width="12.5703125" style="2" customWidth="1"/>
    <col min="21" max="21" width="19.42578125" style="2" bestFit="1" customWidth="1"/>
    <col min="22" max="22" width="23.42578125" style="2" bestFit="1" customWidth="1"/>
    <col min="23" max="23" width="12.5703125" style="2" customWidth="1"/>
    <col min="24" max="24" width="16.42578125" style="2" bestFit="1" customWidth="1"/>
    <col min="25" max="25" width="21.42578125" style="2" customWidth="1"/>
    <col min="26" max="16384" width="9.42578125" style="2"/>
  </cols>
  <sheetData>
    <row r="1" spans="1:26" ht="35.25" customHeight="1" x14ac:dyDescent="0.25">
      <c r="A1" s="222" t="s">
        <v>79</v>
      </c>
      <c r="B1" s="233"/>
      <c r="C1" s="233"/>
      <c r="D1" s="233"/>
      <c r="E1" s="233"/>
      <c r="F1" s="233"/>
      <c r="G1" s="233"/>
      <c r="H1" s="233"/>
      <c r="I1" s="233"/>
      <c r="J1" s="233"/>
      <c r="K1" s="233"/>
      <c r="L1" s="233"/>
      <c r="M1" s="233"/>
      <c r="N1" s="233"/>
      <c r="O1" s="233"/>
      <c r="P1" s="233"/>
      <c r="Q1" s="233"/>
      <c r="R1" s="233"/>
      <c r="S1" s="233"/>
    </row>
    <row r="2" spans="1:26" x14ac:dyDescent="0.2">
      <c r="A2" s="57"/>
    </row>
    <row r="3" spans="1:26" ht="15" thickBot="1" x14ac:dyDescent="0.25"/>
    <row r="4" spans="1:26" ht="15" x14ac:dyDescent="0.25">
      <c r="A4" s="223" t="s">
        <v>190</v>
      </c>
      <c r="B4" s="224"/>
      <c r="C4" s="224"/>
      <c r="D4" s="224"/>
      <c r="E4" s="224"/>
      <c r="F4" s="224"/>
      <c r="G4" s="224"/>
      <c r="H4" s="224"/>
      <c r="I4" s="224"/>
      <c r="J4" s="224"/>
      <c r="K4" s="224"/>
      <c r="L4" s="224"/>
      <c r="M4" s="224"/>
      <c r="N4" s="224"/>
      <c r="O4" s="224"/>
      <c r="P4" s="224"/>
      <c r="Q4" s="224"/>
      <c r="R4" s="224"/>
      <c r="S4" s="224"/>
      <c r="T4" s="224"/>
      <c r="U4" s="224"/>
      <c r="V4" s="224"/>
      <c r="W4" s="224"/>
      <c r="X4" s="224"/>
      <c r="Y4" s="225"/>
    </row>
    <row r="5" spans="1:26" x14ac:dyDescent="0.2">
      <c r="A5" s="17"/>
      <c r="Y5" s="18"/>
    </row>
    <row r="6" spans="1:26" ht="15" x14ac:dyDescent="0.25">
      <c r="A6" s="17"/>
      <c r="B6" s="68" t="s">
        <v>31</v>
      </c>
      <c r="C6" s="226" t="s">
        <v>32</v>
      </c>
      <c r="D6" s="227"/>
      <c r="E6" s="226" t="s">
        <v>33</v>
      </c>
      <c r="F6" s="228"/>
      <c r="G6" s="227"/>
      <c r="H6" s="226" t="s">
        <v>34</v>
      </c>
      <c r="I6" s="228"/>
      <c r="J6" s="227"/>
      <c r="K6" s="226" t="s">
        <v>35</v>
      </c>
      <c r="L6" s="228"/>
      <c r="M6" s="227"/>
      <c r="N6" s="226" t="s">
        <v>36</v>
      </c>
      <c r="O6" s="228"/>
      <c r="P6" s="227"/>
      <c r="Q6" s="226" t="s">
        <v>37</v>
      </c>
      <c r="R6" s="228"/>
      <c r="S6" s="227"/>
      <c r="T6" s="226" t="s">
        <v>38</v>
      </c>
      <c r="U6" s="228"/>
      <c r="V6" s="227"/>
      <c r="W6" s="226" t="s">
        <v>39</v>
      </c>
      <c r="X6" s="228"/>
      <c r="Y6" s="229"/>
    </row>
    <row r="7" spans="1:26" ht="15" hidden="1" x14ac:dyDescent="0.25">
      <c r="A7" s="17"/>
      <c r="B7" s="68" t="s">
        <v>40</v>
      </c>
      <c r="C7" s="19"/>
      <c r="D7" s="79"/>
      <c r="E7" s="20" t="s">
        <v>41</v>
      </c>
      <c r="G7" s="21"/>
      <c r="H7" s="20" t="s">
        <v>42</v>
      </c>
      <c r="J7" s="21"/>
      <c r="K7" s="20" t="s">
        <v>43</v>
      </c>
      <c r="M7" s="21"/>
      <c r="N7" s="20" t="s">
        <v>44</v>
      </c>
      <c r="P7" s="21"/>
      <c r="Q7" s="20" t="s">
        <v>45</v>
      </c>
      <c r="S7" s="21"/>
      <c r="T7" s="20" t="s">
        <v>46</v>
      </c>
      <c r="V7" s="21"/>
      <c r="W7" s="20" t="s">
        <v>47</v>
      </c>
      <c r="Y7" s="18"/>
    </row>
    <row r="8" spans="1:26" s="29" customFormat="1" ht="15" x14ac:dyDescent="0.25">
      <c r="A8" s="22"/>
      <c r="B8" s="68" t="s">
        <v>48</v>
      </c>
      <c r="C8" s="23">
        <v>0</v>
      </c>
      <c r="D8" s="24">
        <v>25000</v>
      </c>
      <c r="E8" s="25">
        <v>0</v>
      </c>
      <c r="F8" s="26"/>
      <c r="G8" s="27">
        <v>25000</v>
      </c>
      <c r="H8" s="25">
        <v>25001</v>
      </c>
      <c r="I8" s="26"/>
      <c r="J8" s="27">
        <v>75000</v>
      </c>
      <c r="K8" s="25">
        <v>75001</v>
      </c>
      <c r="L8" s="26"/>
      <c r="M8" s="27">
        <v>125000</v>
      </c>
      <c r="N8" s="25">
        <v>125001</v>
      </c>
      <c r="O8" s="26"/>
      <c r="P8" s="27">
        <v>175000</v>
      </c>
      <c r="Q8" s="25">
        <v>175001</v>
      </c>
      <c r="R8" s="26"/>
      <c r="S8" s="27">
        <v>225000</v>
      </c>
      <c r="T8" s="25">
        <v>225001</v>
      </c>
      <c r="U8" s="26"/>
      <c r="V8" s="27">
        <v>275000</v>
      </c>
      <c r="W8" s="25">
        <v>275001</v>
      </c>
      <c r="X8" s="26"/>
      <c r="Y8" s="28">
        <f>W8+49999</f>
        <v>325000</v>
      </c>
    </row>
    <row r="9" spans="1:26" s="33" customFormat="1" ht="15" x14ac:dyDescent="0.25">
      <c r="A9" s="30"/>
      <c r="B9" s="31" t="s">
        <v>49</v>
      </c>
      <c r="C9" s="32"/>
      <c r="D9" s="80"/>
      <c r="E9" s="219" t="s">
        <v>50</v>
      </c>
      <c r="F9" s="220"/>
      <c r="G9" s="221"/>
      <c r="H9" s="206">
        <v>0</v>
      </c>
      <c r="I9" s="232"/>
      <c r="J9" s="216"/>
      <c r="K9" s="206">
        <v>0</v>
      </c>
      <c r="L9" s="232"/>
      <c r="M9" s="216"/>
      <c r="N9" s="206">
        <v>0</v>
      </c>
      <c r="O9" s="232"/>
      <c r="P9" s="216"/>
      <c r="Q9" s="206">
        <v>0</v>
      </c>
      <c r="R9" s="232"/>
      <c r="S9" s="216"/>
      <c r="T9" s="206">
        <v>0</v>
      </c>
      <c r="U9" s="232"/>
      <c r="V9" s="216"/>
      <c r="W9" s="206">
        <v>0</v>
      </c>
      <c r="X9" s="232"/>
      <c r="Y9" s="207"/>
    </row>
    <row r="10" spans="1:26" s="16" customFormat="1" ht="24.75" x14ac:dyDescent="0.25">
      <c r="A10" s="34" t="s">
        <v>60</v>
      </c>
      <c r="C10" s="71" t="s">
        <v>61</v>
      </c>
      <c r="D10" s="72" t="s">
        <v>62</v>
      </c>
      <c r="E10" s="71" t="s">
        <v>52</v>
      </c>
      <c r="F10" s="35" t="s">
        <v>53</v>
      </c>
      <c r="G10" s="72" t="s">
        <v>54</v>
      </c>
      <c r="H10" s="71" t="s">
        <v>52</v>
      </c>
      <c r="I10" s="35" t="s">
        <v>53</v>
      </c>
      <c r="J10" s="72" t="s">
        <v>54</v>
      </c>
      <c r="K10" s="71" t="s">
        <v>52</v>
      </c>
      <c r="L10" s="35" t="s">
        <v>53</v>
      </c>
      <c r="M10" s="72" t="s">
        <v>54</v>
      </c>
      <c r="N10" s="71" t="s">
        <v>52</v>
      </c>
      <c r="O10" s="35" t="s">
        <v>53</v>
      </c>
      <c r="P10" s="72" t="s">
        <v>54</v>
      </c>
      <c r="Q10" s="58"/>
      <c r="R10" s="35" t="s">
        <v>53</v>
      </c>
      <c r="S10" s="72" t="s">
        <v>54</v>
      </c>
      <c r="T10" s="71" t="s">
        <v>52</v>
      </c>
      <c r="U10" s="35" t="s">
        <v>53</v>
      </c>
      <c r="V10" s="72" t="s">
        <v>54</v>
      </c>
      <c r="W10" s="71" t="s">
        <v>52</v>
      </c>
      <c r="X10" s="35" t="s">
        <v>53</v>
      </c>
      <c r="Y10" s="37" t="s">
        <v>54</v>
      </c>
    </row>
    <row r="11" spans="1:26" x14ac:dyDescent="0.2">
      <c r="A11" s="230" t="s">
        <v>63</v>
      </c>
      <c r="B11" s="231"/>
      <c r="C11" s="59">
        <f>(0)*B29</f>
        <v>0</v>
      </c>
      <c r="D11" s="42">
        <f>C11*12</f>
        <v>0</v>
      </c>
      <c r="E11" s="38" t="s">
        <v>56</v>
      </c>
      <c r="F11" s="38" t="s">
        <v>56</v>
      </c>
      <c r="G11" s="38" t="s">
        <v>56</v>
      </c>
      <c r="H11" s="60">
        <f>ROUND(C32*H$33,4)</f>
        <v>0</v>
      </c>
      <c r="I11" s="49">
        <f t="shared" ref="I11:I19" si="0">MAX(ROUND((H$9-25000)*H11,2),0)</f>
        <v>0</v>
      </c>
      <c r="J11" s="42">
        <f>I11*12</f>
        <v>0</v>
      </c>
      <c r="K11" s="60">
        <f>ROUND(H11*K$33,4)</f>
        <v>0</v>
      </c>
      <c r="L11" s="49">
        <f t="shared" ref="L11:L19" si="1">MAX(ROUND((K$9-25000)*K11,2),0)</f>
        <v>0</v>
      </c>
      <c r="M11" s="42">
        <f>L11*12</f>
        <v>0</v>
      </c>
      <c r="N11" s="60">
        <f>ROUND(K11*N$33,4)</f>
        <v>0</v>
      </c>
      <c r="O11" s="49">
        <f t="shared" ref="O11:O19" si="2">MAX(ROUND((N$9-25000)*N11,2),0)</f>
        <v>0</v>
      </c>
      <c r="P11" s="42">
        <f>O11*12</f>
        <v>0</v>
      </c>
      <c r="Q11" s="60">
        <f>ROUND(N11*Q$33,4)</f>
        <v>0</v>
      </c>
      <c r="R11" s="49">
        <f t="shared" ref="R11:R19" si="3">MAX(ROUND((Q$9-25000)*Q11,2),0)</f>
        <v>0</v>
      </c>
      <c r="S11" s="42">
        <f>R11*12</f>
        <v>0</v>
      </c>
      <c r="T11" s="60">
        <f>ROUND(Q11*T$33,4)</f>
        <v>0</v>
      </c>
      <c r="U11" s="49">
        <f t="shared" ref="U11:U19" si="4">MAX(ROUND((T$9-25000)*T11,2),0)</f>
        <v>0</v>
      </c>
      <c r="V11" s="42">
        <f>U11*12</f>
        <v>0</v>
      </c>
      <c r="W11" s="60">
        <f>ROUND(T11*W$33,4)</f>
        <v>0</v>
      </c>
      <c r="X11" s="49">
        <f t="shared" ref="X11:X19" si="5">MAX(ROUND((W$9-25000)*W11,2),0)</f>
        <v>0</v>
      </c>
      <c r="Y11" s="43">
        <f>X11*12</f>
        <v>0</v>
      </c>
      <c r="Z11" s="16"/>
    </row>
    <row r="12" spans="1:26" x14ac:dyDescent="0.2">
      <c r="A12" s="230" t="s">
        <v>64</v>
      </c>
      <c r="B12" s="231"/>
      <c r="C12" s="59">
        <f>ROUND(C11*(1+$C$31),2)</f>
        <v>0</v>
      </c>
      <c r="D12" s="42">
        <f>C12*12</f>
        <v>0</v>
      </c>
      <c r="E12" s="38" t="s">
        <v>56</v>
      </c>
      <c r="F12" s="38" t="s">
        <v>56</v>
      </c>
      <c r="G12" s="38" t="s">
        <v>56</v>
      </c>
      <c r="H12" s="61">
        <f>ROUND(H11*(1+$C$31),4)</f>
        <v>0</v>
      </c>
      <c r="I12" s="49">
        <f t="shared" si="0"/>
        <v>0</v>
      </c>
      <c r="J12" s="42">
        <f t="shared" ref="J12:J19" si="6">I12*12</f>
        <v>0</v>
      </c>
      <c r="K12" s="61">
        <f>ROUND(K11*(1+$C$31),4)</f>
        <v>0</v>
      </c>
      <c r="L12" s="49">
        <f t="shared" si="1"/>
        <v>0</v>
      </c>
      <c r="M12" s="42">
        <f t="shared" ref="M12:M19" si="7">L12*12</f>
        <v>0</v>
      </c>
      <c r="N12" s="61">
        <f>ROUND(N11*(1+$C$31),4)</f>
        <v>0</v>
      </c>
      <c r="O12" s="49">
        <f t="shared" si="2"/>
        <v>0</v>
      </c>
      <c r="P12" s="42">
        <f t="shared" ref="P12:P19" si="8">O12*12</f>
        <v>0</v>
      </c>
      <c r="Q12" s="61">
        <f>ROUND(Q11*(1+$C$31),4)</f>
        <v>0</v>
      </c>
      <c r="R12" s="49">
        <f t="shared" si="3"/>
        <v>0</v>
      </c>
      <c r="S12" s="42">
        <f t="shared" ref="S12:S19" si="9">R12*12</f>
        <v>0</v>
      </c>
      <c r="T12" s="61">
        <f>ROUND(T11*(1+$C$31),4)</f>
        <v>0</v>
      </c>
      <c r="U12" s="49">
        <f t="shared" si="4"/>
        <v>0</v>
      </c>
      <c r="V12" s="42">
        <f t="shared" ref="V12:V19" si="10">U12*12</f>
        <v>0</v>
      </c>
      <c r="W12" s="61">
        <f>ROUND(W11*(1+$C$31),4)</f>
        <v>0</v>
      </c>
      <c r="X12" s="49">
        <f t="shared" si="5"/>
        <v>0</v>
      </c>
      <c r="Y12" s="43">
        <f t="shared" ref="Y12:Y19" si="11">X12*12</f>
        <v>0</v>
      </c>
    </row>
    <row r="13" spans="1:26" x14ac:dyDescent="0.2">
      <c r="A13" s="230" t="s">
        <v>65</v>
      </c>
      <c r="B13" s="231"/>
      <c r="C13" s="59">
        <f t="shared" ref="C13:C19" si="12">ROUND(C12*(1+$C$31),2)</f>
        <v>0</v>
      </c>
      <c r="D13" s="42">
        <f t="shared" ref="D13:D19" si="13">C13*12</f>
        <v>0</v>
      </c>
      <c r="E13" s="38" t="s">
        <v>56</v>
      </c>
      <c r="F13" s="38" t="s">
        <v>56</v>
      </c>
      <c r="G13" s="38" t="s">
        <v>56</v>
      </c>
      <c r="H13" s="61">
        <f>ROUND(H12*(1+$C$31),4)</f>
        <v>0</v>
      </c>
      <c r="I13" s="49">
        <f t="shared" si="0"/>
        <v>0</v>
      </c>
      <c r="J13" s="42">
        <f t="shared" si="6"/>
        <v>0</v>
      </c>
      <c r="K13" s="61">
        <f t="shared" ref="K13:K18" si="14">ROUND(K12*(1+$C$31),4)</f>
        <v>0</v>
      </c>
      <c r="L13" s="49">
        <f t="shared" si="1"/>
        <v>0</v>
      </c>
      <c r="M13" s="42">
        <f t="shared" si="7"/>
        <v>0</v>
      </c>
      <c r="N13" s="61">
        <f>ROUND(N12*(1+$C$31),4)</f>
        <v>0</v>
      </c>
      <c r="O13" s="49">
        <f t="shared" si="2"/>
        <v>0</v>
      </c>
      <c r="P13" s="42">
        <f t="shared" si="8"/>
        <v>0</v>
      </c>
      <c r="Q13" s="61">
        <f t="shared" ref="Q13:Q19" si="15">ROUND(Q12*(1+$C$31),4)</f>
        <v>0</v>
      </c>
      <c r="R13" s="49">
        <f t="shared" si="3"/>
        <v>0</v>
      </c>
      <c r="S13" s="42">
        <f t="shared" si="9"/>
        <v>0</v>
      </c>
      <c r="T13" s="61">
        <f t="shared" ref="T13:T18" si="16">ROUND(T12*(1+$C$31),4)</f>
        <v>0</v>
      </c>
      <c r="U13" s="49">
        <f t="shared" si="4"/>
        <v>0</v>
      </c>
      <c r="V13" s="42">
        <f t="shared" si="10"/>
        <v>0</v>
      </c>
      <c r="W13" s="61">
        <f t="shared" ref="W13:W18" si="17">ROUND(W12*(1+$C$31),4)</f>
        <v>0</v>
      </c>
      <c r="X13" s="49">
        <f t="shared" si="5"/>
        <v>0</v>
      </c>
      <c r="Y13" s="43">
        <f t="shared" si="11"/>
        <v>0</v>
      </c>
    </row>
    <row r="14" spans="1:26" x14ac:dyDescent="0.2">
      <c r="A14" s="230" t="s">
        <v>66</v>
      </c>
      <c r="B14" s="231"/>
      <c r="C14" s="59">
        <f t="shared" si="12"/>
        <v>0</v>
      </c>
      <c r="D14" s="42">
        <f t="shared" si="13"/>
        <v>0</v>
      </c>
      <c r="E14" s="38" t="s">
        <v>56</v>
      </c>
      <c r="F14" s="38" t="s">
        <v>56</v>
      </c>
      <c r="G14" s="38" t="s">
        <v>56</v>
      </c>
      <c r="H14" s="61">
        <f t="shared" ref="H14:H19" si="18">ROUND(H13*(1+$C$31),4)</f>
        <v>0</v>
      </c>
      <c r="I14" s="49">
        <f t="shared" si="0"/>
        <v>0</v>
      </c>
      <c r="J14" s="42">
        <f t="shared" si="6"/>
        <v>0</v>
      </c>
      <c r="K14" s="61">
        <f t="shared" si="14"/>
        <v>0</v>
      </c>
      <c r="L14" s="49">
        <f t="shared" si="1"/>
        <v>0</v>
      </c>
      <c r="M14" s="42">
        <f t="shared" si="7"/>
        <v>0</v>
      </c>
      <c r="N14" s="61">
        <f t="shared" ref="N14:N18" si="19">ROUND(N13*(1+$C$31),4)</f>
        <v>0</v>
      </c>
      <c r="O14" s="49">
        <f t="shared" si="2"/>
        <v>0</v>
      </c>
      <c r="P14" s="42">
        <f t="shared" si="8"/>
        <v>0</v>
      </c>
      <c r="Q14" s="61">
        <f>ROUND(Q13*(1+$C$31),4)</f>
        <v>0</v>
      </c>
      <c r="R14" s="49">
        <f t="shared" si="3"/>
        <v>0</v>
      </c>
      <c r="S14" s="42">
        <f t="shared" si="9"/>
        <v>0</v>
      </c>
      <c r="T14" s="61">
        <f t="shared" si="16"/>
        <v>0</v>
      </c>
      <c r="U14" s="49">
        <f t="shared" si="4"/>
        <v>0</v>
      </c>
      <c r="V14" s="42">
        <f t="shared" si="10"/>
        <v>0</v>
      </c>
      <c r="W14" s="61">
        <f t="shared" si="17"/>
        <v>0</v>
      </c>
      <c r="X14" s="49">
        <f t="shared" si="5"/>
        <v>0</v>
      </c>
      <c r="Y14" s="43">
        <f t="shared" si="11"/>
        <v>0</v>
      </c>
    </row>
    <row r="15" spans="1:26" x14ac:dyDescent="0.2">
      <c r="A15" s="230" t="s">
        <v>67</v>
      </c>
      <c r="B15" s="231"/>
      <c r="C15" s="59">
        <f t="shared" si="12"/>
        <v>0</v>
      </c>
      <c r="D15" s="42">
        <f t="shared" si="13"/>
        <v>0</v>
      </c>
      <c r="E15" s="38" t="s">
        <v>56</v>
      </c>
      <c r="F15" s="38" t="s">
        <v>56</v>
      </c>
      <c r="G15" s="38" t="s">
        <v>56</v>
      </c>
      <c r="H15" s="61">
        <f t="shared" si="18"/>
        <v>0</v>
      </c>
      <c r="I15" s="49">
        <f t="shared" si="0"/>
        <v>0</v>
      </c>
      <c r="J15" s="42">
        <f t="shared" si="6"/>
        <v>0</v>
      </c>
      <c r="K15" s="61">
        <f t="shared" si="14"/>
        <v>0</v>
      </c>
      <c r="L15" s="49">
        <f t="shared" si="1"/>
        <v>0</v>
      </c>
      <c r="M15" s="42">
        <f t="shared" si="7"/>
        <v>0</v>
      </c>
      <c r="N15" s="61">
        <f t="shared" si="19"/>
        <v>0</v>
      </c>
      <c r="O15" s="49">
        <f t="shared" si="2"/>
        <v>0</v>
      </c>
      <c r="P15" s="42">
        <f t="shared" si="8"/>
        <v>0</v>
      </c>
      <c r="Q15" s="61">
        <f t="shared" si="15"/>
        <v>0</v>
      </c>
      <c r="R15" s="49">
        <f t="shared" si="3"/>
        <v>0</v>
      </c>
      <c r="S15" s="42">
        <f t="shared" si="9"/>
        <v>0</v>
      </c>
      <c r="T15" s="61">
        <f t="shared" si="16"/>
        <v>0</v>
      </c>
      <c r="U15" s="49">
        <f t="shared" si="4"/>
        <v>0</v>
      </c>
      <c r="V15" s="42">
        <f t="shared" si="10"/>
        <v>0</v>
      </c>
      <c r="W15" s="61">
        <f>ROUND(W14*(1+$C$31),4)</f>
        <v>0</v>
      </c>
      <c r="X15" s="49">
        <f t="shared" si="5"/>
        <v>0</v>
      </c>
      <c r="Y15" s="43">
        <f t="shared" si="11"/>
        <v>0</v>
      </c>
    </row>
    <row r="16" spans="1:26" x14ac:dyDescent="0.2">
      <c r="A16" s="230" t="s">
        <v>68</v>
      </c>
      <c r="B16" s="231"/>
      <c r="C16" s="59">
        <f t="shared" si="12"/>
        <v>0</v>
      </c>
      <c r="D16" s="42">
        <f t="shared" si="13"/>
        <v>0</v>
      </c>
      <c r="E16" s="38" t="s">
        <v>56</v>
      </c>
      <c r="F16" s="38" t="s">
        <v>56</v>
      </c>
      <c r="G16" s="38" t="s">
        <v>56</v>
      </c>
      <c r="H16" s="61">
        <f t="shared" si="18"/>
        <v>0</v>
      </c>
      <c r="I16" s="49">
        <f t="shared" si="0"/>
        <v>0</v>
      </c>
      <c r="J16" s="42">
        <f t="shared" si="6"/>
        <v>0</v>
      </c>
      <c r="K16" s="61">
        <f>ROUND(K15*(1+$C$31),4)</f>
        <v>0</v>
      </c>
      <c r="L16" s="49">
        <f t="shared" si="1"/>
        <v>0</v>
      </c>
      <c r="M16" s="42">
        <f t="shared" si="7"/>
        <v>0</v>
      </c>
      <c r="N16" s="61">
        <f t="shared" si="19"/>
        <v>0</v>
      </c>
      <c r="O16" s="49">
        <f t="shared" si="2"/>
        <v>0</v>
      </c>
      <c r="P16" s="42">
        <f t="shared" si="8"/>
        <v>0</v>
      </c>
      <c r="Q16" s="61">
        <f t="shared" si="15"/>
        <v>0</v>
      </c>
      <c r="R16" s="49">
        <f t="shared" si="3"/>
        <v>0</v>
      </c>
      <c r="S16" s="42">
        <f t="shared" si="9"/>
        <v>0</v>
      </c>
      <c r="T16" s="61">
        <f t="shared" si="16"/>
        <v>0</v>
      </c>
      <c r="U16" s="49">
        <f t="shared" si="4"/>
        <v>0</v>
      </c>
      <c r="V16" s="42">
        <f t="shared" si="10"/>
        <v>0</v>
      </c>
      <c r="W16" s="61">
        <f t="shared" si="17"/>
        <v>0</v>
      </c>
      <c r="X16" s="49">
        <f t="shared" si="5"/>
        <v>0</v>
      </c>
      <c r="Y16" s="43">
        <f t="shared" si="11"/>
        <v>0</v>
      </c>
    </row>
    <row r="17" spans="1:25" x14ac:dyDescent="0.2">
      <c r="A17" s="230" t="s">
        <v>69</v>
      </c>
      <c r="B17" s="231"/>
      <c r="C17" s="59">
        <f t="shared" si="12"/>
        <v>0</v>
      </c>
      <c r="D17" s="42">
        <f t="shared" si="13"/>
        <v>0</v>
      </c>
      <c r="E17" s="38" t="s">
        <v>56</v>
      </c>
      <c r="F17" s="38" t="s">
        <v>56</v>
      </c>
      <c r="G17" s="38" t="s">
        <v>56</v>
      </c>
      <c r="H17" s="61">
        <f t="shared" si="18"/>
        <v>0</v>
      </c>
      <c r="I17" s="49">
        <f t="shared" si="0"/>
        <v>0</v>
      </c>
      <c r="J17" s="42">
        <f t="shared" si="6"/>
        <v>0</v>
      </c>
      <c r="K17" s="61">
        <f t="shared" si="14"/>
        <v>0</v>
      </c>
      <c r="L17" s="49">
        <f t="shared" si="1"/>
        <v>0</v>
      </c>
      <c r="M17" s="42">
        <f t="shared" si="7"/>
        <v>0</v>
      </c>
      <c r="N17" s="61">
        <f t="shared" si="19"/>
        <v>0</v>
      </c>
      <c r="O17" s="49">
        <f t="shared" si="2"/>
        <v>0</v>
      </c>
      <c r="P17" s="42">
        <f t="shared" si="8"/>
        <v>0</v>
      </c>
      <c r="Q17" s="61">
        <f t="shared" si="15"/>
        <v>0</v>
      </c>
      <c r="R17" s="49">
        <f t="shared" si="3"/>
        <v>0</v>
      </c>
      <c r="S17" s="42">
        <f t="shared" si="9"/>
        <v>0</v>
      </c>
      <c r="T17" s="61">
        <f t="shared" si="16"/>
        <v>0</v>
      </c>
      <c r="U17" s="49">
        <f t="shared" si="4"/>
        <v>0</v>
      </c>
      <c r="V17" s="42">
        <f t="shared" si="10"/>
        <v>0</v>
      </c>
      <c r="W17" s="61">
        <f t="shared" si="17"/>
        <v>0</v>
      </c>
      <c r="X17" s="49">
        <f t="shared" si="5"/>
        <v>0</v>
      </c>
      <c r="Y17" s="43">
        <f t="shared" si="11"/>
        <v>0</v>
      </c>
    </row>
    <row r="18" spans="1:25" x14ac:dyDescent="0.2">
      <c r="A18" s="230" t="s">
        <v>70</v>
      </c>
      <c r="B18" s="231"/>
      <c r="C18" s="59">
        <f t="shared" si="12"/>
        <v>0</v>
      </c>
      <c r="D18" s="42">
        <f t="shared" si="13"/>
        <v>0</v>
      </c>
      <c r="E18" s="38" t="s">
        <v>56</v>
      </c>
      <c r="F18" s="38" t="s">
        <v>56</v>
      </c>
      <c r="G18" s="38" t="s">
        <v>56</v>
      </c>
      <c r="H18" s="61">
        <f t="shared" si="18"/>
        <v>0</v>
      </c>
      <c r="I18" s="49">
        <f t="shared" si="0"/>
        <v>0</v>
      </c>
      <c r="J18" s="42">
        <f t="shared" si="6"/>
        <v>0</v>
      </c>
      <c r="K18" s="61">
        <f t="shared" si="14"/>
        <v>0</v>
      </c>
      <c r="L18" s="49">
        <f t="shared" si="1"/>
        <v>0</v>
      </c>
      <c r="M18" s="42">
        <f t="shared" si="7"/>
        <v>0</v>
      </c>
      <c r="N18" s="61">
        <f t="shared" si="19"/>
        <v>0</v>
      </c>
      <c r="O18" s="49">
        <f t="shared" si="2"/>
        <v>0</v>
      </c>
      <c r="P18" s="42">
        <f t="shared" si="8"/>
        <v>0</v>
      </c>
      <c r="Q18" s="61">
        <f t="shared" si="15"/>
        <v>0</v>
      </c>
      <c r="R18" s="49">
        <f t="shared" si="3"/>
        <v>0</v>
      </c>
      <c r="S18" s="42">
        <f t="shared" si="9"/>
        <v>0</v>
      </c>
      <c r="T18" s="61">
        <f t="shared" si="16"/>
        <v>0</v>
      </c>
      <c r="U18" s="49">
        <f t="shared" si="4"/>
        <v>0</v>
      </c>
      <c r="V18" s="42">
        <f t="shared" si="10"/>
        <v>0</v>
      </c>
      <c r="W18" s="61">
        <f t="shared" si="17"/>
        <v>0</v>
      </c>
      <c r="X18" s="49">
        <f t="shared" si="5"/>
        <v>0</v>
      </c>
      <c r="Y18" s="43">
        <f t="shared" si="11"/>
        <v>0</v>
      </c>
    </row>
    <row r="19" spans="1:25" x14ac:dyDescent="0.2">
      <c r="A19" s="230" t="s">
        <v>71</v>
      </c>
      <c r="B19" s="231"/>
      <c r="C19" s="59">
        <f t="shared" si="12"/>
        <v>0</v>
      </c>
      <c r="D19" s="42">
        <f t="shared" si="13"/>
        <v>0</v>
      </c>
      <c r="E19" s="38" t="s">
        <v>56</v>
      </c>
      <c r="F19" s="38" t="s">
        <v>56</v>
      </c>
      <c r="G19" s="38" t="s">
        <v>56</v>
      </c>
      <c r="H19" s="61">
        <f t="shared" si="18"/>
        <v>0</v>
      </c>
      <c r="I19" s="49">
        <f t="shared" si="0"/>
        <v>0</v>
      </c>
      <c r="J19" s="42">
        <f t="shared" si="6"/>
        <v>0</v>
      </c>
      <c r="K19" s="61">
        <f>ROUND(K18*(1+$C$31),4)</f>
        <v>0</v>
      </c>
      <c r="L19" s="49">
        <f t="shared" si="1"/>
        <v>0</v>
      </c>
      <c r="M19" s="42">
        <f t="shared" si="7"/>
        <v>0</v>
      </c>
      <c r="N19" s="61">
        <f>ROUND(N18*(1+$C$31),4)</f>
        <v>0</v>
      </c>
      <c r="O19" s="49">
        <f t="shared" si="2"/>
        <v>0</v>
      </c>
      <c r="P19" s="42">
        <f t="shared" si="8"/>
        <v>0</v>
      </c>
      <c r="Q19" s="61">
        <f t="shared" si="15"/>
        <v>0</v>
      </c>
      <c r="R19" s="49">
        <f t="shared" si="3"/>
        <v>0</v>
      </c>
      <c r="S19" s="42">
        <f t="shared" si="9"/>
        <v>0</v>
      </c>
      <c r="T19" s="61">
        <f>ROUND(T18*(1+$C$31),4)</f>
        <v>0</v>
      </c>
      <c r="U19" s="49">
        <f t="shared" si="4"/>
        <v>0</v>
      </c>
      <c r="V19" s="42">
        <f t="shared" si="10"/>
        <v>0</v>
      </c>
      <c r="W19" s="61">
        <f>ROUND(W18*(1+$C$31),4)</f>
        <v>0</v>
      </c>
      <c r="X19" s="49">
        <f t="shared" si="5"/>
        <v>0</v>
      </c>
      <c r="Y19" s="43">
        <f t="shared" si="11"/>
        <v>0</v>
      </c>
    </row>
    <row r="20" spans="1:25" s="48" customFormat="1" ht="15" x14ac:dyDescent="0.25">
      <c r="A20" s="212" t="s">
        <v>191</v>
      </c>
      <c r="B20" s="213"/>
      <c r="C20" s="62"/>
      <c r="D20" s="63">
        <f>SUM(D11:D19)</f>
        <v>0</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5" thickBot="1" x14ac:dyDescent="0.25">
      <c r="A21" s="17"/>
      <c r="Y21" s="18"/>
    </row>
    <row r="22" spans="1:25" ht="15.75" thickBot="1" x14ac:dyDescent="0.3">
      <c r="A22" s="217" t="s">
        <v>192</v>
      </c>
      <c r="B22" s="218"/>
      <c r="C22" s="86">
        <f>SUM(E20:Y20)+D20</f>
        <v>0</v>
      </c>
      <c r="D22" s="68"/>
      <c r="E22" s="49"/>
      <c r="V22" s="33"/>
      <c r="Y22" s="18"/>
    </row>
    <row r="23" spans="1:25" x14ac:dyDescent="0.2">
      <c r="A23" s="17"/>
      <c r="K23" s="64"/>
      <c r="L23" s="64"/>
      <c r="Y23" s="18"/>
    </row>
    <row r="24" spans="1:25" ht="15" x14ac:dyDescent="0.25">
      <c r="A24" s="87" t="s">
        <v>109</v>
      </c>
      <c r="B24" s="68"/>
      <c r="K24" s="64"/>
      <c r="L24" s="64"/>
      <c r="Y24" s="18"/>
    </row>
    <row r="25" spans="1:25" ht="15" x14ac:dyDescent="0.25">
      <c r="A25" s="88" t="s">
        <v>110</v>
      </c>
      <c r="B25" s="151">
        <v>0</v>
      </c>
      <c r="K25" s="64"/>
      <c r="L25" s="64"/>
      <c r="Y25" s="18"/>
    </row>
    <row r="26" spans="1:25" ht="15" x14ac:dyDescent="0.25">
      <c r="A26" s="88" t="s">
        <v>111</v>
      </c>
      <c r="B26" s="151">
        <v>0</v>
      </c>
      <c r="K26" s="64"/>
      <c r="L26" s="64"/>
      <c r="Y26" s="18"/>
    </row>
    <row r="27" spans="1:25" ht="15" x14ac:dyDescent="0.25">
      <c r="A27" s="88" t="s">
        <v>112</v>
      </c>
      <c r="B27" s="151">
        <f>B26-B25</f>
        <v>0</v>
      </c>
      <c r="K27" s="64"/>
      <c r="L27" s="64"/>
      <c r="Y27" s="18"/>
    </row>
    <row r="28" spans="1:25" ht="15" x14ac:dyDescent="0.25">
      <c r="A28" s="88" t="s">
        <v>114</v>
      </c>
      <c r="B28" s="151">
        <f>IFERROR(B27/B25,0)</f>
        <v>0</v>
      </c>
      <c r="K28" s="64"/>
      <c r="L28" s="64"/>
      <c r="Y28" s="18"/>
    </row>
    <row r="29" spans="1:25" ht="15" x14ac:dyDescent="0.25">
      <c r="A29" s="88" t="s">
        <v>113</v>
      </c>
      <c r="B29" s="151">
        <f>B28+1</f>
        <v>1</v>
      </c>
      <c r="K29" s="64"/>
      <c r="L29" s="64"/>
      <c r="Y29" s="18"/>
    </row>
    <row r="30" spans="1:25" x14ac:dyDescent="0.2">
      <c r="A30" s="17"/>
      <c r="K30" s="64"/>
      <c r="L30" s="64"/>
      <c r="Y30" s="18"/>
    </row>
    <row r="31" spans="1:25" x14ac:dyDescent="0.2">
      <c r="A31" s="81" t="s">
        <v>57</v>
      </c>
      <c r="C31" s="65">
        <v>0</v>
      </c>
      <c r="Y31" s="18"/>
    </row>
    <row r="32" spans="1:25" x14ac:dyDescent="0.2">
      <c r="A32" s="81" t="s">
        <v>58</v>
      </c>
      <c r="C32" s="66">
        <f>(0)*B29</f>
        <v>0</v>
      </c>
      <c r="Y32" s="18"/>
    </row>
    <row r="33" spans="1:25" ht="15" thickBot="1" x14ac:dyDescent="0.25">
      <c r="A33" s="84" t="s">
        <v>59</v>
      </c>
      <c r="B33" s="54"/>
      <c r="C33" s="54"/>
      <c r="D33" s="54"/>
      <c r="E33" s="54"/>
      <c r="F33" s="54"/>
      <c r="G33" s="54"/>
      <c r="H33" s="67">
        <v>1</v>
      </c>
      <c r="I33" s="54"/>
      <c r="J33" s="54"/>
      <c r="K33" s="67">
        <v>1</v>
      </c>
      <c r="L33" s="54"/>
      <c r="M33" s="54"/>
      <c r="N33" s="67">
        <v>1</v>
      </c>
      <c r="O33" s="54"/>
      <c r="P33" s="54"/>
      <c r="Q33" s="67">
        <v>1</v>
      </c>
      <c r="R33" s="54"/>
      <c r="S33" s="54"/>
      <c r="T33" s="67">
        <v>1</v>
      </c>
      <c r="U33" s="54"/>
      <c r="V33" s="54"/>
      <c r="W33" s="67">
        <v>1</v>
      </c>
      <c r="X33" s="54"/>
      <c r="Y33" s="56"/>
    </row>
  </sheetData>
  <mergeCells count="2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22:B22"/>
    <mergeCell ref="A19:B19"/>
    <mergeCell ref="K9:M9"/>
    <mergeCell ref="N9:P9"/>
    <mergeCell ref="A18:B18"/>
    <mergeCell ref="A20:B20"/>
  </mergeCells>
  <pageMargins left="0.25" right="0.25" top="0.25" bottom="0.25" header="0.3" footer="0.3"/>
  <pageSetup scale="28" orientation="landscape" r:id="rId1"/>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pageSetUpPr fitToPage="1"/>
  </sheetPr>
  <dimension ref="A1:S27"/>
  <sheetViews>
    <sheetView topLeftCell="B2" zoomScale="70" zoomScaleNormal="70" workbookViewId="0">
      <selection activeCell="E10" sqref="E10"/>
    </sheetView>
  </sheetViews>
  <sheetFormatPr defaultColWidth="9.42578125" defaultRowHeight="14.25" x14ac:dyDescent="0.2"/>
  <cols>
    <col min="1" max="1" width="46.85546875" style="2" customWidth="1"/>
    <col min="2" max="2" width="11.5703125" style="2" customWidth="1"/>
    <col min="3" max="3" width="18" style="2" bestFit="1" customWidth="1"/>
    <col min="4" max="4" width="18.42578125" style="2" customWidth="1"/>
    <col min="5" max="5" width="12.5703125" style="2" customWidth="1"/>
    <col min="6" max="6" width="18.42578125" style="2" customWidth="1"/>
    <col min="7" max="7" width="12.5703125" style="2" customWidth="1"/>
    <col min="8" max="8" width="18" style="2" customWidth="1"/>
    <col min="9" max="10" width="17.42578125" style="2" customWidth="1"/>
    <col min="11" max="11" width="12.5703125" style="2" customWidth="1"/>
    <col min="12" max="12" width="16.42578125" style="2" customWidth="1"/>
    <col min="13" max="13" width="12.5703125" style="2" customWidth="1"/>
    <col min="14" max="14" width="17.42578125" style="2" customWidth="1"/>
    <col min="15" max="15" width="12.5703125" style="2" customWidth="1"/>
    <col min="16" max="16" width="17.5703125" style="2" customWidth="1"/>
    <col min="17" max="17" width="14.42578125" style="2" bestFit="1" customWidth="1"/>
    <col min="18" max="16384" width="9.42578125" style="2"/>
  </cols>
  <sheetData>
    <row r="1" spans="1:19" s="57" customFormat="1" ht="40.5" customHeight="1" x14ac:dyDescent="0.25">
      <c r="A1" s="222" t="s">
        <v>80</v>
      </c>
      <c r="B1" s="233"/>
      <c r="C1" s="233"/>
      <c r="D1" s="233"/>
      <c r="E1" s="233"/>
      <c r="F1" s="233"/>
      <c r="G1" s="233"/>
      <c r="H1" s="233"/>
      <c r="I1" s="233"/>
      <c r="J1" s="233"/>
      <c r="K1" s="233"/>
      <c r="L1" s="233"/>
      <c r="M1" s="233"/>
      <c r="N1" s="233"/>
      <c r="O1" s="233"/>
      <c r="P1" s="233"/>
      <c r="Q1" s="233"/>
      <c r="R1" s="85"/>
      <c r="S1" s="85"/>
    </row>
    <row r="3" spans="1:19" ht="15" thickBot="1" x14ac:dyDescent="0.25"/>
    <row r="4" spans="1:19" ht="15" x14ac:dyDescent="0.25">
      <c r="A4" s="223" t="s">
        <v>193</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c r="B8" s="234"/>
      <c r="C8" s="25" t="s">
        <v>279</v>
      </c>
      <c r="D8" s="27">
        <v>25000</v>
      </c>
      <c r="E8" s="25">
        <v>25001</v>
      </c>
      <c r="F8" s="27">
        <v>75000</v>
      </c>
      <c r="G8" s="25">
        <v>75001</v>
      </c>
      <c r="H8" s="27">
        <v>125000</v>
      </c>
      <c r="I8" s="25">
        <v>125001</v>
      </c>
      <c r="J8" s="27">
        <v>175000</v>
      </c>
      <c r="K8" s="25">
        <v>175001</v>
      </c>
      <c r="L8" s="27">
        <v>225000</v>
      </c>
      <c r="M8" s="25">
        <v>225001</v>
      </c>
      <c r="N8" s="27">
        <v>275000</v>
      </c>
      <c r="O8" s="25">
        <v>275001</v>
      </c>
      <c r="P8" s="69">
        <v>325000</v>
      </c>
      <c r="Q8" s="70"/>
    </row>
    <row r="9" spans="1:19" s="83" customFormat="1" ht="15" x14ac:dyDescent="0.25">
      <c r="A9" s="237" t="s">
        <v>86</v>
      </c>
      <c r="B9" s="238"/>
      <c r="C9" s="239">
        <v>0</v>
      </c>
      <c r="D9" s="240"/>
      <c r="E9" s="239">
        <v>0</v>
      </c>
      <c r="F9" s="240"/>
      <c r="G9" s="239">
        <v>0</v>
      </c>
      <c r="H9" s="240"/>
      <c r="I9" s="239">
        <v>0</v>
      </c>
      <c r="J9" s="240"/>
      <c r="K9" s="239">
        <v>0</v>
      </c>
      <c r="L9" s="240"/>
      <c r="M9" s="239">
        <v>0</v>
      </c>
      <c r="N9" s="240"/>
      <c r="O9" s="241">
        <v>0</v>
      </c>
      <c r="P9" s="242"/>
      <c r="Q9" s="82"/>
    </row>
    <row r="10" spans="1:19" s="16" customFormat="1" ht="24.75" x14ac:dyDescent="0.25">
      <c r="A10" s="243"/>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74</v>
      </c>
      <c r="B11" s="231"/>
      <c r="C11" s="152">
        <f>ROUND(111.068*$B$21,4)</f>
        <v>111.068</v>
      </c>
      <c r="D11" s="74">
        <f>C11*C$9</f>
        <v>0</v>
      </c>
      <c r="E11" s="152">
        <f>ROUND(111.068*$B$21,4)</f>
        <v>111.068</v>
      </c>
      <c r="F11" s="74">
        <f>E11*E$9</f>
        <v>0</v>
      </c>
      <c r="G11" s="152">
        <f>ROUND(111.068*$B$21,4)</f>
        <v>111.068</v>
      </c>
      <c r="H11" s="74">
        <f>G11*G$9</f>
        <v>0</v>
      </c>
      <c r="I11" s="152">
        <f>ROUND(111.068*$B$21,4)</f>
        <v>111.068</v>
      </c>
      <c r="J11" s="74">
        <f>I11*I$9</f>
        <v>0</v>
      </c>
      <c r="K11" s="152">
        <f>ROUND(111.068*$B$21,4)</f>
        <v>111.068</v>
      </c>
      <c r="L11" s="74">
        <f>K11*K$9</f>
        <v>0</v>
      </c>
      <c r="M11" s="152">
        <f>ROUND(111.068*$B$21,4)</f>
        <v>111.068</v>
      </c>
      <c r="N11" s="74">
        <f>M11*M$9</f>
        <v>0</v>
      </c>
      <c r="O11" s="152">
        <f>ROUND(111.068*$B$21,4)</f>
        <v>111.068</v>
      </c>
      <c r="P11" s="74">
        <f>O11*O$9</f>
        <v>0</v>
      </c>
      <c r="Q11" s="18"/>
      <c r="R11" s="16"/>
    </row>
    <row r="12" spans="1:19" s="48" customFormat="1" ht="15" x14ac:dyDescent="0.25">
      <c r="A12" s="212" t="s">
        <v>194</v>
      </c>
      <c r="B12" s="213"/>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5"/>
    </row>
    <row r="13" spans="1:19" ht="15" thickBot="1" x14ac:dyDescent="0.25">
      <c r="A13" s="17"/>
      <c r="Q13" s="18"/>
    </row>
    <row r="14" spans="1:19" ht="15.75" thickBot="1" x14ac:dyDescent="0.3">
      <c r="A14" s="217" t="s">
        <v>195</v>
      </c>
      <c r="B14" s="218"/>
      <c r="C14" s="86">
        <f>SUM(D12:P12)</f>
        <v>0</v>
      </c>
      <c r="D14" s="49"/>
      <c r="Q14" s="18"/>
    </row>
    <row r="15" spans="1:19" x14ac:dyDescent="0.2">
      <c r="A15" s="17"/>
      <c r="Q15" s="18"/>
    </row>
    <row r="16" spans="1:19" ht="15" x14ac:dyDescent="0.25">
      <c r="A16" s="87" t="s">
        <v>109</v>
      </c>
      <c r="B16" s="68"/>
      <c r="Q16" s="18"/>
    </row>
    <row r="17" spans="1:17" ht="15" x14ac:dyDescent="0.25">
      <c r="A17" s="88" t="s">
        <v>110</v>
      </c>
      <c r="B17" s="151">
        <v>0</v>
      </c>
      <c r="Q17" s="18"/>
    </row>
    <row r="18" spans="1:17" ht="15" x14ac:dyDescent="0.25">
      <c r="A18" s="88" t="s">
        <v>111</v>
      </c>
      <c r="B18" s="151">
        <v>0</v>
      </c>
      <c r="Q18" s="18"/>
    </row>
    <row r="19" spans="1:17" ht="15" x14ac:dyDescent="0.25">
      <c r="A19" s="88" t="s">
        <v>112</v>
      </c>
      <c r="B19" s="151">
        <f>B18-B17</f>
        <v>0</v>
      </c>
      <c r="Q19" s="18"/>
    </row>
    <row r="20" spans="1:17" ht="15" x14ac:dyDescent="0.25">
      <c r="A20" s="88" t="s">
        <v>114</v>
      </c>
      <c r="B20" s="151">
        <f>IFERROR(B19/B17,0)</f>
        <v>0</v>
      </c>
      <c r="Q20" s="18"/>
    </row>
    <row r="21" spans="1:17" ht="15" x14ac:dyDescent="0.25">
      <c r="A21" s="88" t="s">
        <v>113</v>
      </c>
      <c r="B21" s="151">
        <f>B20+1</f>
        <v>1</v>
      </c>
      <c r="Q21" s="18"/>
    </row>
    <row r="22" spans="1:17" x14ac:dyDescent="0.2">
      <c r="A22" s="17"/>
      <c r="Q22" s="18"/>
    </row>
    <row r="23" spans="1:17" x14ac:dyDescent="0.2">
      <c r="A23" s="81" t="s">
        <v>57</v>
      </c>
      <c r="C23" s="50"/>
      <c r="Q23" s="18"/>
    </row>
    <row r="24" spans="1:17" x14ac:dyDescent="0.2">
      <c r="A24" s="81" t="s">
        <v>75</v>
      </c>
      <c r="C24" s="76"/>
      <c r="Q24" s="18"/>
    </row>
    <row r="25" spans="1:17" ht="15" thickBot="1" x14ac:dyDescent="0.25">
      <c r="A25" s="84" t="s">
        <v>59</v>
      </c>
      <c r="B25" s="54"/>
      <c r="C25" s="54"/>
      <c r="D25" s="54"/>
      <c r="E25" s="55"/>
      <c r="F25" s="54"/>
      <c r="G25" s="55"/>
      <c r="H25" s="54"/>
      <c r="I25" s="55"/>
      <c r="J25" s="54"/>
      <c r="K25" s="55"/>
      <c r="L25" s="54"/>
      <c r="M25" s="55"/>
      <c r="N25" s="54"/>
      <c r="O25" s="55"/>
      <c r="P25" s="54"/>
      <c r="Q25" s="56"/>
    </row>
    <row r="27" spans="1:17" ht="55.5" customHeight="1" x14ac:dyDescent="0.2">
      <c r="A27" s="235" t="s">
        <v>196</v>
      </c>
      <c r="B27" s="235"/>
      <c r="C27" s="235"/>
      <c r="D27" s="235"/>
      <c r="E27" s="235"/>
      <c r="F27" s="235"/>
      <c r="G27" s="235"/>
      <c r="H27" s="235"/>
      <c r="I27" s="235"/>
      <c r="J27" s="235"/>
      <c r="K27" s="235"/>
      <c r="L27" s="235"/>
      <c r="M27" s="235"/>
      <c r="N27" s="235"/>
      <c r="O27" s="235"/>
      <c r="P27" s="235"/>
      <c r="Q27" s="235"/>
    </row>
  </sheetData>
  <mergeCells count="24">
    <mergeCell ref="A27:Q27"/>
    <mergeCell ref="A8:B8"/>
    <mergeCell ref="A9:B9"/>
    <mergeCell ref="C9:D9"/>
    <mergeCell ref="E9:F9"/>
    <mergeCell ref="A14:B14"/>
    <mergeCell ref="K9:L9"/>
    <mergeCell ref="M9:N9"/>
    <mergeCell ref="O9:P9"/>
    <mergeCell ref="A10:B10"/>
    <mergeCell ref="A11:B11"/>
    <mergeCell ref="G9:H9"/>
    <mergeCell ref="I9:J9"/>
    <mergeCell ref="A12:B12"/>
    <mergeCell ref="A1:Q1"/>
    <mergeCell ref="A4:Q4"/>
    <mergeCell ref="A6:B6"/>
    <mergeCell ref="C6:D6"/>
    <mergeCell ref="E6:F6"/>
    <mergeCell ref="G6:H6"/>
    <mergeCell ref="I6:J6"/>
    <mergeCell ref="K6:L6"/>
    <mergeCell ref="M6:N6"/>
    <mergeCell ref="O6:P6"/>
  </mergeCells>
  <pageMargins left="0.25" right="0.25" top="0.25" bottom="0.25" header="0.3" footer="0.3"/>
  <pageSetup scale="45" orientation="landscape" r:id="rId1"/>
  <headerFooter>
    <oddFooter>&amp;RPage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S35"/>
  <sheetViews>
    <sheetView topLeftCell="A2" zoomScale="70" zoomScaleNormal="70" workbookViewId="0">
      <selection activeCell="E10" sqref="E10"/>
    </sheetView>
  </sheetViews>
  <sheetFormatPr defaultColWidth="9.42578125" defaultRowHeight="14.25" x14ac:dyDescent="0.2"/>
  <cols>
    <col min="1" max="1" width="46.85546875" style="2" customWidth="1"/>
    <col min="2" max="2" width="11.5703125" style="2" customWidth="1"/>
    <col min="3" max="4" width="18.42578125" style="2" bestFit="1" customWidth="1"/>
    <col min="5" max="5" width="15.42578125" style="2" bestFit="1" customWidth="1"/>
    <col min="6" max="6" width="16.5703125" style="2" bestFit="1" customWidth="1"/>
    <col min="7" max="7" width="16.42578125" style="2" bestFit="1" customWidth="1"/>
    <col min="8" max="8" width="14.5703125" style="2" bestFit="1" customWidth="1"/>
    <col min="9" max="9" width="18" style="2" bestFit="1" customWidth="1"/>
    <col min="10" max="10" width="16.5703125" style="2" bestFit="1" customWidth="1"/>
    <col min="11" max="11" width="18" style="2" customWidth="1"/>
    <col min="12" max="12" width="16.5703125" style="2" bestFit="1" customWidth="1"/>
    <col min="13" max="13" width="18" style="2" bestFit="1" customWidth="1"/>
    <col min="14" max="14" width="16.5703125" style="2" bestFit="1" customWidth="1"/>
    <col min="15" max="15" width="17" style="2" bestFit="1" customWidth="1"/>
    <col min="16" max="16" width="16.5703125" style="2" bestFit="1" customWidth="1"/>
    <col min="17" max="17" width="14.42578125" style="2" bestFit="1" customWidth="1"/>
    <col min="18" max="16384" width="9.42578125" style="2"/>
  </cols>
  <sheetData>
    <row r="1" spans="1:19" ht="46.5" customHeight="1" x14ac:dyDescent="0.25">
      <c r="A1" s="222" t="s">
        <v>81</v>
      </c>
      <c r="B1" s="233"/>
      <c r="C1" s="233"/>
      <c r="D1" s="233"/>
      <c r="E1" s="233"/>
      <c r="F1" s="233"/>
      <c r="G1" s="233"/>
      <c r="H1" s="233"/>
      <c r="I1" s="233"/>
      <c r="J1" s="233"/>
      <c r="K1" s="233"/>
      <c r="L1" s="233"/>
      <c r="M1" s="233"/>
      <c r="N1" s="233"/>
      <c r="O1" s="233"/>
      <c r="P1" s="233"/>
      <c r="Q1" s="233"/>
      <c r="R1" s="78"/>
      <c r="S1" s="78"/>
    </row>
    <row r="3" spans="1:19" ht="15" thickBot="1" x14ac:dyDescent="0.25"/>
    <row r="4" spans="1:19" ht="15" x14ac:dyDescent="0.25">
      <c r="A4" s="223" t="s">
        <v>197</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t="s">
        <v>48</v>
      </c>
      <c r="B8" s="234"/>
      <c r="C8" s="25">
        <v>0</v>
      </c>
      <c r="D8" s="27">
        <v>25000</v>
      </c>
      <c r="E8" s="25">
        <v>25001</v>
      </c>
      <c r="F8" s="27">
        <v>75000</v>
      </c>
      <c r="G8" s="25">
        <v>75001</v>
      </c>
      <c r="H8" s="27">
        <v>125000</v>
      </c>
      <c r="I8" s="25">
        <v>125001</v>
      </c>
      <c r="J8" s="27">
        <v>175000</v>
      </c>
      <c r="K8" s="25">
        <v>175001</v>
      </c>
      <c r="L8" s="27">
        <v>225000</v>
      </c>
      <c r="M8" s="25">
        <v>225001</v>
      </c>
      <c r="N8" s="27">
        <v>275000</v>
      </c>
      <c r="O8" s="25">
        <v>275001</v>
      </c>
      <c r="P8" s="69">
        <f>O8+49999</f>
        <v>325000</v>
      </c>
      <c r="Q8" s="70"/>
    </row>
    <row r="9" spans="1:19" s="33" customFormat="1" ht="15" x14ac:dyDescent="0.25">
      <c r="A9" s="212" t="s">
        <v>87</v>
      </c>
      <c r="B9" s="234"/>
      <c r="C9" s="219">
        <v>0</v>
      </c>
      <c r="D9" s="221"/>
      <c r="E9" s="219">
        <v>0</v>
      </c>
      <c r="F9" s="221"/>
      <c r="G9" s="219">
        <v>0</v>
      </c>
      <c r="H9" s="221"/>
      <c r="I9" s="219">
        <v>0</v>
      </c>
      <c r="J9" s="221"/>
      <c r="K9" s="219">
        <v>0</v>
      </c>
      <c r="L9" s="221"/>
      <c r="M9" s="219">
        <v>0</v>
      </c>
      <c r="N9" s="221"/>
      <c r="O9" s="206">
        <v>0</v>
      </c>
      <c r="P9" s="216"/>
      <c r="Q9" s="77"/>
    </row>
    <row r="10" spans="1:19" s="16" customFormat="1" ht="24.75" x14ac:dyDescent="0.25">
      <c r="A10" s="243" t="s">
        <v>60</v>
      </c>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63</v>
      </c>
      <c r="B11" s="231"/>
      <c r="C11" s="152">
        <f>ROUND(111.8462*$B$29,4)</f>
        <v>111.8462</v>
      </c>
      <c r="D11" s="74">
        <f t="shared" ref="D11:D19" si="0">C11*C$9</f>
        <v>0</v>
      </c>
      <c r="E11" s="41">
        <f>ROUND(111.8462*$B$29,4)</f>
        <v>111.8462</v>
      </c>
      <c r="F11" s="74">
        <f>E11*E$9</f>
        <v>0</v>
      </c>
      <c r="G11" s="41">
        <f>ROUND(111.8462*$B$29,4)</f>
        <v>111.8462</v>
      </c>
      <c r="H11" s="74">
        <f t="shared" ref="H11:H19" si="1">G11*G$9</f>
        <v>0</v>
      </c>
      <c r="I11" s="41">
        <f>ROUND(111.8462*$B$29,4)</f>
        <v>111.8462</v>
      </c>
      <c r="J11" s="74">
        <f t="shared" ref="J11:J19" si="2">I11*I$9</f>
        <v>0</v>
      </c>
      <c r="K11" s="41">
        <f>ROUND(111.8462*$B$29,4)</f>
        <v>111.8462</v>
      </c>
      <c r="L11" s="74">
        <f t="shared" ref="L11:L19" si="3">K11*K$9</f>
        <v>0</v>
      </c>
      <c r="M11" s="41">
        <f>ROUND(111.8462*$B$29,4)</f>
        <v>111.8462</v>
      </c>
      <c r="N11" s="74">
        <f t="shared" ref="N11:N19" si="4">M11*M$9</f>
        <v>0</v>
      </c>
      <c r="O11" s="41">
        <f>ROUND(111.8462*$B$29,4)</f>
        <v>111.8462</v>
      </c>
      <c r="P11" s="74">
        <f t="shared" ref="P11:P19" si="5">O11*O$9</f>
        <v>0</v>
      </c>
      <c r="Q11" s="18"/>
      <c r="R11" s="16"/>
    </row>
    <row r="12" spans="1:19" x14ac:dyDescent="0.2">
      <c r="A12" s="230" t="s">
        <v>64</v>
      </c>
      <c r="B12" s="231"/>
      <c r="C12" s="152">
        <f>ROUND(113.13*$B$29,4)</f>
        <v>113.13</v>
      </c>
      <c r="D12" s="74">
        <f t="shared" si="0"/>
        <v>0</v>
      </c>
      <c r="E12" s="41">
        <f>ROUND(113.1324*$B$29,4)</f>
        <v>113.1324</v>
      </c>
      <c r="F12" s="74">
        <f t="shared" ref="F12:F19" si="6">E12*E$9</f>
        <v>0</v>
      </c>
      <c r="G12" s="41">
        <f>ROUND(113.1324*$B$29,4)</f>
        <v>113.1324</v>
      </c>
      <c r="H12" s="74">
        <f t="shared" si="1"/>
        <v>0</v>
      </c>
      <c r="I12" s="41">
        <f>ROUND(113.1324*$B$29,4)</f>
        <v>113.1324</v>
      </c>
      <c r="J12" s="74">
        <f t="shared" si="2"/>
        <v>0</v>
      </c>
      <c r="K12" s="41">
        <f>ROUND(113.1324*$B$29,4)</f>
        <v>113.1324</v>
      </c>
      <c r="L12" s="74">
        <f t="shared" si="3"/>
        <v>0</v>
      </c>
      <c r="M12" s="41">
        <f>ROUND(113.1324*$B$29,4)</f>
        <v>113.1324</v>
      </c>
      <c r="N12" s="74">
        <f t="shared" si="4"/>
        <v>0</v>
      </c>
      <c r="O12" s="41">
        <f>ROUND(113.1324*$B$29,4)</f>
        <v>113.1324</v>
      </c>
      <c r="P12" s="74">
        <f t="shared" si="5"/>
        <v>0</v>
      </c>
      <c r="Q12" s="18"/>
    </row>
    <row r="13" spans="1:19" x14ac:dyDescent="0.2">
      <c r="A13" s="230" t="s">
        <v>65</v>
      </c>
      <c r="B13" s="231"/>
      <c r="C13" s="152">
        <f>ROUND(114.43*$B$29,4)</f>
        <v>114.43</v>
      </c>
      <c r="D13" s="74">
        <f t="shared" si="0"/>
        <v>0</v>
      </c>
      <c r="E13" s="41">
        <f>ROUND(114.4334*$B$29,4)</f>
        <v>114.43340000000001</v>
      </c>
      <c r="F13" s="74">
        <f t="shared" si="6"/>
        <v>0</v>
      </c>
      <c r="G13" s="41">
        <f>ROUND(114.4334*$B$29,4)</f>
        <v>114.43340000000001</v>
      </c>
      <c r="H13" s="74">
        <f t="shared" si="1"/>
        <v>0</v>
      </c>
      <c r="I13" s="41">
        <f>ROUND(114.4334*$B$29,4)</f>
        <v>114.43340000000001</v>
      </c>
      <c r="J13" s="74">
        <f t="shared" si="2"/>
        <v>0</v>
      </c>
      <c r="K13" s="41">
        <f>ROUND(114.4334*$B$29,4)</f>
        <v>114.43340000000001</v>
      </c>
      <c r="L13" s="74">
        <f t="shared" si="3"/>
        <v>0</v>
      </c>
      <c r="M13" s="41">
        <f>ROUND(114.4334*$B$29,4)</f>
        <v>114.43340000000001</v>
      </c>
      <c r="N13" s="74">
        <f t="shared" si="4"/>
        <v>0</v>
      </c>
      <c r="O13" s="41">
        <f>ROUND(114.4334*$B$29,4)</f>
        <v>114.43340000000001</v>
      </c>
      <c r="P13" s="74">
        <f t="shared" si="5"/>
        <v>0</v>
      </c>
      <c r="Q13" s="18"/>
    </row>
    <row r="14" spans="1:19" x14ac:dyDescent="0.2">
      <c r="A14" s="230" t="s">
        <v>66</v>
      </c>
      <c r="B14" s="231"/>
      <c r="C14" s="152">
        <f>ROUND(115.75*$B$29,4)</f>
        <v>115.75</v>
      </c>
      <c r="D14" s="74">
        <f t="shared" si="0"/>
        <v>0</v>
      </c>
      <c r="E14" s="41">
        <f>ROUND(115.7494*$B$29,4)</f>
        <v>115.74939999999999</v>
      </c>
      <c r="F14" s="74">
        <f t="shared" si="6"/>
        <v>0</v>
      </c>
      <c r="G14" s="41">
        <f>ROUND(115.7494*$B$29,4)</f>
        <v>115.74939999999999</v>
      </c>
      <c r="H14" s="74">
        <f t="shared" si="1"/>
        <v>0</v>
      </c>
      <c r="I14" s="41">
        <f>ROUND(115.7494*$B$29,4)</f>
        <v>115.74939999999999</v>
      </c>
      <c r="J14" s="74">
        <f t="shared" si="2"/>
        <v>0</v>
      </c>
      <c r="K14" s="41">
        <f>ROUND(115.7494*$B$29,4)</f>
        <v>115.74939999999999</v>
      </c>
      <c r="L14" s="74">
        <f t="shared" si="3"/>
        <v>0</v>
      </c>
      <c r="M14" s="41">
        <f>ROUND(115.7494*$B$29,4)</f>
        <v>115.74939999999999</v>
      </c>
      <c r="N14" s="74">
        <f t="shared" si="4"/>
        <v>0</v>
      </c>
      <c r="O14" s="41">
        <f>ROUND(115.7494*$B$29,4)</f>
        <v>115.74939999999999</v>
      </c>
      <c r="P14" s="74">
        <f t="shared" si="5"/>
        <v>0</v>
      </c>
      <c r="Q14" s="18"/>
    </row>
    <row r="15" spans="1:19" x14ac:dyDescent="0.2">
      <c r="A15" s="230" t="s">
        <v>67</v>
      </c>
      <c r="B15" s="231"/>
      <c r="C15" s="152">
        <f>ROUND(117.08*$B$29,4)</f>
        <v>117.08</v>
      </c>
      <c r="D15" s="74">
        <f t="shared" si="0"/>
        <v>0</v>
      </c>
      <c r="E15" s="41">
        <f>ROUND(117.0805*$B$29,4)</f>
        <v>117.0805</v>
      </c>
      <c r="F15" s="74">
        <f t="shared" si="6"/>
        <v>0</v>
      </c>
      <c r="G15" s="41">
        <f>ROUND(117.0805*$B$29,4)</f>
        <v>117.0805</v>
      </c>
      <c r="H15" s="74">
        <f t="shared" si="1"/>
        <v>0</v>
      </c>
      <c r="I15" s="41">
        <f>ROUND(117.0805*$B$29,4)</f>
        <v>117.0805</v>
      </c>
      <c r="J15" s="74">
        <f t="shared" si="2"/>
        <v>0</v>
      </c>
      <c r="K15" s="41">
        <f>ROUND(117.0805*$B$29,4)</f>
        <v>117.0805</v>
      </c>
      <c r="L15" s="74">
        <f t="shared" si="3"/>
        <v>0</v>
      </c>
      <c r="M15" s="41">
        <f>ROUND(117.0805*$B$29,4)</f>
        <v>117.0805</v>
      </c>
      <c r="N15" s="74">
        <f t="shared" si="4"/>
        <v>0</v>
      </c>
      <c r="O15" s="41">
        <f>ROUND(117.0805*$B$29,4)</f>
        <v>117.0805</v>
      </c>
      <c r="P15" s="74">
        <f t="shared" si="5"/>
        <v>0</v>
      </c>
      <c r="Q15" s="18"/>
    </row>
    <row r="16" spans="1:19" x14ac:dyDescent="0.2">
      <c r="A16" s="230" t="s">
        <v>68</v>
      </c>
      <c r="B16" s="231"/>
      <c r="C16" s="152">
        <f>ROUND(118.43*$B$29,4)</f>
        <v>118.43</v>
      </c>
      <c r="D16" s="74">
        <f t="shared" si="0"/>
        <v>0</v>
      </c>
      <c r="E16" s="41">
        <f>ROUND(118.4269*$B$29,4)</f>
        <v>118.4269</v>
      </c>
      <c r="F16" s="74">
        <f t="shared" si="6"/>
        <v>0</v>
      </c>
      <c r="G16" s="41">
        <f>ROUND(118.4269*$B$29,4)</f>
        <v>118.4269</v>
      </c>
      <c r="H16" s="74">
        <f t="shared" si="1"/>
        <v>0</v>
      </c>
      <c r="I16" s="41">
        <f>ROUND(118.4269*$B$29,4)</f>
        <v>118.4269</v>
      </c>
      <c r="J16" s="74">
        <f t="shared" si="2"/>
        <v>0</v>
      </c>
      <c r="K16" s="41">
        <f>ROUND(118.4269*$B$29,4)</f>
        <v>118.4269</v>
      </c>
      <c r="L16" s="74">
        <f t="shared" si="3"/>
        <v>0</v>
      </c>
      <c r="M16" s="41">
        <f>ROUND(118.4269*$B$29,4)</f>
        <v>118.4269</v>
      </c>
      <c r="N16" s="74">
        <f t="shared" si="4"/>
        <v>0</v>
      </c>
      <c r="O16" s="41">
        <f>ROUND(118.4269*$B$29,4)</f>
        <v>118.4269</v>
      </c>
      <c r="P16" s="74">
        <f t="shared" si="5"/>
        <v>0</v>
      </c>
      <c r="Q16" s="18"/>
    </row>
    <row r="17" spans="1:17" x14ac:dyDescent="0.2">
      <c r="A17" s="230" t="s">
        <v>69</v>
      </c>
      <c r="B17" s="231"/>
      <c r="C17" s="152">
        <f>ROUND(119.79*$B$29,4)</f>
        <v>119.79</v>
      </c>
      <c r="D17" s="74">
        <f t="shared" si="0"/>
        <v>0</v>
      </c>
      <c r="E17" s="41">
        <f>ROUND(119.7888*$B$29,4)</f>
        <v>119.78879999999999</v>
      </c>
      <c r="F17" s="74">
        <f t="shared" si="6"/>
        <v>0</v>
      </c>
      <c r="G17" s="41">
        <f>ROUND(119.7888*$B$29,4)</f>
        <v>119.78879999999999</v>
      </c>
      <c r="H17" s="74">
        <f t="shared" si="1"/>
        <v>0</v>
      </c>
      <c r="I17" s="41">
        <f>ROUND(119.7888*$B$29,4)</f>
        <v>119.78879999999999</v>
      </c>
      <c r="J17" s="74">
        <f t="shared" si="2"/>
        <v>0</v>
      </c>
      <c r="K17" s="41">
        <f>ROUND(119.7888*$B$29,4)</f>
        <v>119.78879999999999</v>
      </c>
      <c r="L17" s="74">
        <f t="shared" si="3"/>
        <v>0</v>
      </c>
      <c r="M17" s="41">
        <f>ROUND(119.7888*$B$29,4)</f>
        <v>119.78879999999999</v>
      </c>
      <c r="N17" s="74">
        <f t="shared" si="4"/>
        <v>0</v>
      </c>
      <c r="O17" s="41">
        <f>ROUND(119.7888*$B$29,4)</f>
        <v>119.78879999999999</v>
      </c>
      <c r="P17" s="74">
        <f t="shared" si="5"/>
        <v>0</v>
      </c>
      <c r="Q17" s="18"/>
    </row>
    <row r="18" spans="1:17" x14ac:dyDescent="0.2">
      <c r="A18" s="230" t="s">
        <v>70</v>
      </c>
      <c r="B18" s="231"/>
      <c r="C18" s="152">
        <f>ROUND(121.17*$B$29,4)</f>
        <v>121.17</v>
      </c>
      <c r="D18" s="74">
        <f t="shared" si="0"/>
        <v>0</v>
      </c>
      <c r="E18" s="41">
        <f>ROUND(121.1664*$B$29,4)</f>
        <v>121.1664</v>
      </c>
      <c r="F18" s="74">
        <f t="shared" si="6"/>
        <v>0</v>
      </c>
      <c r="G18" s="41">
        <f>ROUND(121.1664*$B$29,4)</f>
        <v>121.1664</v>
      </c>
      <c r="H18" s="74">
        <f t="shared" si="1"/>
        <v>0</v>
      </c>
      <c r="I18" s="41">
        <f>ROUND(121.1664*$B$29,4)</f>
        <v>121.1664</v>
      </c>
      <c r="J18" s="74">
        <f t="shared" si="2"/>
        <v>0</v>
      </c>
      <c r="K18" s="41">
        <f>ROUND(121.1664*$B$29,4)</f>
        <v>121.1664</v>
      </c>
      <c r="L18" s="74">
        <f t="shared" si="3"/>
        <v>0</v>
      </c>
      <c r="M18" s="41">
        <f>ROUND(121.1664*$B$29,4)</f>
        <v>121.1664</v>
      </c>
      <c r="N18" s="74">
        <f t="shared" si="4"/>
        <v>0</v>
      </c>
      <c r="O18" s="41">
        <f>ROUND(121.1664*$B$29,4)</f>
        <v>121.1664</v>
      </c>
      <c r="P18" s="74">
        <f t="shared" si="5"/>
        <v>0</v>
      </c>
      <c r="Q18" s="18"/>
    </row>
    <row r="19" spans="1:17" x14ac:dyDescent="0.2">
      <c r="A19" s="230" t="s">
        <v>71</v>
      </c>
      <c r="B19" s="231"/>
      <c r="C19" s="152">
        <f>ROUND(122.56*$B$29,4)</f>
        <v>122.56</v>
      </c>
      <c r="D19" s="74">
        <f t="shared" si="0"/>
        <v>0</v>
      </c>
      <c r="E19" s="41">
        <f>ROUND(122.5598*$B$29,4)</f>
        <v>122.5598</v>
      </c>
      <c r="F19" s="74">
        <f t="shared" si="6"/>
        <v>0</v>
      </c>
      <c r="G19" s="41">
        <f>ROUND(122.5598*$B$29,4)</f>
        <v>122.5598</v>
      </c>
      <c r="H19" s="74">
        <f t="shared" si="1"/>
        <v>0</v>
      </c>
      <c r="I19" s="41">
        <f>ROUND(122.5598*$B$29,4)</f>
        <v>122.5598</v>
      </c>
      <c r="J19" s="74">
        <f t="shared" si="2"/>
        <v>0</v>
      </c>
      <c r="K19" s="41">
        <f>ROUND(122.5598*$B$29,4)</f>
        <v>122.5598</v>
      </c>
      <c r="L19" s="74">
        <f t="shared" si="3"/>
        <v>0</v>
      </c>
      <c r="M19" s="41">
        <f>ROUND(122.5598*$B$29,4)</f>
        <v>122.5598</v>
      </c>
      <c r="N19" s="74">
        <f t="shared" si="4"/>
        <v>0</v>
      </c>
      <c r="O19" s="41">
        <f>ROUND(122.5598*$B$29,4)</f>
        <v>122.5598</v>
      </c>
      <c r="P19" s="74">
        <f t="shared" si="5"/>
        <v>0</v>
      </c>
      <c r="Q19" s="18"/>
    </row>
    <row r="20" spans="1:17" s="48" customFormat="1" ht="15" x14ac:dyDescent="0.25">
      <c r="A20" s="212" t="s">
        <v>198</v>
      </c>
      <c r="B20" s="213"/>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5"/>
    </row>
    <row r="21" spans="1:17" ht="15" thickBot="1" x14ac:dyDescent="0.25">
      <c r="A21" s="17"/>
      <c r="Q21" s="18"/>
    </row>
    <row r="22" spans="1:17" ht="15.75" thickBot="1" x14ac:dyDescent="0.3">
      <c r="A22" s="217" t="s">
        <v>199</v>
      </c>
      <c r="B22" s="218"/>
      <c r="C22" s="86">
        <f>SUM(D20:P20)</f>
        <v>0</v>
      </c>
      <c r="D22" s="49"/>
      <c r="Q22" s="18"/>
    </row>
    <row r="23" spans="1:17" x14ac:dyDescent="0.2">
      <c r="A23" s="17"/>
      <c r="Q23" s="18"/>
    </row>
    <row r="24" spans="1:17" ht="15" x14ac:dyDescent="0.25">
      <c r="A24" s="87" t="s">
        <v>109</v>
      </c>
      <c r="B24" s="68"/>
      <c r="Q24" s="18"/>
    </row>
    <row r="25" spans="1:17" ht="15" x14ac:dyDescent="0.25">
      <c r="A25" s="88" t="s">
        <v>110</v>
      </c>
      <c r="B25" s="151">
        <v>0</v>
      </c>
      <c r="Q25" s="18"/>
    </row>
    <row r="26" spans="1:17" ht="15" x14ac:dyDescent="0.25">
      <c r="A26" s="88" t="s">
        <v>111</v>
      </c>
      <c r="B26" s="151">
        <v>0</v>
      </c>
      <c r="Q26" s="18"/>
    </row>
    <row r="27" spans="1:17" ht="15" x14ac:dyDescent="0.25">
      <c r="A27" s="88" t="s">
        <v>112</v>
      </c>
      <c r="B27" s="151">
        <f>B26-B25</f>
        <v>0</v>
      </c>
      <c r="Q27" s="18"/>
    </row>
    <row r="28" spans="1:17" ht="15" x14ac:dyDescent="0.25">
      <c r="A28" s="88" t="s">
        <v>114</v>
      </c>
      <c r="B28" s="151">
        <f>IFERROR(B27/B25,0)</f>
        <v>0</v>
      </c>
      <c r="Q28" s="18"/>
    </row>
    <row r="29" spans="1:17" ht="15" x14ac:dyDescent="0.25">
      <c r="A29" s="88" t="s">
        <v>113</v>
      </c>
      <c r="B29" s="151">
        <f>B28+1</f>
        <v>1</v>
      </c>
      <c r="Q29" s="18"/>
    </row>
    <row r="30" spans="1:17" x14ac:dyDescent="0.2">
      <c r="A30" s="17"/>
      <c r="Q30" s="18"/>
    </row>
    <row r="31" spans="1:17" x14ac:dyDescent="0.2">
      <c r="A31" s="81" t="s">
        <v>57</v>
      </c>
      <c r="C31" s="50"/>
      <c r="Q31" s="18"/>
    </row>
    <row r="32" spans="1:17" x14ac:dyDescent="0.2">
      <c r="A32" s="81" t="s">
        <v>75</v>
      </c>
      <c r="C32" s="76"/>
      <c r="Q32" s="18"/>
    </row>
    <row r="33" spans="1:17" ht="15" thickBot="1" x14ac:dyDescent="0.25">
      <c r="A33" s="84" t="s">
        <v>59</v>
      </c>
      <c r="B33" s="54"/>
      <c r="C33" s="54"/>
      <c r="D33" s="54"/>
      <c r="E33" s="55"/>
      <c r="F33" s="54"/>
      <c r="G33" s="55"/>
      <c r="H33" s="54"/>
      <c r="I33" s="55"/>
      <c r="J33" s="54"/>
      <c r="K33" s="55"/>
      <c r="L33" s="54"/>
      <c r="M33" s="55"/>
      <c r="N33" s="54"/>
      <c r="O33" s="55"/>
      <c r="P33" s="54"/>
      <c r="Q33" s="56"/>
    </row>
    <row r="35" spans="1:17" ht="68.25" customHeight="1" x14ac:dyDescent="0.2">
      <c r="A35" s="235" t="s">
        <v>200</v>
      </c>
      <c r="B35" s="235"/>
      <c r="C35" s="235"/>
      <c r="D35" s="235"/>
      <c r="E35" s="235"/>
      <c r="F35" s="235"/>
      <c r="G35" s="235"/>
      <c r="H35" s="235"/>
      <c r="I35" s="235"/>
      <c r="J35" s="235"/>
      <c r="K35" s="235"/>
      <c r="L35" s="235"/>
      <c r="M35" s="235"/>
      <c r="N35" s="235"/>
      <c r="O35" s="235"/>
      <c r="P35" s="235"/>
      <c r="Q35" s="235"/>
    </row>
  </sheetData>
  <mergeCells count="32">
    <mergeCell ref="A35:Q35"/>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M9:N9"/>
    <mergeCell ref="O9:P9"/>
    <mergeCell ref="A10:B10"/>
    <mergeCell ref="A11:B11"/>
    <mergeCell ref="A12:B12"/>
    <mergeCell ref="I9:J9"/>
    <mergeCell ref="A19:B19"/>
    <mergeCell ref="A20:B20"/>
    <mergeCell ref="A22:B22"/>
    <mergeCell ref="A18:B18"/>
    <mergeCell ref="K9:L9"/>
    <mergeCell ref="A13:B13"/>
    <mergeCell ref="A14:B14"/>
    <mergeCell ref="A15:B15"/>
    <mergeCell ref="A16:B16"/>
    <mergeCell ref="A17:B17"/>
  </mergeCells>
  <pageMargins left="0.25" right="0.25" top="0.25" bottom="0.25" header="0.3" footer="0.3"/>
  <pageSetup scale="43" orientation="landscape" r:id="rId1"/>
  <headerFooter>
    <oddFooter>&amp;RPage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pageSetUpPr fitToPage="1"/>
  </sheetPr>
  <dimension ref="A1:S25"/>
  <sheetViews>
    <sheetView topLeftCell="D1" zoomScale="70" zoomScaleNormal="70" workbookViewId="0">
      <selection activeCell="H10" sqref="H10"/>
    </sheetView>
  </sheetViews>
  <sheetFormatPr defaultColWidth="9.42578125" defaultRowHeight="14.25" x14ac:dyDescent="0.2"/>
  <cols>
    <col min="1" max="1" width="46.85546875" style="2" customWidth="1"/>
    <col min="2" max="2" width="11.5703125" style="2" customWidth="1"/>
    <col min="3" max="3" width="17" style="2" bestFit="1" customWidth="1"/>
    <col min="4" max="4" width="8.42578125" style="2" bestFit="1" customWidth="1"/>
    <col min="5" max="7" width="12.5703125" style="2" customWidth="1"/>
    <col min="8" max="8" width="15.5703125" style="2" bestFit="1" customWidth="1"/>
    <col min="9" max="9" width="16.5703125" style="2" bestFit="1" customWidth="1"/>
    <col min="10" max="10" width="16.42578125" style="2" bestFit="1" customWidth="1"/>
    <col min="11" max="11" width="16.5703125" style="2" bestFit="1" customWidth="1"/>
    <col min="12" max="12" width="18.42578125" style="2" bestFit="1" customWidth="1"/>
    <col min="13" max="13" width="16.5703125" style="2" bestFit="1" customWidth="1"/>
    <col min="14" max="14" width="18.42578125" style="2" bestFit="1" customWidth="1"/>
    <col min="15" max="15" width="16.5703125" style="2" bestFit="1" customWidth="1"/>
    <col min="16" max="16" width="18.42578125" style="2" bestFit="1" customWidth="1"/>
    <col min="17" max="17" width="16.5703125" style="2" bestFit="1" customWidth="1"/>
    <col min="18" max="18" width="12.5703125" style="2" customWidth="1"/>
    <col min="19" max="19" width="16.5703125" style="2" bestFit="1" customWidth="1"/>
    <col min="20" max="16384" width="9.42578125" style="2"/>
  </cols>
  <sheetData>
    <row r="1" spans="1:19" s="16" customFormat="1" ht="36.75" customHeight="1" x14ac:dyDescent="0.25">
      <c r="A1" s="222" t="s">
        <v>82</v>
      </c>
      <c r="B1" s="233"/>
      <c r="C1" s="233"/>
      <c r="D1" s="233"/>
      <c r="E1" s="233"/>
      <c r="F1" s="233"/>
      <c r="G1" s="233"/>
      <c r="H1" s="233"/>
      <c r="I1" s="233"/>
      <c r="J1" s="233"/>
      <c r="K1" s="233"/>
      <c r="L1" s="233"/>
      <c r="M1" s="233"/>
      <c r="N1" s="233"/>
      <c r="O1" s="233"/>
      <c r="P1" s="233"/>
      <c r="Q1" s="233"/>
      <c r="R1" s="233"/>
      <c r="S1" s="233"/>
    </row>
    <row r="3" spans="1:19" ht="15" thickBot="1" x14ac:dyDescent="0.25"/>
    <row r="4" spans="1:19" ht="15" x14ac:dyDescent="0.25">
      <c r="A4" s="223" t="s">
        <v>201</v>
      </c>
      <c r="B4" s="224"/>
      <c r="C4" s="224"/>
      <c r="D4" s="224"/>
      <c r="E4" s="224"/>
      <c r="F4" s="224"/>
      <c r="G4" s="224"/>
      <c r="H4" s="224"/>
      <c r="I4" s="224"/>
      <c r="J4" s="224"/>
      <c r="K4" s="224"/>
      <c r="L4" s="224"/>
      <c r="M4" s="224"/>
      <c r="N4" s="224"/>
      <c r="O4" s="224"/>
      <c r="P4" s="224"/>
      <c r="Q4" s="224"/>
      <c r="R4" s="224"/>
      <c r="S4" s="225"/>
    </row>
    <row r="5" spans="1:19" x14ac:dyDescent="0.2">
      <c r="A5" s="17"/>
      <c r="S5" s="18"/>
    </row>
    <row r="6" spans="1:19" ht="15" x14ac:dyDescent="0.25">
      <c r="A6" s="17"/>
      <c r="B6" s="68" t="s">
        <v>31</v>
      </c>
      <c r="C6" s="226" t="s">
        <v>32</v>
      </c>
      <c r="D6" s="227"/>
      <c r="E6" s="226" t="s">
        <v>33</v>
      </c>
      <c r="F6" s="228"/>
      <c r="G6" s="227"/>
      <c r="H6" s="226" t="s">
        <v>34</v>
      </c>
      <c r="I6" s="227"/>
      <c r="J6" s="226" t="s">
        <v>35</v>
      </c>
      <c r="K6" s="227"/>
      <c r="L6" s="226" t="s">
        <v>36</v>
      </c>
      <c r="M6" s="227"/>
      <c r="N6" s="226" t="s">
        <v>37</v>
      </c>
      <c r="O6" s="227"/>
      <c r="P6" s="226" t="s">
        <v>38</v>
      </c>
      <c r="Q6" s="227"/>
      <c r="R6" s="226" t="s">
        <v>39</v>
      </c>
      <c r="S6" s="229"/>
    </row>
    <row r="7" spans="1:19" ht="15" hidden="1" customHeight="1" x14ac:dyDescent="0.25">
      <c r="A7" s="17"/>
      <c r="B7" s="68" t="s">
        <v>40</v>
      </c>
      <c r="C7" s="19"/>
      <c r="D7" s="79"/>
      <c r="E7" s="20" t="s">
        <v>41</v>
      </c>
      <c r="G7" s="21"/>
      <c r="H7" s="20" t="s">
        <v>42</v>
      </c>
      <c r="I7" s="21"/>
      <c r="J7" s="20" t="s">
        <v>43</v>
      </c>
      <c r="K7" s="21"/>
      <c r="L7" s="20" t="s">
        <v>44</v>
      </c>
      <c r="M7" s="21"/>
      <c r="N7" s="20" t="s">
        <v>45</v>
      </c>
      <c r="O7" s="21"/>
      <c r="P7" s="20" t="s">
        <v>46</v>
      </c>
      <c r="Q7" s="21"/>
      <c r="R7" s="20" t="s">
        <v>47</v>
      </c>
      <c r="S7" s="18"/>
    </row>
    <row r="8" spans="1:19" s="29" customFormat="1" ht="15" x14ac:dyDescent="0.25">
      <c r="A8" s="22"/>
      <c r="B8" s="68" t="s">
        <v>48</v>
      </c>
      <c r="C8" s="23">
        <v>0</v>
      </c>
      <c r="D8" s="24">
        <v>25000</v>
      </c>
      <c r="E8" s="25">
        <v>0</v>
      </c>
      <c r="F8" s="26"/>
      <c r="G8" s="27">
        <v>25000</v>
      </c>
      <c r="H8" s="25">
        <v>25001</v>
      </c>
      <c r="I8" s="27">
        <v>75000</v>
      </c>
      <c r="J8" s="25">
        <v>75001</v>
      </c>
      <c r="K8" s="27">
        <v>125000</v>
      </c>
      <c r="L8" s="25">
        <v>125001</v>
      </c>
      <c r="M8" s="27">
        <v>175000</v>
      </c>
      <c r="N8" s="25">
        <v>175001</v>
      </c>
      <c r="O8" s="27">
        <v>225000</v>
      </c>
      <c r="P8" s="25">
        <v>225001</v>
      </c>
      <c r="Q8" s="27">
        <v>275000</v>
      </c>
      <c r="R8" s="25">
        <v>275001</v>
      </c>
      <c r="S8" s="28">
        <f>R8+49999</f>
        <v>325000</v>
      </c>
    </row>
    <row r="9" spans="1:19" s="33" customFormat="1" ht="15" x14ac:dyDescent="0.25">
      <c r="A9" s="30"/>
      <c r="B9" s="31" t="s">
        <v>49</v>
      </c>
      <c r="C9" s="32"/>
      <c r="D9" s="80"/>
      <c r="E9" s="219" t="s">
        <v>50</v>
      </c>
      <c r="F9" s="220"/>
      <c r="G9" s="221"/>
      <c r="H9" s="206">
        <v>0</v>
      </c>
      <c r="I9" s="216"/>
      <c r="J9" s="206">
        <v>0</v>
      </c>
      <c r="K9" s="216"/>
      <c r="L9" s="206">
        <v>0</v>
      </c>
      <c r="M9" s="216"/>
      <c r="N9" s="206">
        <v>0</v>
      </c>
      <c r="O9" s="216"/>
      <c r="P9" s="206">
        <v>0</v>
      </c>
      <c r="Q9" s="216"/>
      <c r="R9" s="206">
        <v>0</v>
      </c>
      <c r="S9" s="207"/>
    </row>
    <row r="10" spans="1:19" s="16" customFormat="1" ht="24.75" customHeight="1" x14ac:dyDescent="0.25">
      <c r="A10" s="34"/>
      <c r="C10" s="208" t="s">
        <v>51</v>
      </c>
      <c r="D10" s="209"/>
      <c r="E10" s="71" t="s">
        <v>52</v>
      </c>
      <c r="F10" s="35" t="s">
        <v>53</v>
      </c>
      <c r="G10" s="72" t="s">
        <v>54</v>
      </c>
      <c r="H10" s="71" t="s">
        <v>52</v>
      </c>
      <c r="I10" s="72" t="s">
        <v>55</v>
      </c>
      <c r="J10" s="71" t="s">
        <v>52</v>
      </c>
      <c r="K10" s="72" t="s">
        <v>55</v>
      </c>
      <c r="L10" s="71" t="s">
        <v>52</v>
      </c>
      <c r="M10" s="72" t="s">
        <v>55</v>
      </c>
      <c r="N10" s="71" t="s">
        <v>52</v>
      </c>
      <c r="O10" s="72" t="s">
        <v>55</v>
      </c>
      <c r="P10" s="36" t="s">
        <v>52</v>
      </c>
      <c r="Q10" s="72" t="s">
        <v>55</v>
      </c>
      <c r="R10" s="71" t="s">
        <v>52</v>
      </c>
      <c r="S10" s="37" t="s">
        <v>55</v>
      </c>
    </row>
    <row r="11" spans="1:19" x14ac:dyDescent="0.2">
      <c r="A11" s="81" t="s">
        <v>3</v>
      </c>
      <c r="C11" s="210">
        <f>(563310)*B21</f>
        <v>563310</v>
      </c>
      <c r="D11" s="211"/>
      <c r="E11" s="38" t="s">
        <v>56</v>
      </c>
      <c r="F11" s="39" t="s">
        <v>56</v>
      </c>
      <c r="G11" s="40" t="s">
        <v>56</v>
      </c>
      <c r="H11" s="41">
        <f>ROUND(1.8777*B21,4)</f>
        <v>1.8776999999999999</v>
      </c>
      <c r="I11" s="42">
        <f>MAX(ROUND((H$9-25000)*H11,2),0)</f>
        <v>0</v>
      </c>
      <c r="J11" s="41">
        <f>ROUND(1.4083*B21,4)</f>
        <v>1.4083000000000001</v>
      </c>
      <c r="K11" s="42">
        <f>MAX(ROUND((J$9-25000)*J11,2),0)</f>
        <v>0</v>
      </c>
      <c r="L11" s="41">
        <f>ROUND(1.1971*B21,4)</f>
        <v>1.1971000000000001</v>
      </c>
      <c r="M11" s="42">
        <f>MAX(ROUND((L$9-25000)*L11,2),0)</f>
        <v>0</v>
      </c>
      <c r="N11" s="41">
        <f>ROUND(1.0774*B21,4)</f>
        <v>1.0773999999999999</v>
      </c>
      <c r="O11" s="42">
        <f>MAX(ROUND((N$9-25000)*N11,2),0)</f>
        <v>0</v>
      </c>
      <c r="P11" s="41">
        <f>ROUND(1.0559*B21,4)</f>
        <v>1.0559000000000001</v>
      </c>
      <c r="Q11" s="42">
        <f>MAX(ROUND((P$9-25000)*P11,2),0)</f>
        <v>0</v>
      </c>
      <c r="R11" s="41">
        <f>ROUND(1.0348*B21,4)</f>
        <v>1.0347999999999999</v>
      </c>
      <c r="S11" s="43">
        <f>MAX(ROUND((R$9-25000)*R11,2),0)</f>
        <v>0</v>
      </c>
    </row>
    <row r="12" spans="1:19" s="48" customFormat="1" ht="15" x14ac:dyDescent="0.25">
      <c r="A12" s="212" t="s">
        <v>202</v>
      </c>
      <c r="B12" s="213"/>
      <c r="C12" s="214">
        <f>C11</f>
        <v>563310</v>
      </c>
      <c r="D12" s="215"/>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7"/>
      <c r="S13" s="18"/>
    </row>
    <row r="14" spans="1:19" ht="15.75" thickBot="1" x14ac:dyDescent="0.3">
      <c r="A14" s="217" t="s">
        <v>203</v>
      </c>
      <c r="B14" s="218"/>
      <c r="C14" s="86">
        <f>SUM(E12:S12)+C12</f>
        <v>563310</v>
      </c>
      <c r="D14" s="68"/>
      <c r="E14" s="49"/>
      <c r="Q14" s="33"/>
      <c r="S14" s="18"/>
    </row>
    <row r="15" spans="1:19" x14ac:dyDescent="0.2">
      <c r="A15" s="17"/>
      <c r="S15" s="18"/>
    </row>
    <row r="16" spans="1:19" ht="15" x14ac:dyDescent="0.25">
      <c r="A16" s="87" t="s">
        <v>109</v>
      </c>
      <c r="B16" s="68"/>
      <c r="S16" s="18"/>
    </row>
    <row r="17" spans="1:19" ht="15" x14ac:dyDescent="0.25">
      <c r="A17" s="88" t="s">
        <v>110</v>
      </c>
      <c r="B17" s="151">
        <v>0</v>
      </c>
      <c r="S17" s="18"/>
    </row>
    <row r="18" spans="1:19" ht="15" x14ac:dyDescent="0.25">
      <c r="A18" s="88" t="s">
        <v>111</v>
      </c>
      <c r="B18" s="151">
        <v>0</v>
      </c>
      <c r="S18" s="18"/>
    </row>
    <row r="19" spans="1:19" ht="15" x14ac:dyDescent="0.25">
      <c r="A19" s="88" t="s">
        <v>112</v>
      </c>
      <c r="B19" s="151">
        <f>B18-B17</f>
        <v>0</v>
      </c>
      <c r="S19" s="18"/>
    </row>
    <row r="20" spans="1:19" ht="15" x14ac:dyDescent="0.25">
      <c r="A20" s="88" t="s">
        <v>114</v>
      </c>
      <c r="B20" s="151">
        <f>IFERROR(B19/B17,0)</f>
        <v>0</v>
      </c>
      <c r="S20" s="18"/>
    </row>
    <row r="21" spans="1:19" ht="15" x14ac:dyDescent="0.25">
      <c r="A21" s="88" t="s">
        <v>113</v>
      </c>
      <c r="B21" s="151">
        <f>B20+1</f>
        <v>1</v>
      </c>
      <c r="S21" s="18"/>
    </row>
    <row r="22" spans="1:19" x14ac:dyDescent="0.2">
      <c r="A22" s="17"/>
      <c r="S22" s="18"/>
    </row>
    <row r="23" spans="1:19" x14ac:dyDescent="0.2">
      <c r="A23" s="17" t="s">
        <v>57</v>
      </c>
      <c r="C23" s="50"/>
      <c r="S23" s="18"/>
    </row>
    <row r="24" spans="1:19" x14ac:dyDescent="0.2">
      <c r="A24" s="17" t="s">
        <v>58</v>
      </c>
      <c r="C24" s="51"/>
      <c r="J24" s="52"/>
      <c r="S24" s="18"/>
    </row>
    <row r="25" spans="1:19" ht="15" thickBot="1" x14ac:dyDescent="0.25">
      <c r="A25" s="53" t="s">
        <v>59</v>
      </c>
      <c r="B25" s="54"/>
      <c r="C25" s="54"/>
      <c r="D25" s="54"/>
      <c r="E25" s="54"/>
      <c r="F25" s="54"/>
      <c r="G25" s="54"/>
      <c r="H25" s="55"/>
      <c r="I25" s="54"/>
      <c r="J25" s="55"/>
      <c r="K25" s="54"/>
      <c r="L25" s="55"/>
      <c r="M25" s="54"/>
      <c r="N25" s="55"/>
      <c r="O25" s="54"/>
      <c r="P25" s="55"/>
      <c r="Q25" s="54"/>
      <c r="R25" s="55"/>
      <c r="S25" s="56"/>
    </row>
  </sheetData>
  <mergeCells count="22">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s>
  <pageMargins left="0.25" right="0.25" top="0.25" bottom="0.25" header="0.3" footer="0.3"/>
  <pageSetup scale="41" orientation="landscape" r:id="rId1"/>
  <headerFooter>
    <oddFooter>&amp;RPage &amp;P of &amp;N</oddFooter>
  </headerFooter>
  <rowBreaks count="1" manualBreakCount="1">
    <brk id="2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pageSetUpPr fitToPage="1"/>
  </sheetPr>
  <dimension ref="A1:Z33"/>
  <sheetViews>
    <sheetView topLeftCell="B2" zoomScale="70" zoomScaleNormal="70" workbookViewId="0">
      <selection activeCell="H10" sqref="H10"/>
    </sheetView>
  </sheetViews>
  <sheetFormatPr defaultColWidth="9.42578125" defaultRowHeight="14.25" x14ac:dyDescent="0.2"/>
  <cols>
    <col min="1" max="1" width="46.85546875" style="2" customWidth="1"/>
    <col min="2" max="2" width="11.5703125" style="2" customWidth="1"/>
    <col min="3" max="3" width="20.42578125" style="2" customWidth="1"/>
    <col min="4" max="4" width="21.5703125" style="2" customWidth="1"/>
    <col min="5" max="5" width="12.5703125" style="2" customWidth="1"/>
    <col min="6" max="6" width="16" style="2" customWidth="1"/>
    <col min="7" max="8" width="12.5703125" style="2" customWidth="1"/>
    <col min="9" max="9" width="15.42578125" style="2" customWidth="1"/>
    <col min="10" max="11" width="18" style="2" customWidth="1"/>
    <col min="12" max="12" width="17.42578125" style="2" customWidth="1"/>
    <col min="13" max="13" width="18.42578125" style="2" customWidth="1"/>
    <col min="14" max="14" width="12.5703125" style="2" customWidth="1"/>
    <col min="15" max="15" width="15.42578125" style="2" customWidth="1"/>
    <col min="16" max="16" width="18.5703125" style="2" customWidth="1"/>
    <col min="17" max="17" width="12.5703125" style="2" customWidth="1"/>
    <col min="18" max="18" width="15.42578125" style="2" customWidth="1"/>
    <col min="19" max="19" width="20.5703125" style="2" customWidth="1"/>
    <col min="20" max="20" width="12.5703125" style="2" customWidth="1"/>
    <col min="21" max="21" width="19.42578125" style="2" customWidth="1"/>
    <col min="22" max="22" width="23.42578125" style="2" bestFit="1" customWidth="1"/>
    <col min="23" max="23" width="12.5703125" style="2" customWidth="1"/>
    <col min="24" max="24" width="16.42578125" style="2" bestFit="1" customWidth="1"/>
    <col min="25" max="25" width="21.42578125" style="2" customWidth="1"/>
    <col min="26" max="16384" width="9.42578125" style="2"/>
  </cols>
  <sheetData>
    <row r="1" spans="1:26" ht="35.25" customHeight="1" x14ac:dyDescent="0.25">
      <c r="A1" s="222" t="s">
        <v>83</v>
      </c>
      <c r="B1" s="233"/>
      <c r="C1" s="233"/>
      <c r="D1" s="233"/>
      <c r="E1" s="233"/>
      <c r="F1" s="233"/>
      <c r="G1" s="233"/>
      <c r="H1" s="233"/>
      <c r="I1" s="233"/>
      <c r="J1" s="233"/>
      <c r="K1" s="233"/>
      <c r="L1" s="233"/>
      <c r="M1" s="233"/>
      <c r="N1" s="233"/>
      <c r="O1" s="233"/>
      <c r="P1" s="233"/>
      <c r="Q1" s="233"/>
      <c r="R1" s="233"/>
      <c r="S1" s="233"/>
    </row>
    <row r="2" spans="1:26" x14ac:dyDescent="0.2">
      <c r="A2" s="57"/>
    </row>
    <row r="3" spans="1:26" ht="15" thickBot="1" x14ac:dyDescent="0.25"/>
    <row r="4" spans="1:26" ht="15" x14ac:dyDescent="0.25">
      <c r="A4" s="223" t="s">
        <v>206</v>
      </c>
      <c r="B4" s="224"/>
      <c r="C4" s="224"/>
      <c r="D4" s="224"/>
      <c r="E4" s="224"/>
      <c r="F4" s="224"/>
      <c r="G4" s="224"/>
      <c r="H4" s="224"/>
      <c r="I4" s="224"/>
      <c r="J4" s="224"/>
      <c r="K4" s="224"/>
      <c r="L4" s="224"/>
      <c r="M4" s="224"/>
      <c r="N4" s="224"/>
      <c r="O4" s="224"/>
      <c r="P4" s="224"/>
      <c r="Q4" s="224"/>
      <c r="R4" s="224"/>
      <c r="S4" s="224"/>
      <c r="T4" s="224"/>
      <c r="U4" s="224"/>
      <c r="V4" s="224"/>
      <c r="W4" s="224"/>
      <c r="X4" s="224"/>
      <c r="Y4" s="225"/>
    </row>
    <row r="5" spans="1:26" x14ac:dyDescent="0.2">
      <c r="A5" s="17"/>
      <c r="Y5" s="18"/>
    </row>
    <row r="6" spans="1:26" ht="15" x14ac:dyDescent="0.25">
      <c r="A6" s="17"/>
      <c r="B6" s="68" t="s">
        <v>31</v>
      </c>
      <c r="C6" s="226" t="s">
        <v>32</v>
      </c>
      <c r="D6" s="227"/>
      <c r="E6" s="226" t="s">
        <v>33</v>
      </c>
      <c r="F6" s="228"/>
      <c r="G6" s="227"/>
      <c r="H6" s="226" t="s">
        <v>34</v>
      </c>
      <c r="I6" s="228"/>
      <c r="J6" s="227"/>
      <c r="K6" s="226" t="s">
        <v>35</v>
      </c>
      <c r="L6" s="228"/>
      <c r="M6" s="227"/>
      <c r="N6" s="226" t="s">
        <v>36</v>
      </c>
      <c r="O6" s="228"/>
      <c r="P6" s="227"/>
      <c r="Q6" s="226" t="s">
        <v>37</v>
      </c>
      <c r="R6" s="228"/>
      <c r="S6" s="227"/>
      <c r="T6" s="226" t="s">
        <v>38</v>
      </c>
      <c r="U6" s="228"/>
      <c r="V6" s="227"/>
      <c r="W6" s="226" t="s">
        <v>39</v>
      </c>
      <c r="X6" s="228"/>
      <c r="Y6" s="229"/>
    </row>
    <row r="7" spans="1:26" ht="15" hidden="1" x14ac:dyDescent="0.25">
      <c r="A7" s="17"/>
      <c r="B7" s="68" t="s">
        <v>40</v>
      </c>
      <c r="C7" s="19"/>
      <c r="D7" s="79"/>
      <c r="E7" s="20" t="s">
        <v>41</v>
      </c>
      <c r="G7" s="21"/>
      <c r="H7" s="20" t="s">
        <v>42</v>
      </c>
      <c r="J7" s="21"/>
      <c r="K7" s="20" t="s">
        <v>43</v>
      </c>
      <c r="M7" s="21"/>
      <c r="N7" s="20" t="s">
        <v>44</v>
      </c>
      <c r="P7" s="21"/>
      <c r="Q7" s="20" t="s">
        <v>45</v>
      </c>
      <c r="S7" s="21"/>
      <c r="T7" s="20" t="s">
        <v>46</v>
      </c>
      <c r="V7" s="21"/>
      <c r="W7" s="20" t="s">
        <v>47</v>
      </c>
      <c r="Y7" s="18"/>
    </row>
    <row r="8" spans="1:26" s="29" customFormat="1" ht="15" x14ac:dyDescent="0.25">
      <c r="A8" s="22"/>
      <c r="B8" s="68" t="s">
        <v>48</v>
      </c>
      <c r="C8" s="23">
        <v>0</v>
      </c>
      <c r="D8" s="24">
        <v>25000</v>
      </c>
      <c r="E8" s="25">
        <v>0</v>
      </c>
      <c r="F8" s="26"/>
      <c r="G8" s="27">
        <v>25000</v>
      </c>
      <c r="H8" s="25">
        <v>25001</v>
      </c>
      <c r="I8" s="26"/>
      <c r="J8" s="27">
        <v>75000</v>
      </c>
      <c r="K8" s="25">
        <v>75001</v>
      </c>
      <c r="L8" s="26"/>
      <c r="M8" s="27">
        <v>125000</v>
      </c>
      <c r="N8" s="25">
        <v>125001</v>
      </c>
      <c r="O8" s="26"/>
      <c r="P8" s="27">
        <v>175000</v>
      </c>
      <c r="Q8" s="25">
        <v>175001</v>
      </c>
      <c r="R8" s="26"/>
      <c r="S8" s="27">
        <v>225000</v>
      </c>
      <c r="T8" s="25">
        <v>225001</v>
      </c>
      <c r="U8" s="26"/>
      <c r="V8" s="27">
        <v>275000</v>
      </c>
      <c r="W8" s="25">
        <v>275001</v>
      </c>
      <c r="X8" s="26"/>
      <c r="Y8" s="28">
        <f>W8+49999</f>
        <v>325000</v>
      </c>
    </row>
    <row r="9" spans="1:26" s="33" customFormat="1" ht="15" x14ac:dyDescent="0.25">
      <c r="A9" s="30"/>
      <c r="B9" s="31" t="s">
        <v>49</v>
      </c>
      <c r="C9" s="32"/>
      <c r="D9" s="80"/>
      <c r="E9" s="219" t="s">
        <v>50</v>
      </c>
      <c r="F9" s="220"/>
      <c r="G9" s="221"/>
      <c r="H9" s="206">
        <v>0</v>
      </c>
      <c r="I9" s="232"/>
      <c r="J9" s="216"/>
      <c r="K9" s="206">
        <v>0</v>
      </c>
      <c r="L9" s="232"/>
      <c r="M9" s="216"/>
      <c r="N9" s="206">
        <v>0</v>
      </c>
      <c r="O9" s="232"/>
      <c r="P9" s="216"/>
      <c r="Q9" s="206">
        <v>0</v>
      </c>
      <c r="R9" s="232"/>
      <c r="S9" s="216"/>
      <c r="T9" s="206">
        <v>0</v>
      </c>
      <c r="U9" s="232"/>
      <c r="V9" s="216"/>
      <c r="W9" s="206">
        <v>0</v>
      </c>
      <c r="X9" s="232"/>
      <c r="Y9" s="207"/>
    </row>
    <row r="10" spans="1:26" s="16" customFormat="1" ht="24.75" x14ac:dyDescent="0.25">
      <c r="A10" s="34" t="s">
        <v>60</v>
      </c>
      <c r="C10" s="71" t="s">
        <v>61</v>
      </c>
      <c r="D10" s="72" t="s">
        <v>62</v>
      </c>
      <c r="E10" s="71" t="s">
        <v>52</v>
      </c>
      <c r="F10" s="35" t="s">
        <v>53</v>
      </c>
      <c r="G10" s="72" t="s">
        <v>54</v>
      </c>
      <c r="H10" s="71" t="s">
        <v>52</v>
      </c>
      <c r="I10" s="35" t="s">
        <v>53</v>
      </c>
      <c r="J10" s="72" t="s">
        <v>54</v>
      </c>
      <c r="K10" s="71" t="s">
        <v>52</v>
      </c>
      <c r="L10" s="35" t="s">
        <v>53</v>
      </c>
      <c r="M10" s="72" t="s">
        <v>54</v>
      </c>
      <c r="N10" s="71" t="s">
        <v>52</v>
      </c>
      <c r="O10" s="35" t="s">
        <v>53</v>
      </c>
      <c r="P10" s="72" t="s">
        <v>54</v>
      </c>
      <c r="Q10" s="58"/>
      <c r="R10" s="35" t="s">
        <v>53</v>
      </c>
      <c r="S10" s="72" t="s">
        <v>54</v>
      </c>
      <c r="T10" s="71" t="s">
        <v>52</v>
      </c>
      <c r="U10" s="35" t="s">
        <v>53</v>
      </c>
      <c r="V10" s="72" t="s">
        <v>54</v>
      </c>
      <c r="W10" s="71" t="s">
        <v>52</v>
      </c>
      <c r="X10" s="35" t="s">
        <v>53</v>
      </c>
      <c r="Y10" s="37" t="s">
        <v>54</v>
      </c>
    </row>
    <row r="11" spans="1:26" x14ac:dyDescent="0.2">
      <c r="A11" s="230" t="s">
        <v>63</v>
      </c>
      <c r="B11" s="231"/>
      <c r="C11" s="59">
        <f>ROUND(81131.34*B29,2)</f>
        <v>81131.34</v>
      </c>
      <c r="D11" s="42">
        <f>C11*12</f>
        <v>973576.08</v>
      </c>
      <c r="E11" s="38" t="s">
        <v>56</v>
      </c>
      <c r="F11" s="38" t="s">
        <v>56</v>
      </c>
      <c r="G11" s="38" t="s">
        <v>56</v>
      </c>
      <c r="H11" s="60">
        <f>ROUND(3.054*B29,4)</f>
        <v>3.0539999999999998</v>
      </c>
      <c r="I11" s="49">
        <f t="shared" ref="I11:I18" si="0">MAX(ROUND((H$9-25000)*H11,2),0)</f>
        <v>0</v>
      </c>
      <c r="J11" s="42">
        <f>I11*12</f>
        <v>0</v>
      </c>
      <c r="K11" s="60">
        <f>ROUND(2.7402*B29,4)</f>
        <v>2.7402000000000002</v>
      </c>
      <c r="L11" s="49">
        <f t="shared" ref="L11:L18" si="1">MAX(ROUND((K$9-25000)*K11,2),0)</f>
        <v>0</v>
      </c>
      <c r="M11" s="42">
        <f>L11*12</f>
        <v>0</v>
      </c>
      <c r="N11" s="60">
        <f>ROUND(2.3359*B29,4)</f>
        <v>2.3359000000000001</v>
      </c>
      <c r="O11" s="49">
        <f t="shared" ref="O11:O18" si="2">MAX(ROUND((N$9-25000)*N11,2),0)</f>
        <v>0</v>
      </c>
      <c r="P11" s="42">
        <f>O11*12</f>
        <v>0</v>
      </c>
      <c r="Q11" s="60">
        <f>ROUND(1.944*B29,4)</f>
        <v>1.944</v>
      </c>
      <c r="R11" s="49">
        <f t="shared" ref="R11:R18" si="3">MAX(ROUND((Q$9-25000)*Q11,2),0)</f>
        <v>0</v>
      </c>
      <c r="S11" s="42">
        <f>R11*12</f>
        <v>0</v>
      </c>
      <c r="T11" s="60">
        <f>ROUND(1.912*B29,4)</f>
        <v>1.9119999999999999</v>
      </c>
      <c r="U11" s="49">
        <f t="shared" ref="U11:U18" si="4">MAX(ROUND((T$9-25000)*T11,2),0)</f>
        <v>0</v>
      </c>
      <c r="V11" s="42">
        <f>U11*12</f>
        <v>0</v>
      </c>
      <c r="W11" s="60">
        <f>ROUND(1.896*B29,4)</f>
        <v>1.8959999999999999</v>
      </c>
      <c r="X11" s="49">
        <f t="shared" ref="X11:X18" si="5">MAX(ROUND((W$9-25000)*W11,2),0)</f>
        <v>0</v>
      </c>
      <c r="Y11" s="43">
        <f>X11*12</f>
        <v>0</v>
      </c>
      <c r="Z11" s="16"/>
    </row>
    <row r="12" spans="1:26" x14ac:dyDescent="0.2">
      <c r="A12" s="230" t="s">
        <v>64</v>
      </c>
      <c r="B12" s="231"/>
      <c r="C12" s="59">
        <f>ROUND(82064.35*B29,2)</f>
        <v>82064.350000000006</v>
      </c>
      <c r="D12" s="42">
        <f>C12*12</f>
        <v>984772.20000000007</v>
      </c>
      <c r="E12" s="38" t="s">
        <v>56</v>
      </c>
      <c r="F12" s="38" t="s">
        <v>56</v>
      </c>
      <c r="G12" s="38" t="s">
        <v>56</v>
      </c>
      <c r="H12" s="61">
        <f>ROUND(2.2873*B29,4)</f>
        <v>2.2873000000000001</v>
      </c>
      <c r="I12" s="49">
        <f t="shared" si="0"/>
        <v>0</v>
      </c>
      <c r="J12" s="42">
        <f t="shared" ref="J12:J18" si="6">I12*12</f>
        <v>0</v>
      </c>
      <c r="K12" s="61">
        <f>ROUND(2.5238*B29,4)</f>
        <v>2.5238</v>
      </c>
      <c r="L12" s="49">
        <f t="shared" si="1"/>
        <v>0</v>
      </c>
      <c r="M12" s="42">
        <f t="shared" ref="M12:M18" si="7">L12*12</f>
        <v>0</v>
      </c>
      <c r="N12" s="61">
        <f>ROUND(2.1228*B29,4)</f>
        <v>2.1227999999999998</v>
      </c>
      <c r="O12" s="49">
        <f t="shared" si="2"/>
        <v>0</v>
      </c>
      <c r="P12" s="42">
        <f t="shared" ref="P12:P18" si="8">O12*12</f>
        <v>0</v>
      </c>
      <c r="Q12" s="61">
        <f>ROUND(1.7086*B29,4)</f>
        <v>1.7085999999999999</v>
      </c>
      <c r="R12" s="49">
        <f t="shared" si="3"/>
        <v>0</v>
      </c>
      <c r="S12" s="42">
        <f t="shared" ref="S12:S18" si="9">R12*12</f>
        <v>0</v>
      </c>
      <c r="T12" s="61">
        <f>ROUND(1.7003*B29,4)</f>
        <v>1.7002999999999999</v>
      </c>
      <c r="U12" s="49">
        <f t="shared" si="4"/>
        <v>0</v>
      </c>
      <c r="V12" s="42">
        <f t="shared" ref="V12:V18" si="10">U12*12</f>
        <v>0</v>
      </c>
      <c r="W12" s="61">
        <f>ROUND(1.6938*B29,4)</f>
        <v>1.6938</v>
      </c>
      <c r="X12" s="49">
        <f t="shared" si="5"/>
        <v>0</v>
      </c>
      <c r="Y12" s="43">
        <f t="shared" ref="Y12:Y18" si="11">X12*12</f>
        <v>0</v>
      </c>
    </row>
    <row r="13" spans="1:26" x14ac:dyDescent="0.2">
      <c r="A13" s="230" t="s">
        <v>65</v>
      </c>
      <c r="B13" s="231"/>
      <c r="C13" s="59">
        <f>ROUND(83008.09*B29,2)</f>
        <v>83008.09</v>
      </c>
      <c r="D13" s="42">
        <f t="shared" ref="D13:D19" si="12">C13*12</f>
        <v>996097.08</v>
      </c>
      <c r="E13" s="38" t="s">
        <v>56</v>
      </c>
      <c r="F13" s="38" t="s">
        <v>56</v>
      </c>
      <c r="G13" s="38" t="s">
        <v>56</v>
      </c>
      <c r="H13" s="61">
        <f>ROUND(2.3162*B29,4)</f>
        <v>2.3161999999999998</v>
      </c>
      <c r="I13" s="49">
        <f t="shared" si="0"/>
        <v>0</v>
      </c>
      <c r="J13" s="42">
        <f t="shared" si="6"/>
        <v>0</v>
      </c>
      <c r="K13" s="61">
        <f>ROUND(2.1889*B29,4)</f>
        <v>2.1888999999999998</v>
      </c>
      <c r="L13" s="49">
        <f t="shared" si="1"/>
        <v>0</v>
      </c>
      <c r="M13" s="42">
        <f t="shared" si="7"/>
        <v>0</v>
      </c>
      <c r="N13" s="61">
        <f>ROUND(1.8643*B29,4)</f>
        <v>1.8643000000000001</v>
      </c>
      <c r="O13" s="49">
        <f t="shared" si="2"/>
        <v>0</v>
      </c>
      <c r="P13" s="42">
        <f t="shared" si="8"/>
        <v>0</v>
      </c>
      <c r="Q13" s="61">
        <f>ROUND(1.5553*B29,4)</f>
        <v>1.5552999999999999</v>
      </c>
      <c r="R13" s="49">
        <f t="shared" si="3"/>
        <v>0</v>
      </c>
      <c r="S13" s="42">
        <f t="shared" si="9"/>
        <v>0</v>
      </c>
      <c r="T13" s="61">
        <f>ROUND(1.5466*B29,4)</f>
        <v>1.5466</v>
      </c>
      <c r="U13" s="49">
        <f t="shared" si="4"/>
        <v>0</v>
      </c>
      <c r="V13" s="42">
        <f t="shared" si="10"/>
        <v>0</v>
      </c>
      <c r="W13" s="61">
        <f>ROUND(1.5406*B29,4)</f>
        <v>1.5406</v>
      </c>
      <c r="X13" s="49">
        <f t="shared" si="5"/>
        <v>0</v>
      </c>
      <c r="Y13" s="43">
        <f t="shared" si="11"/>
        <v>0</v>
      </c>
    </row>
    <row r="14" spans="1:26" x14ac:dyDescent="0.2">
      <c r="A14" s="230" t="s">
        <v>66</v>
      </c>
      <c r="B14" s="231"/>
      <c r="C14" s="59">
        <f>ROUND(83962.68*B29,2)</f>
        <v>83962.68</v>
      </c>
      <c r="D14" s="42">
        <f t="shared" si="12"/>
        <v>1007552.1599999999</v>
      </c>
      <c r="E14" s="38" t="s">
        <v>56</v>
      </c>
      <c r="F14" s="38" t="s">
        <v>56</v>
      </c>
      <c r="G14" s="38" t="s">
        <v>56</v>
      </c>
      <c r="H14" s="61">
        <f>ROUND(2.351*B29,4)</f>
        <v>2.351</v>
      </c>
      <c r="I14" s="49">
        <f t="shared" si="0"/>
        <v>0</v>
      </c>
      <c r="J14" s="42">
        <f t="shared" si="6"/>
        <v>0</v>
      </c>
      <c r="K14" s="61">
        <f>ROUND(2.2094*B29,4)</f>
        <v>2.2094</v>
      </c>
      <c r="L14" s="49">
        <f t="shared" si="1"/>
        <v>0</v>
      </c>
      <c r="M14" s="42">
        <f t="shared" si="7"/>
        <v>0</v>
      </c>
      <c r="N14" s="61">
        <f>ROUND(1.8786*B29,4)</f>
        <v>1.8786</v>
      </c>
      <c r="O14" s="49">
        <f t="shared" si="2"/>
        <v>0</v>
      </c>
      <c r="P14" s="42">
        <f t="shared" si="8"/>
        <v>0</v>
      </c>
      <c r="Q14" s="61">
        <f>ROUND(1.5642*B29,4)</f>
        <v>1.5642</v>
      </c>
      <c r="R14" s="49">
        <f t="shared" si="3"/>
        <v>0</v>
      </c>
      <c r="S14" s="42">
        <f t="shared" si="9"/>
        <v>0</v>
      </c>
      <c r="T14" s="61">
        <f>ROUND(1.5552*B29,4)</f>
        <v>1.5551999999999999</v>
      </c>
      <c r="U14" s="49">
        <f t="shared" si="4"/>
        <v>0</v>
      </c>
      <c r="V14" s="42">
        <f t="shared" si="10"/>
        <v>0</v>
      </c>
      <c r="W14" s="61">
        <f>ROUND(1.5496*B29,4)</f>
        <v>1.5496000000000001</v>
      </c>
      <c r="X14" s="49">
        <f t="shared" si="5"/>
        <v>0</v>
      </c>
      <c r="Y14" s="43">
        <f t="shared" si="11"/>
        <v>0</v>
      </c>
    </row>
    <row r="15" spans="1:26" x14ac:dyDescent="0.2">
      <c r="A15" s="230" t="s">
        <v>67</v>
      </c>
      <c r="B15" s="231"/>
      <c r="C15" s="59">
        <f>ROUND(84928.25*B29,2)</f>
        <v>84928.25</v>
      </c>
      <c r="D15" s="42">
        <f t="shared" si="12"/>
        <v>1019139</v>
      </c>
      <c r="E15" s="38" t="s">
        <v>56</v>
      </c>
      <c r="F15" s="38" t="s">
        <v>56</v>
      </c>
      <c r="G15" s="38" t="s">
        <v>56</v>
      </c>
      <c r="H15" s="61">
        <f>ROUND(2.3937*B29,4)</f>
        <v>2.3936999999999999</v>
      </c>
      <c r="I15" s="49">
        <f t="shared" si="0"/>
        <v>0</v>
      </c>
      <c r="J15" s="42">
        <f t="shared" si="6"/>
        <v>0</v>
      </c>
      <c r="K15" s="61">
        <f>ROUND(2.2505*B29,4)</f>
        <v>2.2505000000000002</v>
      </c>
      <c r="L15" s="49">
        <f t="shared" si="1"/>
        <v>0</v>
      </c>
      <c r="M15" s="42">
        <f t="shared" si="7"/>
        <v>0</v>
      </c>
      <c r="N15" s="61">
        <f>ROUND(1.9131*B29,4)</f>
        <v>1.9131</v>
      </c>
      <c r="O15" s="49">
        <f t="shared" si="2"/>
        <v>0</v>
      </c>
      <c r="P15" s="42">
        <f t="shared" si="8"/>
        <v>0</v>
      </c>
      <c r="Q15" s="61">
        <f>ROUND(1.5932*B29,4)</f>
        <v>1.5931999999999999</v>
      </c>
      <c r="R15" s="49">
        <f t="shared" si="3"/>
        <v>0</v>
      </c>
      <c r="S15" s="42">
        <f t="shared" si="9"/>
        <v>0</v>
      </c>
      <c r="T15" s="61">
        <f>ROUND(1.5838*B29,4)</f>
        <v>1.5838000000000001</v>
      </c>
      <c r="U15" s="49">
        <f t="shared" si="4"/>
        <v>0</v>
      </c>
      <c r="V15" s="42">
        <f t="shared" si="10"/>
        <v>0</v>
      </c>
      <c r="W15" s="61">
        <f>ROUND(1.5781*B29,4)</f>
        <v>1.5781000000000001</v>
      </c>
      <c r="X15" s="49">
        <f t="shared" si="5"/>
        <v>0</v>
      </c>
      <c r="Y15" s="43">
        <f t="shared" si="11"/>
        <v>0</v>
      </c>
    </row>
    <row r="16" spans="1:26" x14ac:dyDescent="0.2">
      <c r="A16" s="230" t="s">
        <v>68</v>
      </c>
      <c r="B16" s="231"/>
      <c r="C16" s="59">
        <f>ROUND(85904.92*B29,2)</f>
        <v>85904.92</v>
      </c>
      <c r="D16" s="42">
        <f t="shared" si="12"/>
        <v>1030859.04</v>
      </c>
      <c r="E16" s="38" t="s">
        <v>56</v>
      </c>
      <c r="F16" s="38" t="s">
        <v>56</v>
      </c>
      <c r="G16" s="38" t="s">
        <v>56</v>
      </c>
      <c r="H16" s="61">
        <f>ROUND(2.4401*B29,4)</f>
        <v>2.4401000000000002</v>
      </c>
      <c r="I16" s="49">
        <f t="shared" si="0"/>
        <v>0</v>
      </c>
      <c r="J16" s="42">
        <f t="shared" si="6"/>
        <v>0</v>
      </c>
      <c r="K16" s="61">
        <f>ROUND(2.2927*B29,4)</f>
        <v>2.2927</v>
      </c>
      <c r="L16" s="49">
        <f t="shared" si="1"/>
        <v>0</v>
      </c>
      <c r="M16" s="42">
        <f t="shared" si="7"/>
        <v>0</v>
      </c>
      <c r="N16" s="61">
        <f>ROUND(1.9484*B29,4)</f>
        <v>1.9483999999999999</v>
      </c>
      <c r="O16" s="49">
        <f t="shared" si="2"/>
        <v>0</v>
      </c>
      <c r="P16" s="42">
        <f t="shared" si="8"/>
        <v>0</v>
      </c>
      <c r="Q16" s="61">
        <f>ROUND(1.6227*B29,4)</f>
        <v>1.6227</v>
      </c>
      <c r="R16" s="49">
        <f t="shared" si="3"/>
        <v>0</v>
      </c>
      <c r="S16" s="42">
        <f t="shared" si="9"/>
        <v>0</v>
      </c>
      <c r="T16" s="61">
        <f>ROUND(1.6131*B29,4)</f>
        <v>1.6131</v>
      </c>
      <c r="U16" s="49">
        <f t="shared" si="4"/>
        <v>0</v>
      </c>
      <c r="V16" s="42">
        <f t="shared" si="10"/>
        <v>0</v>
      </c>
      <c r="W16" s="61">
        <f>ROUND(1.6071*B29,4)</f>
        <v>1.6071</v>
      </c>
      <c r="X16" s="49">
        <f t="shared" si="5"/>
        <v>0</v>
      </c>
      <c r="Y16" s="43">
        <f t="shared" si="11"/>
        <v>0</v>
      </c>
    </row>
    <row r="17" spans="1:25" x14ac:dyDescent="0.2">
      <c r="A17" s="230" t="s">
        <v>69</v>
      </c>
      <c r="B17" s="231"/>
      <c r="C17" s="59">
        <f>ROUND(86892.83*B29,2)</f>
        <v>86892.83</v>
      </c>
      <c r="D17" s="42">
        <f t="shared" si="12"/>
        <v>1042713.96</v>
      </c>
      <c r="E17" s="38" t="s">
        <v>56</v>
      </c>
      <c r="F17" s="38" t="s">
        <v>56</v>
      </c>
      <c r="G17" s="38" t="s">
        <v>56</v>
      </c>
      <c r="H17" s="61">
        <f>ROUND(2.4896*B29,4)</f>
        <v>2.4895999999999998</v>
      </c>
      <c r="I17" s="49">
        <f t="shared" si="0"/>
        <v>0</v>
      </c>
      <c r="J17" s="42">
        <f t="shared" si="6"/>
        <v>0</v>
      </c>
      <c r="K17" s="61">
        <f>ROUND(2.3362*B29,4)</f>
        <v>2.3361999999999998</v>
      </c>
      <c r="L17" s="49">
        <f t="shared" si="1"/>
        <v>0</v>
      </c>
      <c r="M17" s="42">
        <f t="shared" si="7"/>
        <v>0</v>
      </c>
      <c r="N17" s="61">
        <f>ROUND(1.9849*B29,4)</f>
        <v>1.9849000000000001</v>
      </c>
      <c r="O17" s="49">
        <f t="shared" si="2"/>
        <v>0</v>
      </c>
      <c r="P17" s="42">
        <f t="shared" si="8"/>
        <v>0</v>
      </c>
      <c r="Q17" s="61">
        <f>ROUND(1.6529*B29,4)</f>
        <v>1.6529</v>
      </c>
      <c r="R17" s="49">
        <f t="shared" si="3"/>
        <v>0</v>
      </c>
      <c r="S17" s="42">
        <f t="shared" si="9"/>
        <v>0</v>
      </c>
      <c r="T17" s="61">
        <f>ROUND(1.6429*B29,4)</f>
        <v>1.6429</v>
      </c>
      <c r="U17" s="49">
        <f t="shared" si="4"/>
        <v>0</v>
      </c>
      <c r="V17" s="42">
        <f t="shared" si="10"/>
        <v>0</v>
      </c>
      <c r="W17" s="61">
        <f>ROUND(1.6368*B29,4)</f>
        <v>1.6368</v>
      </c>
      <c r="X17" s="49">
        <f t="shared" si="5"/>
        <v>0</v>
      </c>
      <c r="Y17" s="43">
        <f t="shared" si="11"/>
        <v>0</v>
      </c>
    </row>
    <row r="18" spans="1:25" x14ac:dyDescent="0.2">
      <c r="A18" s="230" t="s">
        <v>70</v>
      </c>
      <c r="B18" s="231"/>
      <c r="C18" s="59">
        <f>ROUND(87892.1*B29,2)</f>
        <v>87892.1</v>
      </c>
      <c r="D18" s="42">
        <f t="shared" si="12"/>
        <v>1054705.2000000002</v>
      </c>
      <c r="E18" s="38" t="s">
        <v>56</v>
      </c>
      <c r="F18" s="38" t="s">
        <v>56</v>
      </c>
      <c r="G18" s="38" t="s">
        <v>56</v>
      </c>
      <c r="H18" s="61">
        <f>ROUND(2.5346*B29,4)</f>
        <v>2.5346000000000002</v>
      </c>
      <c r="I18" s="49">
        <f t="shared" si="0"/>
        <v>0</v>
      </c>
      <c r="J18" s="42">
        <f t="shared" si="6"/>
        <v>0</v>
      </c>
      <c r="K18" s="61">
        <f>ROUND(2.3807*B29,4)</f>
        <v>2.3807</v>
      </c>
      <c r="L18" s="49">
        <f t="shared" si="1"/>
        <v>0</v>
      </c>
      <c r="M18" s="42">
        <f t="shared" si="7"/>
        <v>0</v>
      </c>
      <c r="N18" s="61">
        <f>ROUND(2.022*B29,4)</f>
        <v>2.0219999999999998</v>
      </c>
      <c r="O18" s="49">
        <f t="shared" si="2"/>
        <v>0</v>
      </c>
      <c r="P18" s="42">
        <f t="shared" si="8"/>
        <v>0</v>
      </c>
      <c r="Q18" s="61">
        <f>ROUND(1.6837*B29,4)</f>
        <v>1.6837</v>
      </c>
      <c r="R18" s="49">
        <f t="shared" si="3"/>
        <v>0</v>
      </c>
      <c r="S18" s="42">
        <f t="shared" si="9"/>
        <v>0</v>
      </c>
      <c r="T18" s="61">
        <f>ROUND(1.6734*B29,4)</f>
        <v>1.6734</v>
      </c>
      <c r="U18" s="49">
        <f t="shared" si="4"/>
        <v>0</v>
      </c>
      <c r="V18" s="42">
        <f t="shared" si="10"/>
        <v>0</v>
      </c>
      <c r="W18" s="61">
        <f>ROUND(1.6671*B29,4)</f>
        <v>1.6671</v>
      </c>
      <c r="X18" s="49">
        <f t="shared" si="5"/>
        <v>0</v>
      </c>
      <c r="Y18" s="43">
        <f t="shared" si="11"/>
        <v>0</v>
      </c>
    </row>
    <row r="19" spans="1:25" x14ac:dyDescent="0.2">
      <c r="A19" s="230" t="s">
        <v>71</v>
      </c>
      <c r="B19" s="231"/>
      <c r="C19" s="59">
        <f>ROUND(88902.86*B29,2)</f>
        <v>88902.86</v>
      </c>
      <c r="D19" s="42">
        <f t="shared" si="12"/>
        <v>1066834.32</v>
      </c>
      <c r="E19" s="38"/>
      <c r="F19" s="38"/>
      <c r="G19" s="38"/>
      <c r="H19" s="61">
        <f>ROUND(2.5881*B29,4)</f>
        <v>2.5880999999999998</v>
      </c>
      <c r="I19" s="49">
        <f t="shared" ref="I19" si="13">MAX(ROUND((H$9-25000)*H19,2),0)</f>
        <v>0</v>
      </c>
      <c r="J19" s="42">
        <f t="shared" ref="J19" si="14">I19*12</f>
        <v>0</v>
      </c>
      <c r="K19" s="61">
        <f>ROUND(2.426*B29,4)</f>
        <v>2.4260000000000002</v>
      </c>
      <c r="L19" s="49">
        <f t="shared" ref="L19" si="15">MAX(ROUND((K$9-25000)*K19,2),0)</f>
        <v>0</v>
      </c>
      <c r="M19" s="42">
        <f t="shared" ref="M19" si="16">L19*12</f>
        <v>0</v>
      </c>
      <c r="N19" s="61">
        <f>ROUND(2.06*B29,4)</f>
        <v>2.06</v>
      </c>
      <c r="O19" s="49">
        <f t="shared" ref="O19" si="17">MAX(ROUND((N$9-25000)*N19,2),0)</f>
        <v>0</v>
      </c>
      <c r="P19" s="42">
        <f t="shared" ref="P19" si="18">O19*12</f>
        <v>0</v>
      </c>
      <c r="Q19" s="61">
        <f>ROUND(1.7151*B29,4)</f>
        <v>1.7151000000000001</v>
      </c>
      <c r="R19" s="49">
        <f t="shared" ref="R19" si="19">MAX(ROUND((Q$9-25000)*Q19,2),0)</f>
        <v>0</v>
      </c>
      <c r="S19" s="42">
        <f t="shared" ref="S19" si="20">R19*12</f>
        <v>0</v>
      </c>
      <c r="T19" s="61">
        <f>ROUND(1.7045*B29,4)</f>
        <v>1.7044999999999999</v>
      </c>
      <c r="U19" s="49">
        <f t="shared" ref="U19" si="21">MAX(ROUND((T$9-25000)*T19,2),0)</f>
        <v>0</v>
      </c>
      <c r="V19" s="42">
        <f t="shared" ref="V19" si="22">U19*12</f>
        <v>0</v>
      </c>
      <c r="W19" s="61">
        <f>ROUND(1.698*B29,4)</f>
        <v>1.698</v>
      </c>
      <c r="X19" s="49">
        <f t="shared" ref="X19" si="23">MAX(ROUND((W$9-25000)*W19,2),0)</f>
        <v>0</v>
      </c>
      <c r="Y19" s="43">
        <f t="shared" ref="Y19" si="24">X19*12</f>
        <v>0</v>
      </c>
    </row>
    <row r="20" spans="1:25" s="48" customFormat="1" ht="15" x14ac:dyDescent="0.25">
      <c r="A20" s="212" t="s">
        <v>204</v>
      </c>
      <c r="B20" s="213"/>
      <c r="C20" s="62"/>
      <c r="D20" s="63">
        <f>SUM(D11:D19)</f>
        <v>9176249.0399999991</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5" thickBot="1" x14ac:dyDescent="0.25">
      <c r="A21" s="17"/>
      <c r="Y21" s="18"/>
    </row>
    <row r="22" spans="1:25" ht="15.75" thickBot="1" x14ac:dyDescent="0.3">
      <c r="A22" s="217" t="s">
        <v>205</v>
      </c>
      <c r="B22" s="218"/>
      <c r="C22" s="86">
        <f>SUM(E20:Y20)+D20</f>
        <v>9176249.0399999991</v>
      </c>
      <c r="D22" s="68"/>
      <c r="E22" s="49"/>
      <c r="V22" s="33"/>
      <c r="Y22" s="18"/>
    </row>
    <row r="23" spans="1:25" x14ac:dyDescent="0.2">
      <c r="A23" s="17"/>
      <c r="K23" s="64"/>
      <c r="L23" s="64"/>
      <c r="Y23" s="18"/>
    </row>
    <row r="24" spans="1:25" ht="15" x14ac:dyDescent="0.25">
      <c r="A24" s="87" t="s">
        <v>109</v>
      </c>
      <c r="B24" s="68"/>
      <c r="K24" s="64"/>
      <c r="L24" s="64"/>
      <c r="Y24" s="18"/>
    </row>
    <row r="25" spans="1:25" ht="15" x14ac:dyDescent="0.25">
      <c r="A25" s="88" t="s">
        <v>110</v>
      </c>
      <c r="B25" s="151">
        <v>0</v>
      </c>
      <c r="K25" s="64"/>
      <c r="L25" s="64"/>
      <c r="Y25" s="18"/>
    </row>
    <row r="26" spans="1:25" ht="15" x14ac:dyDescent="0.25">
      <c r="A26" s="88" t="s">
        <v>111</v>
      </c>
      <c r="B26" s="151">
        <v>0</v>
      </c>
      <c r="K26" s="64"/>
      <c r="L26" s="64"/>
      <c r="Y26" s="18"/>
    </row>
    <row r="27" spans="1:25" ht="15" x14ac:dyDescent="0.25">
      <c r="A27" s="88" t="s">
        <v>112</v>
      </c>
      <c r="B27" s="151">
        <f>B26-B25</f>
        <v>0</v>
      </c>
      <c r="K27" s="64"/>
      <c r="L27" s="64"/>
      <c r="Y27" s="18"/>
    </row>
    <row r="28" spans="1:25" ht="15" x14ac:dyDescent="0.25">
      <c r="A28" s="88" t="s">
        <v>114</v>
      </c>
      <c r="B28" s="151">
        <f>IFERROR(B27/B25,0)</f>
        <v>0</v>
      </c>
      <c r="K28" s="64"/>
      <c r="L28" s="64"/>
      <c r="Y28" s="18"/>
    </row>
    <row r="29" spans="1:25" ht="15" x14ac:dyDescent="0.25">
      <c r="A29" s="88" t="s">
        <v>113</v>
      </c>
      <c r="B29" s="151">
        <f>B28+1</f>
        <v>1</v>
      </c>
      <c r="K29" s="64"/>
      <c r="L29" s="64"/>
      <c r="Y29" s="18"/>
    </row>
    <row r="30" spans="1:25" x14ac:dyDescent="0.2">
      <c r="A30" s="17"/>
      <c r="K30" s="64"/>
      <c r="L30" s="64"/>
      <c r="Y30" s="18"/>
    </row>
    <row r="31" spans="1:25" x14ac:dyDescent="0.2">
      <c r="A31" s="81" t="s">
        <v>57</v>
      </c>
      <c r="C31" s="65"/>
      <c r="Y31" s="18"/>
    </row>
    <row r="32" spans="1:25" x14ac:dyDescent="0.2">
      <c r="A32" s="81" t="s">
        <v>58</v>
      </c>
      <c r="C32" s="66"/>
      <c r="Y32" s="18"/>
    </row>
    <row r="33" spans="1:25" ht="15" thickBot="1" x14ac:dyDescent="0.25">
      <c r="A33" s="84" t="s">
        <v>59</v>
      </c>
      <c r="B33" s="54"/>
      <c r="C33" s="54"/>
      <c r="D33" s="54"/>
      <c r="E33" s="54"/>
      <c r="F33" s="54"/>
      <c r="G33" s="54"/>
      <c r="H33" s="67"/>
      <c r="I33" s="54"/>
      <c r="J33" s="54"/>
      <c r="K33" s="67"/>
      <c r="L33" s="54"/>
      <c r="M33" s="54"/>
      <c r="N33" s="67"/>
      <c r="O33" s="54"/>
      <c r="P33" s="54"/>
      <c r="Q33" s="67"/>
      <c r="R33" s="54"/>
      <c r="S33" s="54"/>
      <c r="T33" s="67"/>
      <c r="U33" s="54"/>
      <c r="V33" s="54"/>
      <c r="W33" s="67"/>
      <c r="X33" s="54"/>
      <c r="Y33" s="56"/>
    </row>
  </sheetData>
  <mergeCells count="2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22:B22"/>
    <mergeCell ref="A19:B19"/>
    <mergeCell ref="K9:M9"/>
    <mergeCell ref="N9:P9"/>
    <mergeCell ref="A18:B18"/>
    <mergeCell ref="A20:B20"/>
  </mergeCells>
  <pageMargins left="0.25" right="0.25" top="0.25" bottom="0.25" header="0.3" footer="0.3"/>
  <pageSetup scale="30" orientation="landscape" r:id="rId1"/>
  <headerFooter>
    <oddFooter>&amp;RPage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pageSetUpPr fitToPage="1"/>
  </sheetPr>
  <dimension ref="A1:S27"/>
  <sheetViews>
    <sheetView topLeftCell="B1" zoomScale="70" zoomScaleNormal="70" workbookViewId="0">
      <selection activeCell="E10" sqref="E10"/>
    </sheetView>
  </sheetViews>
  <sheetFormatPr defaultColWidth="9.42578125" defaultRowHeight="14.25" x14ac:dyDescent="0.2"/>
  <cols>
    <col min="1" max="1" width="46.85546875" style="2" customWidth="1"/>
    <col min="2" max="2" width="11.5703125" style="2" customWidth="1"/>
    <col min="3" max="3" width="18" style="2" bestFit="1" customWidth="1"/>
    <col min="4" max="4" width="18.42578125" style="2" customWidth="1"/>
    <col min="5" max="5" width="12.5703125" style="2" customWidth="1"/>
    <col min="6" max="6" width="18.42578125" style="2" customWidth="1"/>
    <col min="7" max="7" width="12.5703125" style="2" customWidth="1"/>
    <col min="8" max="8" width="18" style="2" customWidth="1"/>
    <col min="9" max="10" width="17.42578125" style="2" customWidth="1"/>
    <col min="11" max="11" width="12.5703125" style="2" customWidth="1"/>
    <col min="12" max="12" width="16.42578125" style="2" customWidth="1"/>
    <col min="13" max="13" width="12.5703125" style="2" customWidth="1"/>
    <col min="14" max="14" width="17.42578125" style="2" customWidth="1"/>
    <col min="15" max="15" width="12.5703125" style="2" customWidth="1"/>
    <col min="16" max="16" width="17.5703125" style="2" customWidth="1"/>
    <col min="17" max="17" width="14.42578125" style="2" bestFit="1" customWidth="1"/>
    <col min="18" max="16384" width="9.42578125" style="2"/>
  </cols>
  <sheetData>
    <row r="1" spans="1:19" s="57" customFormat="1" ht="40.5" customHeight="1" x14ac:dyDescent="0.25">
      <c r="A1" s="222" t="s">
        <v>84</v>
      </c>
      <c r="B1" s="233"/>
      <c r="C1" s="233"/>
      <c r="D1" s="233"/>
      <c r="E1" s="233"/>
      <c r="F1" s="233"/>
      <c r="G1" s="233"/>
      <c r="H1" s="233"/>
      <c r="I1" s="233"/>
      <c r="J1" s="233"/>
      <c r="K1" s="233"/>
      <c r="L1" s="233"/>
      <c r="M1" s="233"/>
      <c r="N1" s="233"/>
      <c r="O1" s="233"/>
      <c r="P1" s="233"/>
      <c r="Q1" s="233"/>
      <c r="R1" s="85"/>
      <c r="S1" s="85"/>
    </row>
    <row r="3" spans="1:19" ht="15" thickBot="1" x14ac:dyDescent="0.25"/>
    <row r="4" spans="1:19" ht="15" x14ac:dyDescent="0.25">
      <c r="A4" s="223" t="s">
        <v>207</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c r="B8" s="234"/>
      <c r="C8" s="25">
        <v>0</v>
      </c>
      <c r="D8" s="27">
        <v>25000</v>
      </c>
      <c r="E8" s="25">
        <v>25001</v>
      </c>
      <c r="F8" s="27">
        <v>75000</v>
      </c>
      <c r="G8" s="25">
        <v>75001</v>
      </c>
      <c r="H8" s="27">
        <v>125000</v>
      </c>
      <c r="I8" s="25">
        <v>125001</v>
      </c>
      <c r="J8" s="27">
        <v>175000</v>
      </c>
      <c r="K8" s="25">
        <v>175001</v>
      </c>
      <c r="L8" s="27">
        <v>225000</v>
      </c>
      <c r="M8" s="25">
        <v>225001</v>
      </c>
      <c r="N8" s="27">
        <v>275000</v>
      </c>
      <c r="O8" s="25">
        <v>275001</v>
      </c>
      <c r="P8" s="69">
        <f>O8+49999</f>
        <v>325000</v>
      </c>
      <c r="Q8" s="70"/>
    </row>
    <row r="9" spans="1:19" s="83" customFormat="1" ht="15" x14ac:dyDescent="0.25">
      <c r="A9" s="237" t="s">
        <v>86</v>
      </c>
      <c r="B9" s="238"/>
      <c r="C9" s="239">
        <v>0</v>
      </c>
      <c r="D9" s="240"/>
      <c r="E9" s="239">
        <v>0</v>
      </c>
      <c r="F9" s="240"/>
      <c r="G9" s="239">
        <v>0</v>
      </c>
      <c r="H9" s="240"/>
      <c r="I9" s="239">
        <v>0</v>
      </c>
      <c r="J9" s="240"/>
      <c r="K9" s="239">
        <v>0</v>
      </c>
      <c r="L9" s="240"/>
      <c r="M9" s="239">
        <v>0</v>
      </c>
      <c r="N9" s="240"/>
      <c r="O9" s="241">
        <v>0</v>
      </c>
      <c r="P9" s="242"/>
      <c r="Q9" s="82"/>
    </row>
    <row r="10" spans="1:19" s="16" customFormat="1" ht="24.75" x14ac:dyDescent="0.25">
      <c r="A10" s="243"/>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74</v>
      </c>
      <c r="B11" s="231"/>
      <c r="C11" s="152">
        <f>ROUND(92.4098*$B$21,4)</f>
        <v>92.409800000000004</v>
      </c>
      <c r="D11" s="74">
        <f>C11*C$9</f>
        <v>0</v>
      </c>
      <c r="E11" s="152">
        <f>ROUND(92.4098*$B$21,4)</f>
        <v>92.409800000000004</v>
      </c>
      <c r="F11" s="74">
        <f>E11*E$9</f>
        <v>0</v>
      </c>
      <c r="G11" s="152">
        <f>ROUND(92.4098*$B$21,4)</f>
        <v>92.409800000000004</v>
      </c>
      <c r="H11" s="74">
        <f>G11*G$9</f>
        <v>0</v>
      </c>
      <c r="I11" s="152">
        <f>ROUND(92.4098*$B$21,4)</f>
        <v>92.409800000000004</v>
      </c>
      <c r="J11" s="74">
        <f>I11*I$9</f>
        <v>0</v>
      </c>
      <c r="K11" s="152">
        <f>ROUND(92.4098*$B$21,4)</f>
        <v>92.409800000000004</v>
      </c>
      <c r="L11" s="74">
        <f>K11*K$9</f>
        <v>0</v>
      </c>
      <c r="M11" s="152">
        <f>ROUND(92.4098*$B$21,4)</f>
        <v>92.409800000000004</v>
      </c>
      <c r="N11" s="74">
        <f>M11*M$9</f>
        <v>0</v>
      </c>
      <c r="O11" s="152">
        <f>ROUND(92.4098*$B$21,4)</f>
        <v>92.409800000000004</v>
      </c>
      <c r="P11" s="74">
        <f>O11*O$9</f>
        <v>0</v>
      </c>
      <c r="Q11" s="18"/>
      <c r="R11" s="16"/>
    </row>
    <row r="12" spans="1:19" s="48" customFormat="1" ht="15" x14ac:dyDescent="0.25">
      <c r="A12" s="212" t="s">
        <v>208</v>
      </c>
      <c r="B12" s="213"/>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5"/>
    </row>
    <row r="13" spans="1:19" ht="15" thickBot="1" x14ac:dyDescent="0.25">
      <c r="A13" s="17"/>
      <c r="Q13" s="18"/>
    </row>
    <row r="14" spans="1:19" ht="15.75" thickBot="1" x14ac:dyDescent="0.3">
      <c r="A14" s="217" t="s">
        <v>209</v>
      </c>
      <c r="B14" s="218"/>
      <c r="C14" s="86">
        <f>SUM(D12:P12)</f>
        <v>0</v>
      </c>
      <c r="D14" s="49"/>
      <c r="Q14" s="18"/>
    </row>
    <row r="15" spans="1:19" x14ac:dyDescent="0.2">
      <c r="A15" s="17"/>
      <c r="Q15" s="18"/>
    </row>
    <row r="16" spans="1:19" ht="15" x14ac:dyDescent="0.25">
      <c r="A16" s="87" t="s">
        <v>109</v>
      </c>
      <c r="B16" s="68"/>
      <c r="Q16" s="18"/>
    </row>
    <row r="17" spans="1:17" ht="15" x14ac:dyDescent="0.25">
      <c r="A17" s="88" t="s">
        <v>110</v>
      </c>
      <c r="B17" s="151">
        <v>0</v>
      </c>
      <c r="Q17" s="18"/>
    </row>
    <row r="18" spans="1:17" ht="15" x14ac:dyDescent="0.25">
      <c r="A18" s="88" t="s">
        <v>111</v>
      </c>
      <c r="B18" s="151">
        <v>0</v>
      </c>
      <c r="Q18" s="18"/>
    </row>
    <row r="19" spans="1:17" ht="15" x14ac:dyDescent="0.25">
      <c r="A19" s="88" t="s">
        <v>112</v>
      </c>
      <c r="B19" s="151">
        <f>B18-B17</f>
        <v>0</v>
      </c>
      <c r="Q19" s="18"/>
    </row>
    <row r="20" spans="1:17" ht="15" x14ac:dyDescent="0.25">
      <c r="A20" s="88" t="s">
        <v>114</v>
      </c>
      <c r="B20" s="151">
        <f>IFERROR(B19/B17,0)</f>
        <v>0</v>
      </c>
      <c r="Q20" s="18"/>
    </row>
    <row r="21" spans="1:17" ht="15" x14ac:dyDescent="0.25">
      <c r="A21" s="88" t="s">
        <v>113</v>
      </c>
      <c r="B21" s="151">
        <f>B20+1</f>
        <v>1</v>
      </c>
      <c r="Q21" s="18"/>
    </row>
    <row r="22" spans="1:17" x14ac:dyDescent="0.2">
      <c r="A22" s="17"/>
      <c r="Q22" s="18"/>
    </row>
    <row r="23" spans="1:17" x14ac:dyDescent="0.2">
      <c r="A23" s="81" t="s">
        <v>57</v>
      </c>
      <c r="C23" s="50"/>
      <c r="Q23" s="18"/>
    </row>
    <row r="24" spans="1:17" x14ac:dyDescent="0.2">
      <c r="A24" s="81" t="s">
        <v>75</v>
      </c>
      <c r="C24" s="76"/>
      <c r="Q24" s="18"/>
    </row>
    <row r="25" spans="1:17" ht="15" thickBot="1" x14ac:dyDescent="0.25">
      <c r="A25" s="84" t="s">
        <v>59</v>
      </c>
      <c r="B25" s="54"/>
      <c r="C25" s="54"/>
      <c r="D25" s="54"/>
      <c r="E25" s="55"/>
      <c r="F25" s="54"/>
      <c r="G25" s="55"/>
      <c r="H25" s="54"/>
      <c r="I25" s="55"/>
      <c r="J25" s="54"/>
      <c r="K25" s="55"/>
      <c r="L25" s="54"/>
      <c r="M25" s="55"/>
      <c r="N25" s="54"/>
      <c r="O25" s="55"/>
      <c r="P25" s="54"/>
      <c r="Q25" s="56"/>
    </row>
    <row r="27" spans="1:17" ht="53.25" customHeight="1" x14ac:dyDescent="0.2">
      <c r="A27" s="235" t="s">
        <v>210</v>
      </c>
      <c r="B27" s="235"/>
      <c r="C27" s="235"/>
      <c r="D27" s="235"/>
      <c r="E27" s="235"/>
      <c r="F27" s="235"/>
      <c r="G27" s="235"/>
      <c r="H27" s="235"/>
      <c r="I27" s="235"/>
      <c r="J27" s="235"/>
      <c r="K27" s="235"/>
      <c r="L27" s="235"/>
      <c r="M27" s="235"/>
      <c r="N27" s="235"/>
      <c r="O27" s="235"/>
      <c r="P27" s="235"/>
      <c r="Q27" s="235"/>
    </row>
  </sheetData>
  <mergeCells count="24">
    <mergeCell ref="A27:Q27"/>
    <mergeCell ref="A8:B8"/>
    <mergeCell ref="A9:B9"/>
    <mergeCell ref="C9:D9"/>
    <mergeCell ref="E9:F9"/>
    <mergeCell ref="A14:B14"/>
    <mergeCell ref="K9:L9"/>
    <mergeCell ref="M9:N9"/>
    <mergeCell ref="O9:P9"/>
    <mergeCell ref="A10:B10"/>
    <mergeCell ref="A11:B11"/>
    <mergeCell ref="G9:H9"/>
    <mergeCell ref="I9:J9"/>
    <mergeCell ref="A12:B12"/>
    <mergeCell ref="A1:Q1"/>
    <mergeCell ref="A4:Q4"/>
    <mergeCell ref="A6:B6"/>
    <mergeCell ref="C6:D6"/>
    <mergeCell ref="E6:F6"/>
    <mergeCell ref="G6:H6"/>
    <mergeCell ref="I6:J6"/>
    <mergeCell ref="K6:L6"/>
    <mergeCell ref="M6:N6"/>
    <mergeCell ref="O6:P6"/>
  </mergeCells>
  <pageMargins left="0.25" right="0.25" top="0.25" bottom="0.25" header="0.3" footer="0.3"/>
  <pageSetup scale="45" orientation="landscape" r:id="rId1"/>
  <headerFooter>
    <oddFooter>&amp;RPage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S35"/>
  <sheetViews>
    <sheetView topLeftCell="B2" zoomScale="70" zoomScaleNormal="70" workbookViewId="0">
      <selection activeCell="E10" sqref="E10"/>
    </sheetView>
  </sheetViews>
  <sheetFormatPr defaultColWidth="9.42578125" defaultRowHeight="14.25" x14ac:dyDescent="0.2"/>
  <cols>
    <col min="1" max="1" width="46.85546875" style="2" customWidth="1"/>
    <col min="2" max="2" width="11.5703125" style="2" customWidth="1"/>
    <col min="3" max="4" width="18.42578125" style="2" bestFit="1" customWidth="1"/>
    <col min="5" max="5" width="15.42578125" style="2" bestFit="1" customWidth="1"/>
    <col min="6" max="6" width="16.5703125" style="2" bestFit="1" customWidth="1"/>
    <col min="7" max="7" width="16.42578125" style="2" bestFit="1" customWidth="1"/>
    <col min="8" max="8" width="14.5703125" style="2" bestFit="1" customWidth="1"/>
    <col min="9" max="9" width="18" style="2" bestFit="1" customWidth="1"/>
    <col min="10" max="10" width="16.5703125" style="2" bestFit="1" customWidth="1"/>
    <col min="11" max="11" width="18" style="2" customWidth="1"/>
    <col min="12" max="12" width="16.5703125" style="2" bestFit="1" customWidth="1"/>
    <col min="13" max="13" width="18" style="2" bestFit="1" customWidth="1"/>
    <col min="14" max="14" width="16.5703125" style="2" bestFit="1" customWidth="1"/>
    <col min="15" max="15" width="17" style="2" bestFit="1" customWidth="1"/>
    <col min="16" max="16" width="16.5703125" style="2" bestFit="1" customWidth="1"/>
    <col min="17" max="17" width="14.42578125" style="2" bestFit="1" customWidth="1"/>
    <col min="18" max="16384" width="9.42578125" style="2"/>
  </cols>
  <sheetData>
    <row r="1" spans="1:19" ht="46.5" customHeight="1" x14ac:dyDescent="0.25">
      <c r="A1" s="222" t="s">
        <v>85</v>
      </c>
      <c r="B1" s="233"/>
      <c r="C1" s="233"/>
      <c r="D1" s="233"/>
      <c r="E1" s="233"/>
      <c r="F1" s="233"/>
      <c r="G1" s="233"/>
      <c r="H1" s="233"/>
      <c r="I1" s="233"/>
      <c r="J1" s="233"/>
      <c r="K1" s="233"/>
      <c r="L1" s="233"/>
      <c r="M1" s="233"/>
      <c r="N1" s="233"/>
      <c r="O1" s="233"/>
      <c r="P1" s="233"/>
      <c r="Q1" s="233"/>
      <c r="R1" s="78"/>
      <c r="S1" s="78"/>
    </row>
    <row r="3" spans="1:19" ht="15" thickBot="1" x14ac:dyDescent="0.25"/>
    <row r="4" spans="1:19" ht="15" x14ac:dyDescent="0.25">
      <c r="A4" s="223" t="s">
        <v>211</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t="s">
        <v>48</v>
      </c>
      <c r="B8" s="234"/>
      <c r="C8" s="25">
        <v>0</v>
      </c>
      <c r="D8" s="27">
        <v>25000</v>
      </c>
      <c r="E8" s="25">
        <v>25001</v>
      </c>
      <c r="F8" s="27">
        <v>75000</v>
      </c>
      <c r="G8" s="25">
        <v>75001</v>
      </c>
      <c r="H8" s="27">
        <v>125000</v>
      </c>
      <c r="I8" s="25">
        <v>125001</v>
      </c>
      <c r="J8" s="27">
        <v>175000</v>
      </c>
      <c r="K8" s="25">
        <v>175001</v>
      </c>
      <c r="L8" s="27">
        <v>225000</v>
      </c>
      <c r="M8" s="25">
        <v>225001</v>
      </c>
      <c r="N8" s="27">
        <v>275000</v>
      </c>
      <c r="O8" s="25">
        <v>275001</v>
      </c>
      <c r="P8" s="69">
        <f>O8+49999</f>
        <v>325000</v>
      </c>
      <c r="Q8" s="70"/>
    </row>
    <row r="9" spans="1:19" s="33" customFormat="1" ht="15" x14ac:dyDescent="0.25">
      <c r="A9" s="212" t="s">
        <v>87</v>
      </c>
      <c r="B9" s="234"/>
      <c r="C9" s="219">
        <v>0</v>
      </c>
      <c r="D9" s="221"/>
      <c r="E9" s="219">
        <v>0</v>
      </c>
      <c r="F9" s="221"/>
      <c r="G9" s="219">
        <v>0</v>
      </c>
      <c r="H9" s="221"/>
      <c r="I9" s="219">
        <v>0</v>
      </c>
      <c r="J9" s="221"/>
      <c r="K9" s="219">
        <v>0</v>
      </c>
      <c r="L9" s="221"/>
      <c r="M9" s="219">
        <v>0</v>
      </c>
      <c r="N9" s="221"/>
      <c r="O9" s="206">
        <v>0</v>
      </c>
      <c r="P9" s="216"/>
      <c r="Q9" s="77"/>
    </row>
    <row r="10" spans="1:19" s="16" customFormat="1" ht="24.75" x14ac:dyDescent="0.25">
      <c r="A10" s="243" t="s">
        <v>60</v>
      </c>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63</v>
      </c>
      <c r="B11" s="231"/>
      <c r="C11" s="152">
        <f>ROUND(93.0567*B29,4)</f>
        <v>93.056700000000006</v>
      </c>
      <c r="D11" s="74">
        <f t="shared" ref="D11:D19" si="0">C11*C$9</f>
        <v>0</v>
      </c>
      <c r="E11" s="41">
        <f>ROUND(93.0567*$B$29,4)</f>
        <v>93.056700000000006</v>
      </c>
      <c r="F11" s="74">
        <f>E11*E$9</f>
        <v>0</v>
      </c>
      <c r="G11" s="41">
        <f>ROUND(93.0567*$B$29,4)</f>
        <v>93.056700000000006</v>
      </c>
      <c r="H11" s="74">
        <f t="shared" ref="H11:H19" si="1">G11*G$9</f>
        <v>0</v>
      </c>
      <c r="I11" s="41">
        <f>ROUND(93.0567*$B$29,4)</f>
        <v>93.056700000000006</v>
      </c>
      <c r="J11" s="74">
        <f t="shared" ref="J11:J19" si="2">I11*I$9</f>
        <v>0</v>
      </c>
      <c r="K11" s="41">
        <f>ROUND(93.0567*$B$29,4)</f>
        <v>93.056700000000006</v>
      </c>
      <c r="L11" s="74">
        <f t="shared" ref="L11:L19" si="3">K11*K$9</f>
        <v>0</v>
      </c>
      <c r="M11" s="41">
        <f>ROUND(93.0567*$B$29,4)</f>
        <v>93.056700000000006</v>
      </c>
      <c r="N11" s="74">
        <f t="shared" ref="N11:N19" si="4">M11*M$9</f>
        <v>0</v>
      </c>
      <c r="O11" s="41">
        <f>ROUND(93.0567*$B$29,4)</f>
        <v>93.056700000000006</v>
      </c>
      <c r="P11" s="74">
        <f t="shared" ref="P11:P19" si="5">O11*O$9</f>
        <v>0</v>
      </c>
      <c r="Q11" s="18"/>
      <c r="R11" s="16"/>
    </row>
    <row r="12" spans="1:19" x14ac:dyDescent="0.2">
      <c r="A12" s="230" t="s">
        <v>64</v>
      </c>
      <c r="B12" s="231"/>
      <c r="C12" s="152">
        <f>ROUND(94.13*B29,4)</f>
        <v>94.13</v>
      </c>
      <c r="D12" s="74">
        <f t="shared" si="0"/>
        <v>0</v>
      </c>
      <c r="E12" s="41">
        <f>ROUND(94.1269*$B$29,4)</f>
        <v>94.126900000000006</v>
      </c>
      <c r="F12" s="74">
        <f t="shared" ref="F12:F19" si="6">E12*E$9</f>
        <v>0</v>
      </c>
      <c r="G12" s="41">
        <f>ROUND(94.1269*$B$29,4)</f>
        <v>94.126900000000006</v>
      </c>
      <c r="H12" s="74">
        <f t="shared" si="1"/>
        <v>0</v>
      </c>
      <c r="I12" s="41">
        <f>ROUND(94.1269*$B$29,4)</f>
        <v>94.126900000000006</v>
      </c>
      <c r="J12" s="74">
        <f t="shared" si="2"/>
        <v>0</v>
      </c>
      <c r="K12" s="41">
        <f>ROUND(94.1269*$B$29,4)</f>
        <v>94.126900000000006</v>
      </c>
      <c r="L12" s="74">
        <f t="shared" si="3"/>
        <v>0</v>
      </c>
      <c r="M12" s="41">
        <f>ROUND(94.1269*$B$29,4)</f>
        <v>94.126900000000006</v>
      </c>
      <c r="N12" s="74">
        <f t="shared" si="4"/>
        <v>0</v>
      </c>
      <c r="O12" s="41">
        <f>ROUND(94.1269*$B$29,4)</f>
        <v>94.126900000000006</v>
      </c>
      <c r="P12" s="74">
        <f t="shared" si="5"/>
        <v>0</v>
      </c>
      <c r="Q12" s="18"/>
    </row>
    <row r="13" spans="1:19" x14ac:dyDescent="0.2">
      <c r="A13" s="230" t="s">
        <v>65</v>
      </c>
      <c r="B13" s="231"/>
      <c r="C13" s="152">
        <f>ROUND(95.21*B29,4)</f>
        <v>95.21</v>
      </c>
      <c r="D13" s="74">
        <f t="shared" si="0"/>
        <v>0</v>
      </c>
      <c r="E13" s="41">
        <f>ROUND(95.2094*$B$29,4)</f>
        <v>95.209400000000002</v>
      </c>
      <c r="F13" s="74">
        <f t="shared" si="6"/>
        <v>0</v>
      </c>
      <c r="G13" s="41">
        <f>ROUND(95.2094*$B$29,4)</f>
        <v>95.209400000000002</v>
      </c>
      <c r="H13" s="74">
        <f t="shared" si="1"/>
        <v>0</v>
      </c>
      <c r="I13" s="41">
        <f>ROUND(95.2094*$B$29,4)</f>
        <v>95.209400000000002</v>
      </c>
      <c r="J13" s="74">
        <f t="shared" si="2"/>
        <v>0</v>
      </c>
      <c r="K13" s="41">
        <f>ROUND(95.2094*$B$29,4)</f>
        <v>95.209400000000002</v>
      </c>
      <c r="L13" s="74">
        <f t="shared" si="3"/>
        <v>0</v>
      </c>
      <c r="M13" s="41">
        <f>ROUND(95.2094*$B$29,4)</f>
        <v>95.209400000000002</v>
      </c>
      <c r="N13" s="74">
        <f t="shared" si="4"/>
        <v>0</v>
      </c>
      <c r="O13" s="41">
        <f>ROUND(95.2094*$B$29,4)</f>
        <v>95.209400000000002</v>
      </c>
      <c r="P13" s="74">
        <f t="shared" si="5"/>
        <v>0</v>
      </c>
      <c r="Q13" s="18"/>
    </row>
    <row r="14" spans="1:19" x14ac:dyDescent="0.2">
      <c r="A14" s="230" t="s">
        <v>66</v>
      </c>
      <c r="B14" s="231"/>
      <c r="C14" s="152">
        <f>ROUND(96.3*B29,4)</f>
        <v>96.3</v>
      </c>
      <c r="D14" s="74">
        <f t="shared" si="0"/>
        <v>0</v>
      </c>
      <c r="E14" s="41">
        <f>ROUND(96.3043*$B$29,4)</f>
        <v>96.304299999999998</v>
      </c>
      <c r="F14" s="74">
        <f t="shared" si="6"/>
        <v>0</v>
      </c>
      <c r="G14" s="41">
        <f>ROUND(96.3043*$B$29,4)</f>
        <v>96.304299999999998</v>
      </c>
      <c r="H14" s="74">
        <f t="shared" si="1"/>
        <v>0</v>
      </c>
      <c r="I14" s="41">
        <f>ROUND(96.3043*$B$29,4)</f>
        <v>96.304299999999998</v>
      </c>
      <c r="J14" s="74">
        <f t="shared" si="2"/>
        <v>0</v>
      </c>
      <c r="K14" s="41">
        <f>ROUND(96.3043*$B$29,4)</f>
        <v>96.304299999999998</v>
      </c>
      <c r="L14" s="74">
        <f t="shared" si="3"/>
        <v>0</v>
      </c>
      <c r="M14" s="41">
        <f>ROUND(96.3043*$B$29,4)</f>
        <v>96.304299999999998</v>
      </c>
      <c r="N14" s="74">
        <f t="shared" si="4"/>
        <v>0</v>
      </c>
      <c r="O14" s="41">
        <f>ROUND(96.3043*$B$29,4)</f>
        <v>96.304299999999998</v>
      </c>
      <c r="P14" s="74">
        <f t="shared" si="5"/>
        <v>0</v>
      </c>
      <c r="Q14" s="18"/>
    </row>
    <row r="15" spans="1:19" x14ac:dyDescent="0.2">
      <c r="A15" s="230" t="s">
        <v>67</v>
      </c>
      <c r="B15" s="231"/>
      <c r="C15" s="152">
        <f>ROUND(97.41*B29,4)</f>
        <v>97.41</v>
      </c>
      <c r="D15" s="74">
        <f t="shared" si="0"/>
        <v>0</v>
      </c>
      <c r="E15" s="41">
        <f>ROUND(97.4118*$B$29,4)</f>
        <v>97.411799999999999</v>
      </c>
      <c r="F15" s="74">
        <f t="shared" si="6"/>
        <v>0</v>
      </c>
      <c r="G15" s="41">
        <f>ROUND(97.4118*$B$29,4)</f>
        <v>97.411799999999999</v>
      </c>
      <c r="H15" s="74">
        <f t="shared" si="1"/>
        <v>0</v>
      </c>
      <c r="I15" s="41">
        <f>ROUND(97.4118*$B$29,4)</f>
        <v>97.411799999999999</v>
      </c>
      <c r="J15" s="74">
        <f t="shared" si="2"/>
        <v>0</v>
      </c>
      <c r="K15" s="41">
        <f>ROUND(97.4118*$B$29,4)</f>
        <v>97.411799999999999</v>
      </c>
      <c r="L15" s="74">
        <f t="shared" si="3"/>
        <v>0</v>
      </c>
      <c r="M15" s="41">
        <f>ROUND(97.4118*$B$29,4)</f>
        <v>97.411799999999999</v>
      </c>
      <c r="N15" s="74">
        <f t="shared" si="4"/>
        <v>0</v>
      </c>
      <c r="O15" s="41">
        <f>ROUND(97.4118*$B$29,4)</f>
        <v>97.411799999999999</v>
      </c>
      <c r="P15" s="74">
        <f t="shared" si="5"/>
        <v>0</v>
      </c>
      <c r="Q15" s="18"/>
    </row>
    <row r="16" spans="1:19" x14ac:dyDescent="0.2">
      <c r="A16" s="230" t="s">
        <v>68</v>
      </c>
      <c r="B16" s="231"/>
      <c r="C16" s="152">
        <f>ROUND(98.53*B29,4)</f>
        <v>98.53</v>
      </c>
      <c r="D16" s="74">
        <f t="shared" si="0"/>
        <v>0</v>
      </c>
      <c r="E16" s="41">
        <f>ROUND(98.532*$B$29,4)</f>
        <v>98.531999999999996</v>
      </c>
      <c r="F16" s="74">
        <f t="shared" si="6"/>
        <v>0</v>
      </c>
      <c r="G16" s="41">
        <f>ROUND(98.532*$B$29,4)</f>
        <v>98.531999999999996</v>
      </c>
      <c r="H16" s="74">
        <f t="shared" si="1"/>
        <v>0</v>
      </c>
      <c r="I16" s="41">
        <f>ROUND(98.532*$B$29,4)</f>
        <v>98.531999999999996</v>
      </c>
      <c r="J16" s="74">
        <f t="shared" si="2"/>
        <v>0</v>
      </c>
      <c r="K16" s="41">
        <f>ROUND(98.532*$B$29,4)</f>
        <v>98.531999999999996</v>
      </c>
      <c r="L16" s="74">
        <f t="shared" si="3"/>
        <v>0</v>
      </c>
      <c r="M16" s="41">
        <f>ROUND(98.532*$B$29,4)</f>
        <v>98.531999999999996</v>
      </c>
      <c r="N16" s="74">
        <f t="shared" si="4"/>
        <v>0</v>
      </c>
      <c r="O16" s="41">
        <f>ROUND(98.532*$B$29,4)</f>
        <v>98.531999999999996</v>
      </c>
      <c r="P16" s="74">
        <f t="shared" si="5"/>
        <v>0</v>
      </c>
      <c r="Q16" s="18"/>
    </row>
    <row r="17" spans="1:17" x14ac:dyDescent="0.2">
      <c r="A17" s="230" t="s">
        <v>69</v>
      </c>
      <c r="B17" s="231"/>
      <c r="C17" s="152">
        <f>ROUND(99.66*B29,4)</f>
        <v>99.66</v>
      </c>
      <c r="D17" s="74">
        <f t="shared" si="0"/>
        <v>0</v>
      </c>
      <c r="E17" s="41">
        <f>ROUND(99.6651*$B$29,4)</f>
        <v>99.665099999999995</v>
      </c>
      <c r="F17" s="74">
        <f t="shared" si="6"/>
        <v>0</v>
      </c>
      <c r="G17" s="41">
        <f>ROUND(99.6651*$B$29,4)</f>
        <v>99.665099999999995</v>
      </c>
      <c r="H17" s="74">
        <f t="shared" si="1"/>
        <v>0</v>
      </c>
      <c r="I17" s="41">
        <f>ROUND(99.6651*$B$29,4)</f>
        <v>99.665099999999995</v>
      </c>
      <c r="J17" s="74">
        <f t="shared" si="2"/>
        <v>0</v>
      </c>
      <c r="K17" s="41">
        <f>ROUND(99.6651*$B$29,4)</f>
        <v>99.665099999999995</v>
      </c>
      <c r="L17" s="74">
        <f t="shared" si="3"/>
        <v>0</v>
      </c>
      <c r="M17" s="41">
        <f>ROUND(99.6651*$B$29,4)</f>
        <v>99.665099999999995</v>
      </c>
      <c r="N17" s="74">
        <f t="shared" si="4"/>
        <v>0</v>
      </c>
      <c r="O17" s="41">
        <f>ROUND(99.6651*$B$29,4)</f>
        <v>99.665099999999995</v>
      </c>
      <c r="P17" s="74">
        <f t="shared" si="5"/>
        <v>0</v>
      </c>
      <c r="Q17" s="18"/>
    </row>
    <row r="18" spans="1:17" x14ac:dyDescent="0.2">
      <c r="A18" s="230" t="s">
        <v>70</v>
      </c>
      <c r="B18" s="231"/>
      <c r="C18" s="152">
        <f>ROUND(100.81*B29,4)</f>
        <v>100.81</v>
      </c>
      <c r="D18" s="74">
        <f t="shared" si="0"/>
        <v>0</v>
      </c>
      <c r="E18" s="41">
        <f>ROUND(100.8112*$B$29,4)</f>
        <v>100.8112</v>
      </c>
      <c r="F18" s="74">
        <f t="shared" si="6"/>
        <v>0</v>
      </c>
      <c r="G18" s="41">
        <f>ROUND(100.8112*$B$29,4)</f>
        <v>100.8112</v>
      </c>
      <c r="H18" s="74">
        <f t="shared" si="1"/>
        <v>0</v>
      </c>
      <c r="I18" s="41">
        <f>ROUND(100.8112*$B$29,4)</f>
        <v>100.8112</v>
      </c>
      <c r="J18" s="74">
        <f t="shared" si="2"/>
        <v>0</v>
      </c>
      <c r="K18" s="41">
        <f>ROUND(100.8112*$B$29,4)</f>
        <v>100.8112</v>
      </c>
      <c r="L18" s="74">
        <f t="shared" si="3"/>
        <v>0</v>
      </c>
      <c r="M18" s="41">
        <f>ROUND(100.8112*$B$29,4)</f>
        <v>100.8112</v>
      </c>
      <c r="N18" s="74">
        <f t="shared" si="4"/>
        <v>0</v>
      </c>
      <c r="O18" s="41">
        <f>ROUND(100.8112*$B$29,4)</f>
        <v>100.8112</v>
      </c>
      <c r="P18" s="74">
        <f t="shared" si="5"/>
        <v>0</v>
      </c>
      <c r="Q18" s="18"/>
    </row>
    <row r="19" spans="1:17" x14ac:dyDescent="0.2">
      <c r="A19" s="230" t="s">
        <v>71</v>
      </c>
      <c r="B19" s="231"/>
      <c r="C19" s="152">
        <f>ROUND(101.97*B29,4)</f>
        <v>101.97</v>
      </c>
      <c r="D19" s="74">
        <f t="shared" si="0"/>
        <v>0</v>
      </c>
      <c r="E19" s="41">
        <f>ROUND(101.9705*$B$29,4)</f>
        <v>101.9705</v>
      </c>
      <c r="F19" s="74">
        <f t="shared" si="6"/>
        <v>0</v>
      </c>
      <c r="G19" s="41">
        <f>ROUND(101.9705*$B$29,4)</f>
        <v>101.9705</v>
      </c>
      <c r="H19" s="74">
        <f t="shared" si="1"/>
        <v>0</v>
      </c>
      <c r="I19" s="41">
        <f>ROUND(101.9705*$B$29,4)</f>
        <v>101.9705</v>
      </c>
      <c r="J19" s="74">
        <f t="shared" si="2"/>
        <v>0</v>
      </c>
      <c r="K19" s="41">
        <f>ROUND(101.9705*$B$29,4)</f>
        <v>101.9705</v>
      </c>
      <c r="L19" s="74">
        <f t="shared" si="3"/>
        <v>0</v>
      </c>
      <c r="M19" s="41">
        <f>ROUND(101.9705*$B$29,4)</f>
        <v>101.9705</v>
      </c>
      <c r="N19" s="74">
        <f t="shared" si="4"/>
        <v>0</v>
      </c>
      <c r="O19" s="41">
        <f>ROUND(101.9705*$B$29,4)</f>
        <v>101.9705</v>
      </c>
      <c r="P19" s="74">
        <f t="shared" si="5"/>
        <v>0</v>
      </c>
      <c r="Q19" s="18"/>
    </row>
    <row r="20" spans="1:17" s="48" customFormat="1" ht="15" x14ac:dyDescent="0.25">
      <c r="A20" s="212" t="s">
        <v>213</v>
      </c>
      <c r="B20" s="213"/>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5"/>
    </row>
    <row r="21" spans="1:17" ht="15" thickBot="1" x14ac:dyDescent="0.25">
      <c r="A21" s="17"/>
      <c r="Q21" s="18"/>
    </row>
    <row r="22" spans="1:17" ht="15.75" thickBot="1" x14ac:dyDescent="0.3">
      <c r="A22" s="217" t="s">
        <v>212</v>
      </c>
      <c r="B22" s="218"/>
      <c r="C22" s="86">
        <f>SUM(D20:P20)</f>
        <v>0</v>
      </c>
      <c r="D22" s="49"/>
      <c r="Q22" s="18"/>
    </row>
    <row r="23" spans="1:17" x14ac:dyDescent="0.2">
      <c r="A23" s="17"/>
      <c r="Q23" s="18"/>
    </row>
    <row r="24" spans="1:17" ht="15" x14ac:dyDescent="0.25">
      <c r="A24" s="87" t="s">
        <v>109</v>
      </c>
      <c r="B24" s="68"/>
      <c r="Q24" s="18"/>
    </row>
    <row r="25" spans="1:17" ht="15" x14ac:dyDescent="0.25">
      <c r="A25" s="88" t="s">
        <v>110</v>
      </c>
      <c r="B25" s="151">
        <v>0</v>
      </c>
      <c r="Q25" s="18"/>
    </row>
    <row r="26" spans="1:17" ht="15" x14ac:dyDescent="0.25">
      <c r="A26" s="88" t="s">
        <v>111</v>
      </c>
      <c r="B26" s="151">
        <v>0</v>
      </c>
      <c r="Q26" s="18"/>
    </row>
    <row r="27" spans="1:17" ht="15" x14ac:dyDescent="0.25">
      <c r="A27" s="88" t="s">
        <v>112</v>
      </c>
      <c r="B27" s="151">
        <f>B26-B25</f>
        <v>0</v>
      </c>
      <c r="Q27" s="18"/>
    </row>
    <row r="28" spans="1:17" ht="15" x14ac:dyDescent="0.25">
      <c r="A28" s="88" t="s">
        <v>114</v>
      </c>
      <c r="B28" s="151">
        <f>IFERROR(B27/B25,0)</f>
        <v>0</v>
      </c>
      <c r="Q28" s="18"/>
    </row>
    <row r="29" spans="1:17" ht="15" x14ac:dyDescent="0.25">
      <c r="A29" s="88" t="s">
        <v>113</v>
      </c>
      <c r="B29" s="151">
        <f>B28+1</f>
        <v>1</v>
      </c>
      <c r="Q29" s="18"/>
    </row>
    <row r="30" spans="1:17" x14ac:dyDescent="0.2">
      <c r="A30" s="17"/>
      <c r="Q30" s="18"/>
    </row>
    <row r="31" spans="1:17" x14ac:dyDescent="0.2">
      <c r="A31" s="81" t="s">
        <v>57</v>
      </c>
      <c r="C31" s="50">
        <v>1.15E-2</v>
      </c>
      <c r="Q31" s="18"/>
    </row>
    <row r="32" spans="1:17" x14ac:dyDescent="0.2">
      <c r="A32" s="81" t="s">
        <v>75</v>
      </c>
      <c r="C32" s="76">
        <f>(93.0567052181818)*B29</f>
        <v>93.056705218181804</v>
      </c>
      <c r="Q32" s="18"/>
    </row>
    <row r="33" spans="1:17" ht="15" thickBot="1" x14ac:dyDescent="0.25">
      <c r="A33" s="84" t="s">
        <v>59</v>
      </c>
      <c r="B33" s="54"/>
      <c r="C33" s="54"/>
      <c r="D33" s="54"/>
      <c r="E33" s="55">
        <v>1</v>
      </c>
      <c r="F33" s="54"/>
      <c r="G33" s="55">
        <v>1</v>
      </c>
      <c r="H33" s="54"/>
      <c r="I33" s="55">
        <v>1</v>
      </c>
      <c r="J33" s="54"/>
      <c r="K33" s="55">
        <v>1</v>
      </c>
      <c r="L33" s="54"/>
      <c r="M33" s="55">
        <v>1</v>
      </c>
      <c r="N33" s="54"/>
      <c r="O33" s="55">
        <v>1</v>
      </c>
      <c r="P33" s="54"/>
      <c r="Q33" s="56"/>
    </row>
    <row r="35" spans="1:17" ht="66" customHeight="1" x14ac:dyDescent="0.2">
      <c r="A35" s="235" t="s">
        <v>214</v>
      </c>
      <c r="B35" s="235"/>
      <c r="C35" s="235"/>
      <c r="D35" s="235"/>
      <c r="E35" s="235"/>
      <c r="F35" s="235"/>
      <c r="G35" s="235"/>
      <c r="H35" s="235"/>
      <c r="I35" s="235"/>
      <c r="J35" s="235"/>
      <c r="K35" s="235"/>
      <c r="L35" s="235"/>
      <c r="M35" s="235"/>
      <c r="N35" s="235"/>
      <c r="O35" s="235"/>
      <c r="P35" s="235"/>
      <c r="Q35" s="235"/>
    </row>
  </sheetData>
  <mergeCells count="32">
    <mergeCell ref="A35:Q35"/>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M9:N9"/>
    <mergeCell ref="O9:P9"/>
    <mergeCell ref="A10:B10"/>
    <mergeCell ref="A11:B11"/>
    <mergeCell ref="A12:B12"/>
    <mergeCell ref="I9:J9"/>
    <mergeCell ref="A19:B19"/>
    <mergeCell ref="A20:B20"/>
    <mergeCell ref="A22:B22"/>
    <mergeCell ref="A18:B18"/>
    <mergeCell ref="K9:L9"/>
    <mergeCell ref="A13:B13"/>
    <mergeCell ref="A14:B14"/>
    <mergeCell ref="A15:B15"/>
    <mergeCell ref="A16:B16"/>
    <mergeCell ref="A17:B17"/>
  </mergeCells>
  <pageMargins left="0.25" right="0.25" top="0.25" bottom="0.25" header="0.3" footer="0.3"/>
  <pageSetup scale="43" orientation="landscape" r:id="rId1"/>
  <headerFoot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EEE2-A47D-41C2-9808-E32DC490BFC7}">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057A1-45D3-450A-91AD-4E7C4482FE2E}">
  <sheetPr>
    <tabColor rgb="FF002060"/>
    <pageSetUpPr fitToPage="1"/>
  </sheetPr>
  <dimension ref="A1:G42"/>
  <sheetViews>
    <sheetView zoomScale="70" zoomScaleNormal="70" workbookViewId="0">
      <selection activeCell="F7" sqref="F7"/>
    </sheetView>
  </sheetViews>
  <sheetFormatPr defaultColWidth="8.85546875" defaultRowHeight="14.25" x14ac:dyDescent="0.2"/>
  <cols>
    <col min="1" max="1" width="45.5703125" style="98" customWidth="1"/>
    <col min="2" max="6" width="28.140625" style="97" customWidth="1"/>
    <col min="7" max="7" width="8.5703125" style="97" customWidth="1"/>
    <col min="8" max="16384" width="8.85546875" style="97"/>
  </cols>
  <sheetData>
    <row r="1" spans="1:7" ht="18.75" thickBot="1" x14ac:dyDescent="0.3">
      <c r="A1" s="176" t="s">
        <v>141</v>
      </c>
      <c r="B1" s="177"/>
      <c r="C1" s="177"/>
      <c r="D1" s="177"/>
      <c r="E1" s="178"/>
      <c r="F1" s="179"/>
    </row>
    <row r="3" spans="1:7" ht="15" thickBot="1" x14ac:dyDescent="0.25">
      <c r="A3" s="98" t="s">
        <v>88</v>
      </c>
    </row>
    <row r="4" spans="1:7" ht="42.75" customHeight="1" thickBot="1" x14ac:dyDescent="0.25">
      <c r="A4" s="172" t="s">
        <v>222</v>
      </c>
      <c r="B4" s="173"/>
      <c r="C4" s="173"/>
      <c r="D4" s="173"/>
      <c r="E4" s="174"/>
      <c r="F4" s="175"/>
    </row>
    <row r="5" spans="1:7" ht="15.75" x14ac:dyDescent="0.25">
      <c r="A5" s="180" t="s">
        <v>142</v>
      </c>
      <c r="B5" s="182" t="s">
        <v>143</v>
      </c>
      <c r="C5" s="183"/>
      <c r="D5" s="183"/>
      <c r="E5" s="184"/>
      <c r="F5" s="185"/>
    </row>
    <row r="6" spans="1:7" s="98" customFormat="1" ht="45" customHeight="1" thickBot="1" x14ac:dyDescent="0.3">
      <c r="A6" s="181"/>
      <c r="B6" s="99" t="s">
        <v>144</v>
      </c>
      <c r="C6" s="100" t="s">
        <v>145</v>
      </c>
      <c r="D6" s="100" t="s">
        <v>146</v>
      </c>
      <c r="E6" s="101" t="s">
        <v>147</v>
      </c>
      <c r="F6" s="101" t="s">
        <v>148</v>
      </c>
    </row>
    <row r="7" spans="1:7" ht="15.75" x14ac:dyDescent="0.25">
      <c r="A7" s="102" t="s">
        <v>149</v>
      </c>
      <c r="B7" s="103"/>
      <c r="C7" s="104"/>
      <c r="D7" s="104"/>
      <c r="E7" s="105"/>
      <c r="F7" s="105">
        <f>SUM(B7:E7)</f>
        <v>0</v>
      </c>
    </row>
    <row r="8" spans="1:7" ht="15.75" x14ac:dyDescent="0.25">
      <c r="A8" s="102" t="s">
        <v>150</v>
      </c>
      <c r="B8" s="103"/>
      <c r="C8" s="104"/>
      <c r="D8" s="104"/>
      <c r="E8" s="105"/>
      <c r="F8" s="105">
        <f>SUM(B8:E8)</f>
        <v>0</v>
      </c>
    </row>
    <row r="9" spans="1:7" ht="15.75" x14ac:dyDescent="0.25">
      <c r="A9" s="102" t="s">
        <v>151</v>
      </c>
      <c r="B9" s="103"/>
      <c r="C9" s="104"/>
      <c r="D9" s="104"/>
      <c r="E9" s="105"/>
      <c r="F9" s="105">
        <f>SUM(B9:E9)</f>
        <v>0</v>
      </c>
    </row>
    <row r="10" spans="1:7" ht="3" customHeight="1" x14ac:dyDescent="0.25">
      <c r="A10" s="106"/>
      <c r="B10" s="107"/>
      <c r="C10" s="108"/>
      <c r="D10" s="108"/>
      <c r="E10" s="109"/>
      <c r="F10" s="109"/>
    </row>
    <row r="11" spans="1:7" ht="16.5" thickBot="1" x14ac:dyDescent="0.3">
      <c r="A11" s="110" t="s">
        <v>152</v>
      </c>
      <c r="B11" s="111">
        <f>SUM(B7:B9)</f>
        <v>0</v>
      </c>
      <c r="C11" s="111">
        <f>SUM(C7:C9)</f>
        <v>0</v>
      </c>
      <c r="D11" s="111">
        <f>SUM(D7:D9)</f>
        <v>0</v>
      </c>
      <c r="E11" s="111">
        <f>SUM(E7:E9)</f>
        <v>0</v>
      </c>
      <c r="F11" s="111">
        <f>SUM(F7:F9)</f>
        <v>0</v>
      </c>
    </row>
    <row r="12" spans="1:7" ht="16.5" thickBot="1" x14ac:dyDescent="0.3">
      <c r="A12" s="110" t="s">
        <v>153</v>
      </c>
      <c r="B12" s="112" t="e">
        <f>B11/$F$11</f>
        <v>#DIV/0!</v>
      </c>
      <c r="C12" s="112" t="e">
        <f t="shared" ref="C12:E12" si="0">C11/$F$11</f>
        <v>#DIV/0!</v>
      </c>
      <c r="D12" s="112" t="e">
        <f t="shared" si="0"/>
        <v>#DIV/0!</v>
      </c>
      <c r="E12" s="112" t="e">
        <f t="shared" si="0"/>
        <v>#DIV/0!</v>
      </c>
      <c r="F12" s="113" t="e">
        <f>SUM(B12:E12)</f>
        <v>#DIV/0!</v>
      </c>
    </row>
    <row r="13" spans="1:7" ht="25.5" x14ac:dyDescent="0.2">
      <c r="A13" s="114" t="s">
        <v>154</v>
      </c>
      <c r="B13" s="115">
        <v>0.05</v>
      </c>
      <c r="C13" s="115">
        <v>0.15</v>
      </c>
      <c r="D13" s="115">
        <v>0.25</v>
      </c>
      <c r="E13" s="115">
        <v>0.1</v>
      </c>
      <c r="F13" s="115"/>
    </row>
    <row r="14" spans="1:7" s="117" customFormat="1" ht="26.25" thickBot="1" x14ac:dyDescent="0.25">
      <c r="A14" s="114" t="s">
        <v>155</v>
      </c>
      <c r="B14" s="115">
        <v>0.35</v>
      </c>
      <c r="C14" s="115">
        <v>0.3</v>
      </c>
      <c r="D14" s="115">
        <v>0.5</v>
      </c>
      <c r="E14" s="115">
        <v>0.25</v>
      </c>
      <c r="F14" s="115"/>
      <c r="G14" s="116"/>
    </row>
    <row r="15" spans="1:7" s="122" customFormat="1" ht="16.5" thickBot="1" x14ac:dyDescent="0.3">
      <c r="A15" s="118" t="s">
        <v>156</v>
      </c>
      <c r="B15" s="119">
        <f>F11</f>
        <v>0</v>
      </c>
      <c r="C15" s="120"/>
      <c r="D15" s="120"/>
      <c r="E15" s="120"/>
      <c r="F15" s="120"/>
      <c r="G15" s="121"/>
    </row>
    <row r="16" spans="1:7" ht="15.75" x14ac:dyDescent="0.25">
      <c r="A16" s="123"/>
      <c r="B16" s="89"/>
      <c r="C16" s="89"/>
      <c r="D16" s="89"/>
      <c r="E16" s="89"/>
      <c r="F16" s="89"/>
    </row>
    <row r="17" spans="1:6" ht="15" customHeight="1" x14ac:dyDescent="0.2">
      <c r="A17" s="186" t="s">
        <v>157</v>
      </c>
      <c r="B17" s="186"/>
      <c r="C17" s="186"/>
      <c r="D17" s="186"/>
      <c r="E17" s="186"/>
      <c r="F17" s="186"/>
    </row>
    <row r="18" spans="1:6" ht="63" customHeight="1" x14ac:dyDescent="0.2">
      <c r="A18" s="186"/>
      <c r="B18" s="186"/>
      <c r="C18" s="186"/>
      <c r="D18" s="186"/>
      <c r="E18" s="186"/>
      <c r="F18" s="186"/>
    </row>
    <row r="19" spans="1:6" x14ac:dyDescent="0.2">
      <c r="A19" s="124"/>
    </row>
    <row r="20" spans="1:6" ht="15" thickBot="1" x14ac:dyDescent="0.25"/>
    <row r="21" spans="1:6" ht="40.5" customHeight="1" thickBot="1" x14ac:dyDescent="0.25">
      <c r="A21" s="172" t="s">
        <v>158</v>
      </c>
      <c r="B21" s="173"/>
      <c r="C21" s="173"/>
      <c r="D21" s="173"/>
      <c r="E21" s="174"/>
      <c r="F21" s="175"/>
    </row>
    <row r="22" spans="1:6" ht="15.75" x14ac:dyDescent="0.25">
      <c r="A22" s="180" t="s">
        <v>142</v>
      </c>
      <c r="B22" s="182" t="s">
        <v>159</v>
      </c>
      <c r="C22" s="183"/>
      <c r="D22" s="183"/>
      <c r="E22" s="184"/>
      <c r="F22" s="185"/>
    </row>
    <row r="23" spans="1:6" ht="30.75" thickBot="1" x14ac:dyDescent="0.3">
      <c r="A23" s="181"/>
      <c r="B23" s="99" t="s">
        <v>160</v>
      </c>
      <c r="C23" s="100" t="s">
        <v>145</v>
      </c>
      <c r="D23" s="100" t="s">
        <v>146</v>
      </c>
      <c r="E23" s="101" t="s">
        <v>147</v>
      </c>
      <c r="F23" s="101" t="s">
        <v>161</v>
      </c>
    </row>
    <row r="24" spans="1:6" ht="15.75" x14ac:dyDescent="0.25">
      <c r="A24" s="125" t="s">
        <v>162</v>
      </c>
      <c r="B24" s="126"/>
      <c r="C24" s="126"/>
      <c r="D24" s="126"/>
      <c r="E24" s="126"/>
      <c r="F24" s="105">
        <f>SUM(B24:E24)</f>
        <v>0</v>
      </c>
    </row>
    <row r="25" spans="1:6" ht="15.75" x14ac:dyDescent="0.25">
      <c r="A25" s="106"/>
      <c r="B25" s="127"/>
      <c r="C25" s="128"/>
      <c r="D25" s="128"/>
      <c r="E25" s="129"/>
      <c r="F25" s="129"/>
    </row>
    <row r="26" spans="1:6" ht="16.5" thickBot="1" x14ac:dyDescent="0.3">
      <c r="A26" s="110" t="s">
        <v>152</v>
      </c>
      <c r="B26" s="111">
        <f>B24</f>
        <v>0</v>
      </c>
      <c r="C26" s="111">
        <f t="shared" ref="C26:E26" si="1">C24</f>
        <v>0</v>
      </c>
      <c r="D26" s="111">
        <f t="shared" si="1"/>
        <v>0</v>
      </c>
      <c r="E26" s="111">
        <f t="shared" si="1"/>
        <v>0</v>
      </c>
      <c r="F26" s="111">
        <f>SUM(B26:E26)</f>
        <v>0</v>
      </c>
    </row>
    <row r="27" spans="1:6" ht="16.5" thickBot="1" x14ac:dyDescent="0.3">
      <c r="A27" s="110" t="s">
        <v>153</v>
      </c>
      <c r="B27" s="112" t="e">
        <f>B26/$F$26</f>
        <v>#DIV/0!</v>
      </c>
      <c r="C27" s="112" t="e">
        <f t="shared" ref="C27:E27" si="2">C26/$F$26</f>
        <v>#DIV/0!</v>
      </c>
      <c r="D27" s="112" t="e">
        <f t="shared" si="2"/>
        <v>#DIV/0!</v>
      </c>
      <c r="E27" s="112" t="e">
        <f t="shared" si="2"/>
        <v>#DIV/0!</v>
      </c>
      <c r="F27" s="113" t="e">
        <f>SUM(B27:E27)</f>
        <v>#DIV/0!</v>
      </c>
    </row>
    <row r="28" spans="1:6" ht="25.5" x14ac:dyDescent="0.2">
      <c r="A28" s="114" t="s">
        <v>154</v>
      </c>
      <c r="B28" s="115">
        <v>0.05</v>
      </c>
      <c r="C28" s="115">
        <v>0.15</v>
      </c>
      <c r="D28" s="115">
        <v>0.25</v>
      </c>
      <c r="E28" s="115">
        <v>0.1</v>
      </c>
      <c r="F28" s="115"/>
    </row>
    <row r="29" spans="1:6" ht="26.25" thickBot="1" x14ac:dyDescent="0.25">
      <c r="A29" s="114" t="s">
        <v>155</v>
      </c>
      <c r="B29" s="115">
        <v>0.35</v>
      </c>
      <c r="C29" s="115">
        <v>0.3</v>
      </c>
      <c r="D29" s="115">
        <v>0.5</v>
      </c>
      <c r="E29" s="115">
        <v>0.25</v>
      </c>
      <c r="F29" s="115"/>
    </row>
    <row r="30" spans="1:6" ht="16.5" thickBot="1" x14ac:dyDescent="0.3">
      <c r="A30" s="130" t="s">
        <v>4</v>
      </c>
      <c r="B30" s="131">
        <f>F26</f>
        <v>0</v>
      </c>
      <c r="C30" s="89"/>
      <c r="D30" s="89"/>
      <c r="E30" s="89"/>
      <c r="F30" s="89"/>
    </row>
    <row r="32" spans="1:6" ht="15" thickBot="1" x14ac:dyDescent="0.25"/>
    <row r="33" spans="1:6" ht="42" customHeight="1" thickBot="1" x14ac:dyDescent="0.25">
      <c r="A33" s="172" t="s">
        <v>163</v>
      </c>
      <c r="B33" s="173"/>
      <c r="C33" s="173"/>
      <c r="D33" s="173"/>
      <c r="E33" s="174"/>
      <c r="F33" s="175"/>
    </row>
    <row r="34" spans="1:6" ht="15.75" x14ac:dyDescent="0.25">
      <c r="A34" s="180" t="s">
        <v>142</v>
      </c>
      <c r="B34" s="182" t="s">
        <v>3</v>
      </c>
      <c r="C34" s="183"/>
      <c r="D34" s="183"/>
      <c r="E34" s="184"/>
      <c r="F34" s="185"/>
    </row>
    <row r="35" spans="1:6" ht="30.75" thickBot="1" x14ac:dyDescent="0.3">
      <c r="A35" s="181"/>
      <c r="B35" s="99" t="s">
        <v>160</v>
      </c>
      <c r="C35" s="100" t="s">
        <v>145</v>
      </c>
      <c r="D35" s="100" t="s">
        <v>146</v>
      </c>
      <c r="E35" s="101" t="s">
        <v>147</v>
      </c>
      <c r="F35" s="101" t="s">
        <v>161</v>
      </c>
    </row>
    <row r="36" spans="1:6" ht="15.75" x14ac:dyDescent="0.25">
      <c r="A36" s="132" t="s">
        <v>164</v>
      </c>
      <c r="B36" s="126"/>
      <c r="C36" s="133"/>
      <c r="D36" s="133"/>
      <c r="E36" s="105"/>
      <c r="F36" s="105">
        <f>SUM(B36:E36)</f>
        <v>0</v>
      </c>
    </row>
    <row r="37" spans="1:6" ht="15.75" x14ac:dyDescent="0.25">
      <c r="A37" s="106"/>
      <c r="B37" s="134"/>
      <c r="C37" s="135"/>
      <c r="D37" s="135"/>
      <c r="E37" s="136"/>
      <c r="F37" s="136"/>
    </row>
    <row r="38" spans="1:6" ht="16.5" thickBot="1" x14ac:dyDescent="0.3">
      <c r="A38" s="110" t="s">
        <v>152</v>
      </c>
      <c r="B38" s="111">
        <f>B36</f>
        <v>0</v>
      </c>
      <c r="C38" s="111">
        <f t="shared" ref="C38:E38" si="3">C36</f>
        <v>0</v>
      </c>
      <c r="D38" s="111">
        <f t="shared" si="3"/>
        <v>0</v>
      </c>
      <c r="E38" s="111">
        <f t="shared" si="3"/>
        <v>0</v>
      </c>
      <c r="F38" s="111">
        <f>SUM(B38:E38)</f>
        <v>0</v>
      </c>
    </row>
    <row r="39" spans="1:6" ht="16.5" thickBot="1" x14ac:dyDescent="0.3">
      <c r="A39" s="110" t="s">
        <v>153</v>
      </c>
      <c r="B39" s="112" t="e">
        <f>B38/$F$38</f>
        <v>#DIV/0!</v>
      </c>
      <c r="C39" s="112" t="e">
        <f t="shared" ref="C39:E39" si="4">C38/$F$38</f>
        <v>#DIV/0!</v>
      </c>
      <c r="D39" s="112" t="e">
        <f t="shared" si="4"/>
        <v>#DIV/0!</v>
      </c>
      <c r="E39" s="112" t="e">
        <f t="shared" si="4"/>
        <v>#DIV/0!</v>
      </c>
      <c r="F39" s="137" t="e">
        <f>SUM(B39:E39)</f>
        <v>#DIV/0!</v>
      </c>
    </row>
    <row r="40" spans="1:6" ht="25.5" x14ac:dyDescent="0.2">
      <c r="A40" s="114" t="s">
        <v>154</v>
      </c>
      <c r="B40" s="115">
        <v>0.05</v>
      </c>
      <c r="C40" s="115">
        <v>0.15</v>
      </c>
      <c r="D40" s="115">
        <v>0.25</v>
      </c>
      <c r="E40" s="115">
        <v>0.1</v>
      </c>
      <c r="F40" s="115"/>
    </row>
    <row r="41" spans="1:6" ht="26.25" thickBot="1" x14ac:dyDescent="0.25">
      <c r="A41" s="114" t="s">
        <v>155</v>
      </c>
      <c r="B41" s="115">
        <v>0.35</v>
      </c>
      <c r="C41" s="115">
        <v>0.3</v>
      </c>
      <c r="D41" s="115">
        <v>0.5</v>
      </c>
      <c r="E41" s="115">
        <v>0.25</v>
      </c>
      <c r="F41" s="115"/>
    </row>
    <row r="42" spans="1:6" ht="16.5" thickBot="1" x14ac:dyDescent="0.3">
      <c r="A42" s="130" t="s">
        <v>4</v>
      </c>
      <c r="B42" s="119">
        <f>F38</f>
        <v>0</v>
      </c>
      <c r="C42" s="89"/>
      <c r="D42" s="89"/>
      <c r="E42" s="89"/>
      <c r="F42" s="89"/>
    </row>
  </sheetData>
  <mergeCells count="11">
    <mergeCell ref="A22:A23"/>
    <mergeCell ref="B22:F22"/>
    <mergeCell ref="A33:F33"/>
    <mergeCell ref="A34:A35"/>
    <mergeCell ref="B34:F34"/>
    <mergeCell ref="A21:F21"/>
    <mergeCell ref="A1:F1"/>
    <mergeCell ref="A4:F4"/>
    <mergeCell ref="A5:A6"/>
    <mergeCell ref="B5:F5"/>
    <mergeCell ref="A17:F18"/>
  </mergeCells>
  <conditionalFormatting sqref="B12">
    <cfRule type="cellIs" dxfId="23" priority="23" operator="between">
      <formula>0.05</formula>
      <formula>0.35</formula>
    </cfRule>
    <cfRule type="cellIs" dxfId="22" priority="24" operator="notBetween">
      <formula>0.05</formula>
      <formula>0.35</formula>
    </cfRule>
  </conditionalFormatting>
  <conditionalFormatting sqref="C12">
    <cfRule type="cellIs" dxfId="21" priority="21" operator="between">
      <formula>0.15</formula>
      <formula>0.3</formula>
    </cfRule>
    <cfRule type="cellIs" dxfId="20" priority="22" operator="notBetween">
      <formula>0.15</formula>
      <formula>0.3</formula>
    </cfRule>
  </conditionalFormatting>
  <conditionalFormatting sqref="D12">
    <cfRule type="cellIs" dxfId="19" priority="19" operator="between">
      <formula>0.25</formula>
      <formula>0.5</formula>
    </cfRule>
    <cfRule type="cellIs" dxfId="18" priority="20" operator="notBetween">
      <formula>25</formula>
      <formula>0.5</formula>
    </cfRule>
  </conditionalFormatting>
  <conditionalFormatting sqref="E12">
    <cfRule type="cellIs" dxfId="17" priority="17" operator="between">
      <formula>0.1</formula>
      <formula>0.25</formula>
    </cfRule>
    <cfRule type="cellIs" dxfId="16" priority="18" operator="notBetween">
      <formula>0.1</formula>
      <formula>0.25</formula>
    </cfRule>
  </conditionalFormatting>
  <conditionalFormatting sqref="B27">
    <cfRule type="cellIs" dxfId="15" priority="15" operator="between">
      <formula>0.05</formula>
      <formula>0.35</formula>
    </cfRule>
    <cfRule type="cellIs" dxfId="14" priority="16" operator="notBetween">
      <formula>0.05</formula>
      <formula>0.35</formula>
    </cfRule>
  </conditionalFormatting>
  <conditionalFormatting sqref="B39">
    <cfRule type="cellIs" dxfId="13" priority="13" operator="between">
      <formula>0.05</formula>
      <formula>0.35</formula>
    </cfRule>
    <cfRule type="cellIs" dxfId="12" priority="14" operator="notBetween">
      <formula>0.05</formula>
      <formula>0.35</formula>
    </cfRule>
  </conditionalFormatting>
  <conditionalFormatting sqref="C27">
    <cfRule type="cellIs" dxfId="11" priority="11" operator="between">
      <formula>0.15</formula>
      <formula>0.3</formula>
    </cfRule>
    <cfRule type="cellIs" dxfId="10" priority="12" operator="notBetween">
      <formula>0.15</formula>
      <formula>0.3</formula>
    </cfRule>
  </conditionalFormatting>
  <conditionalFormatting sqref="C39">
    <cfRule type="cellIs" dxfId="9" priority="9" operator="between">
      <formula>0.15</formula>
      <formula>0.3</formula>
    </cfRule>
    <cfRule type="cellIs" dxfId="8" priority="10" operator="notBetween">
      <formula>0.15</formula>
      <formula>0.3</formula>
    </cfRule>
  </conditionalFormatting>
  <conditionalFormatting sqref="D27">
    <cfRule type="cellIs" dxfId="7" priority="7" operator="between">
      <formula>0.25</formula>
      <formula>0.5</formula>
    </cfRule>
    <cfRule type="cellIs" dxfId="6" priority="8" operator="notBetween">
      <formula>25</formula>
      <formula>0.5</formula>
    </cfRule>
  </conditionalFormatting>
  <conditionalFormatting sqref="D39">
    <cfRule type="cellIs" dxfId="5" priority="5" operator="between">
      <formula>0.25</formula>
      <formula>0.5</formula>
    </cfRule>
    <cfRule type="cellIs" dxfId="4" priority="6" operator="notBetween">
      <formula>25</formula>
      <formula>0.5</formula>
    </cfRule>
  </conditionalFormatting>
  <conditionalFormatting sqref="E27">
    <cfRule type="cellIs" dxfId="3" priority="3" operator="between">
      <formula>0.1</formula>
      <formula>0.25</formula>
    </cfRule>
    <cfRule type="cellIs" dxfId="2" priority="4" operator="notBetween">
      <formula>0.1</formula>
      <formula>0.25</formula>
    </cfRule>
  </conditionalFormatting>
  <conditionalFormatting sqref="E39">
    <cfRule type="cellIs" dxfId="1" priority="1" operator="between">
      <formula>0.1</formula>
      <formula>0.25</formula>
    </cfRule>
    <cfRule type="cellIs" dxfId="0" priority="2" operator="notBetween">
      <formula>0.1</formula>
      <formula>0.25</formula>
    </cfRule>
  </conditionalFormatting>
  <pageMargins left="0.7" right="0.7" top="0.75" bottom="0.75" header="0.3" footer="0.3"/>
  <pageSetup scale="48" fitToHeight="0" orientation="portrait" r:id="rId1"/>
  <headerFooter>
    <oddFooter>&amp;Rpage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C226-9CAB-4027-BB5B-C064285406B4}">
  <sheetPr>
    <tabColor rgb="FF002060"/>
    <pageSetUpPr fitToPage="1"/>
  </sheetPr>
  <dimension ref="A1:B60"/>
  <sheetViews>
    <sheetView zoomScale="70" zoomScaleNormal="70" workbookViewId="0">
      <selection activeCell="B5" sqref="B5"/>
    </sheetView>
  </sheetViews>
  <sheetFormatPr defaultColWidth="8.85546875" defaultRowHeight="14.25" x14ac:dyDescent="0.2"/>
  <cols>
    <col min="1" max="2" width="47.42578125" style="97" customWidth="1"/>
    <col min="3" max="16384" width="8.85546875" style="97"/>
  </cols>
  <sheetData>
    <row r="1" spans="1:2" ht="18.75" thickBot="1" x14ac:dyDescent="0.3">
      <c r="A1" s="176" t="s">
        <v>30</v>
      </c>
      <c r="B1" s="189"/>
    </row>
    <row r="2" spans="1:2" ht="15" thickBot="1" x14ac:dyDescent="0.25"/>
    <row r="3" spans="1:2" ht="18.75" thickBot="1" x14ac:dyDescent="0.3">
      <c r="A3" s="187" t="s">
        <v>223</v>
      </c>
      <c r="B3" s="188"/>
    </row>
    <row r="4" spans="1:2" ht="16.5" thickBot="1" x14ac:dyDescent="0.3">
      <c r="A4" s="138" t="s">
        <v>0</v>
      </c>
      <c r="B4" s="90" t="s">
        <v>1</v>
      </c>
    </row>
    <row r="5" spans="1:2" ht="15" x14ac:dyDescent="0.2">
      <c r="A5" s="139" t="s">
        <v>224</v>
      </c>
      <c r="B5" s="91"/>
    </row>
    <row r="6" spans="1:2" ht="15" x14ac:dyDescent="0.2">
      <c r="A6" s="140" t="s">
        <v>225</v>
      </c>
      <c r="B6" s="141"/>
    </row>
    <row r="7" spans="1:2" ht="15" x14ac:dyDescent="0.2">
      <c r="A7" s="140" t="s">
        <v>226</v>
      </c>
      <c r="B7" s="141"/>
    </row>
    <row r="8" spans="1:2" ht="15" x14ac:dyDescent="0.2">
      <c r="A8" s="140" t="s">
        <v>227</v>
      </c>
      <c r="B8" s="141"/>
    </row>
    <row r="9" spans="1:2" ht="2.4500000000000002" customHeight="1" x14ac:dyDescent="0.25">
      <c r="A9" s="142"/>
      <c r="B9" s="93"/>
    </row>
    <row r="10" spans="1:2" ht="15.75" x14ac:dyDescent="0.25">
      <c r="A10" s="143" t="s">
        <v>228</v>
      </c>
      <c r="B10" s="157">
        <f>SUM(B5:B8)</f>
        <v>0</v>
      </c>
    </row>
    <row r="11" spans="1:2" ht="2.4500000000000002" customHeight="1" x14ac:dyDescent="0.25">
      <c r="A11" s="142"/>
      <c r="B11" s="93"/>
    </row>
    <row r="12" spans="1:2" ht="15" x14ac:dyDescent="0.2">
      <c r="A12" s="140" t="s">
        <v>229</v>
      </c>
      <c r="B12" s="141"/>
    </row>
    <row r="13" spans="1:2" ht="15" x14ac:dyDescent="0.2">
      <c r="A13" s="140" t="s">
        <v>230</v>
      </c>
      <c r="B13" s="141"/>
    </row>
    <row r="14" spans="1:2" ht="15" x14ac:dyDescent="0.2">
      <c r="A14" s="140" t="s">
        <v>231</v>
      </c>
      <c r="B14" s="141"/>
    </row>
    <row r="15" spans="1:2" ht="15" x14ac:dyDescent="0.2">
      <c r="A15" s="140" t="s">
        <v>232</v>
      </c>
      <c r="B15" s="141"/>
    </row>
    <row r="16" spans="1:2" ht="15" x14ac:dyDescent="0.2">
      <c r="A16" s="140" t="s">
        <v>233</v>
      </c>
      <c r="B16" s="141"/>
    </row>
    <row r="17" spans="1:2" ht="2.4500000000000002" customHeight="1" x14ac:dyDescent="0.25">
      <c r="A17" s="142"/>
      <c r="B17" s="93"/>
    </row>
    <row r="18" spans="1:2" ht="15.75" x14ac:dyDescent="0.25">
      <c r="A18" s="143" t="s">
        <v>228</v>
      </c>
      <c r="B18" s="158">
        <f>SUM(B12:B16)</f>
        <v>0</v>
      </c>
    </row>
    <row r="19" spans="1:2" ht="2.4500000000000002" customHeight="1" x14ac:dyDescent="0.25">
      <c r="A19" s="142"/>
      <c r="B19" s="93"/>
    </row>
    <row r="20" spans="1:2" ht="16.5" thickBot="1" x14ac:dyDescent="0.3">
      <c r="A20" s="94" t="s">
        <v>234</v>
      </c>
      <c r="B20" s="159">
        <f>B19+B10</f>
        <v>0</v>
      </c>
    </row>
    <row r="22" spans="1:2" ht="13.35" customHeight="1" x14ac:dyDescent="0.2">
      <c r="A22" s="190" t="s">
        <v>76</v>
      </c>
      <c r="B22" s="191"/>
    </row>
    <row r="23" spans="1:2" ht="17.45" customHeight="1" thickBot="1" x14ac:dyDescent="0.3">
      <c r="A23" s="192"/>
      <c r="B23" s="193"/>
    </row>
    <row r="24" spans="1:2" ht="18.75" thickBot="1" x14ac:dyDescent="0.3">
      <c r="A24" s="187" t="s">
        <v>9</v>
      </c>
      <c r="B24" s="188"/>
    </row>
    <row r="25" spans="1:2" ht="16.5" thickBot="1" x14ac:dyDescent="0.3">
      <c r="A25" s="138" t="s">
        <v>0</v>
      </c>
      <c r="B25" s="90" t="s">
        <v>1</v>
      </c>
    </row>
    <row r="26" spans="1:2" ht="15.75" x14ac:dyDescent="0.25">
      <c r="A26" s="139" t="s">
        <v>10</v>
      </c>
      <c r="B26" s="91"/>
    </row>
    <row r="27" spans="1:2" ht="15.75" x14ac:dyDescent="0.25">
      <c r="A27" s="140" t="s">
        <v>11</v>
      </c>
      <c r="B27" s="91"/>
    </row>
    <row r="28" spans="1:2" ht="15.75" x14ac:dyDescent="0.25">
      <c r="A28" s="140" t="s">
        <v>12</v>
      </c>
      <c r="B28" s="91"/>
    </row>
    <row r="29" spans="1:2" ht="15.75" x14ac:dyDescent="0.25">
      <c r="A29" s="140" t="s">
        <v>17</v>
      </c>
      <c r="B29" s="141"/>
    </row>
    <row r="30" spans="1:2" ht="2.85" customHeight="1" x14ac:dyDescent="0.25">
      <c r="A30" s="142"/>
      <c r="B30" s="93"/>
    </row>
    <row r="31" spans="1:2" ht="15.75" x14ac:dyDescent="0.25">
      <c r="A31" s="143" t="s">
        <v>235</v>
      </c>
      <c r="B31" s="157">
        <f>SUM(B26:B29)</f>
        <v>0</v>
      </c>
    </row>
    <row r="32" spans="1:2" ht="2.85" customHeight="1" x14ac:dyDescent="0.25">
      <c r="A32" s="142"/>
      <c r="B32" s="93"/>
    </row>
    <row r="33" spans="1:2" ht="15.75" x14ac:dyDescent="0.25">
      <c r="A33" s="140" t="s">
        <v>19</v>
      </c>
      <c r="B33" s="141"/>
    </row>
    <row r="34" spans="1:2" ht="15.75" x14ac:dyDescent="0.25">
      <c r="A34" s="140" t="s">
        <v>20</v>
      </c>
      <c r="B34" s="141"/>
    </row>
    <row r="35" spans="1:2" ht="15.75" x14ac:dyDescent="0.25">
      <c r="A35" s="140" t="s">
        <v>21</v>
      </c>
      <c r="B35" s="141"/>
    </row>
    <row r="36" spans="1:2" ht="15.75" x14ac:dyDescent="0.25">
      <c r="A36" s="140" t="s">
        <v>22</v>
      </c>
      <c r="B36" s="141"/>
    </row>
    <row r="37" spans="1:2" ht="15.75" x14ac:dyDescent="0.25">
      <c r="A37" s="140" t="s">
        <v>18</v>
      </c>
      <c r="B37" s="141"/>
    </row>
    <row r="38" spans="1:2" ht="2.85" customHeight="1" x14ac:dyDescent="0.25">
      <c r="A38" s="142"/>
      <c r="B38" s="93"/>
    </row>
    <row r="39" spans="1:2" ht="15.75" x14ac:dyDescent="0.25">
      <c r="A39" s="143" t="s">
        <v>235</v>
      </c>
      <c r="B39" s="158">
        <f>SUM(B33:B37)</f>
        <v>0</v>
      </c>
    </row>
    <row r="40" spans="1:2" ht="2.85" customHeight="1" x14ac:dyDescent="0.25">
      <c r="A40" s="142"/>
      <c r="B40" s="93"/>
    </row>
    <row r="41" spans="1:2" ht="16.5" thickBot="1" x14ac:dyDescent="0.3">
      <c r="A41" s="94" t="s">
        <v>236</v>
      </c>
      <c r="B41" s="159">
        <f>B40+B31</f>
        <v>0</v>
      </c>
    </row>
    <row r="42" spans="1:2" ht="15" thickBot="1" x14ac:dyDescent="0.25"/>
    <row r="43" spans="1:2" ht="18.75" thickBot="1" x14ac:dyDescent="0.3">
      <c r="A43" s="187" t="s">
        <v>13</v>
      </c>
      <c r="B43" s="188"/>
    </row>
    <row r="44" spans="1:2" ht="16.5" thickBot="1" x14ac:dyDescent="0.3">
      <c r="A44" s="138" t="s">
        <v>0</v>
      </c>
      <c r="B44" s="90" t="s">
        <v>1</v>
      </c>
    </row>
    <row r="45" spans="1:2" ht="15.75" x14ac:dyDescent="0.25">
      <c r="A45" s="139" t="s">
        <v>14</v>
      </c>
      <c r="B45" s="91"/>
    </row>
    <row r="46" spans="1:2" ht="15.75" x14ac:dyDescent="0.25">
      <c r="A46" s="140" t="s">
        <v>15</v>
      </c>
      <c r="B46" s="141"/>
    </row>
    <row r="47" spans="1:2" ht="15.75" x14ac:dyDescent="0.25">
      <c r="A47" s="140" t="s">
        <v>16</v>
      </c>
      <c r="B47" s="141"/>
    </row>
    <row r="48" spans="1:2" ht="15.75" x14ac:dyDescent="0.25">
      <c r="A48" s="140" t="s">
        <v>23</v>
      </c>
      <c r="B48" s="141"/>
    </row>
    <row r="49" spans="1:2" ht="2.85" customHeight="1" x14ac:dyDescent="0.25">
      <c r="A49" s="142"/>
      <c r="B49" s="93"/>
    </row>
    <row r="50" spans="1:2" ht="15.75" x14ac:dyDescent="0.25">
      <c r="A50" s="143" t="s">
        <v>237</v>
      </c>
      <c r="B50" s="157">
        <f>SUM(B45:B48)</f>
        <v>0</v>
      </c>
    </row>
    <row r="51" spans="1:2" ht="2.85" customHeight="1" x14ac:dyDescent="0.25">
      <c r="A51" s="142"/>
      <c r="B51" s="93"/>
    </row>
    <row r="52" spans="1:2" ht="15.75" x14ac:dyDescent="0.25">
      <c r="A52" s="140" t="s">
        <v>24</v>
      </c>
      <c r="B52" s="141"/>
    </row>
    <row r="53" spans="1:2" ht="15.75" x14ac:dyDescent="0.25">
      <c r="A53" s="140" t="s">
        <v>25</v>
      </c>
      <c r="B53" s="141"/>
    </row>
    <row r="54" spans="1:2" ht="15.75" x14ac:dyDescent="0.25">
      <c r="A54" s="140" t="s">
        <v>26</v>
      </c>
      <c r="B54" s="141"/>
    </row>
    <row r="55" spans="1:2" ht="15.75" x14ac:dyDescent="0.25">
      <c r="A55" s="140" t="s">
        <v>27</v>
      </c>
      <c r="B55" s="141"/>
    </row>
    <row r="56" spans="1:2" ht="15.75" x14ac:dyDescent="0.25">
      <c r="A56" s="140" t="s">
        <v>29</v>
      </c>
      <c r="B56" s="141"/>
    </row>
    <row r="57" spans="1:2" ht="2.85" customHeight="1" x14ac:dyDescent="0.25">
      <c r="A57" s="142"/>
      <c r="B57" s="93"/>
    </row>
    <row r="58" spans="1:2" ht="15.75" x14ac:dyDescent="0.25">
      <c r="A58" s="143" t="s">
        <v>237</v>
      </c>
      <c r="B58" s="158">
        <f>SUM(B52:B56)</f>
        <v>0</v>
      </c>
    </row>
    <row r="59" spans="1:2" ht="2.85" customHeight="1" x14ac:dyDescent="0.25">
      <c r="A59" s="142"/>
      <c r="B59" s="93"/>
    </row>
    <row r="60" spans="1:2" ht="16.5" thickBot="1" x14ac:dyDescent="0.3">
      <c r="A60" s="94" t="s">
        <v>238</v>
      </c>
      <c r="B60" s="159">
        <f>B59+B50</f>
        <v>0</v>
      </c>
    </row>
  </sheetData>
  <mergeCells count="6">
    <mergeCell ref="A43:B43"/>
    <mergeCell ref="A1:B1"/>
    <mergeCell ref="A3:B3"/>
    <mergeCell ref="A22:B22"/>
    <mergeCell ref="A23:B23"/>
    <mergeCell ref="A24:B24"/>
  </mergeCells>
  <pageMargins left="0.7" right="0.7" top="0.75" bottom="0.75" header="0.3" footer="0.3"/>
  <pageSetup scale="86" orientation="portrait" r:id="rId1"/>
  <headerFooter>
    <oddFooter>&amp;Rpage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1D59-CEFB-48CD-94F5-F18E96001F36}">
  <sheetPr>
    <tabColor rgb="FF002060"/>
    <pageSetUpPr fitToPage="1"/>
  </sheetPr>
  <dimension ref="A1:B54"/>
  <sheetViews>
    <sheetView topLeftCell="A11" zoomScale="70" zoomScaleNormal="70" workbookViewId="0">
      <selection activeCell="B54" sqref="A1:B54"/>
    </sheetView>
  </sheetViews>
  <sheetFormatPr defaultColWidth="9" defaultRowHeight="15" x14ac:dyDescent="0.25"/>
  <cols>
    <col min="1" max="1" width="53.140625" style="144" customWidth="1"/>
    <col min="2" max="2" width="41.5703125" style="144" customWidth="1"/>
    <col min="3" max="16384" width="9" style="144"/>
  </cols>
  <sheetData>
    <row r="1" spans="1:2" ht="18.75" thickBot="1" x14ac:dyDescent="0.3">
      <c r="A1" s="176" t="s">
        <v>165</v>
      </c>
      <c r="B1" s="189"/>
    </row>
    <row r="2" spans="1:2" ht="15.75" thickBot="1" x14ac:dyDescent="0.3"/>
    <row r="3" spans="1:2" ht="18.75" thickBot="1" x14ac:dyDescent="0.3">
      <c r="A3" s="187" t="s">
        <v>239</v>
      </c>
      <c r="B3" s="188"/>
    </row>
    <row r="4" spans="1:2" ht="16.5" thickBot="1" x14ac:dyDescent="0.3">
      <c r="A4" s="138" t="s">
        <v>0</v>
      </c>
      <c r="B4" s="90" t="s">
        <v>1</v>
      </c>
    </row>
    <row r="5" spans="1:2" ht="15.75" x14ac:dyDescent="0.25">
      <c r="A5" s="139" t="s">
        <v>240</v>
      </c>
      <c r="B5" s="91"/>
    </row>
    <row r="6" spans="1:2" ht="15.75" x14ac:dyDescent="0.25">
      <c r="A6" s="145" t="s">
        <v>241</v>
      </c>
      <c r="B6" s="157">
        <f>SUM(B5)</f>
        <v>0</v>
      </c>
    </row>
    <row r="7" spans="1:2" ht="15.75" x14ac:dyDescent="0.25">
      <c r="A7" s="146" t="s">
        <v>242</v>
      </c>
      <c r="B7" s="160"/>
    </row>
    <row r="8" spans="1:2" ht="15.75" x14ac:dyDescent="0.25">
      <c r="A8" s="146" t="s">
        <v>243</v>
      </c>
      <c r="B8" s="160"/>
    </row>
    <row r="9" spans="1:2" ht="15.75" x14ac:dyDescent="0.25">
      <c r="A9" s="146" t="s">
        <v>244</v>
      </c>
      <c r="B9" s="160"/>
    </row>
    <row r="10" spans="1:2" ht="15.75" x14ac:dyDescent="0.25">
      <c r="A10" s="146" t="s">
        <v>245</v>
      </c>
      <c r="B10" s="160"/>
    </row>
    <row r="11" spans="1:2" ht="15.75" x14ac:dyDescent="0.25">
      <c r="A11" s="147" t="s">
        <v>246</v>
      </c>
      <c r="B11" s="160"/>
    </row>
    <row r="12" spans="1:2" ht="15.75" x14ac:dyDescent="0.25">
      <c r="A12" s="147" t="s">
        <v>247</v>
      </c>
      <c r="B12" s="160"/>
    </row>
    <row r="13" spans="1:2" ht="15.75" x14ac:dyDescent="0.25">
      <c r="A13" s="147" t="s">
        <v>248</v>
      </c>
      <c r="B13" s="160"/>
    </row>
    <row r="14" spans="1:2" ht="15.75" x14ac:dyDescent="0.25">
      <c r="A14" s="147" t="s">
        <v>249</v>
      </c>
      <c r="B14" s="160"/>
    </row>
    <row r="15" spans="1:2" ht="15.75" x14ac:dyDescent="0.25">
      <c r="A15" s="147" t="s">
        <v>250</v>
      </c>
      <c r="B15" s="160"/>
    </row>
    <row r="16" spans="1:2" ht="15.75" x14ac:dyDescent="0.25">
      <c r="A16" s="148" t="s">
        <v>251</v>
      </c>
      <c r="B16" s="157">
        <f>SUM(B7:B15)</f>
        <v>0</v>
      </c>
    </row>
    <row r="17" spans="1:2" ht="15.75" x14ac:dyDescent="0.25">
      <c r="A17" s="142"/>
      <c r="B17" s="93"/>
    </row>
    <row r="18" spans="1:2" ht="16.5" thickBot="1" x14ac:dyDescent="0.3">
      <c r="A18" s="149" t="s">
        <v>252</v>
      </c>
      <c r="B18" s="161">
        <f>B16+B6</f>
        <v>0</v>
      </c>
    </row>
    <row r="19" spans="1:2" ht="15.75" x14ac:dyDescent="0.25">
      <c r="A19" s="150"/>
      <c r="B19" s="89"/>
    </row>
    <row r="20" spans="1:2" ht="15.75" x14ac:dyDescent="0.25">
      <c r="A20" s="194" t="s">
        <v>166</v>
      </c>
      <c r="B20" s="194"/>
    </row>
    <row r="21" spans="1:2" ht="15.75" thickBot="1" x14ac:dyDescent="0.3"/>
    <row r="22" spans="1:2" ht="18.75" thickBot="1" x14ac:dyDescent="0.3">
      <c r="A22" s="187" t="s">
        <v>167</v>
      </c>
      <c r="B22" s="188"/>
    </row>
    <row r="23" spans="1:2" ht="16.5" thickBot="1" x14ac:dyDescent="0.3">
      <c r="A23" s="138" t="s">
        <v>0</v>
      </c>
      <c r="B23" s="90" t="s">
        <v>1</v>
      </c>
    </row>
    <row r="24" spans="1:2" ht="15.75" x14ac:dyDescent="0.25">
      <c r="A24" s="139" t="s">
        <v>253</v>
      </c>
      <c r="B24" s="91"/>
    </row>
    <row r="25" spans="1:2" ht="15.75" x14ac:dyDescent="0.25">
      <c r="A25" s="145" t="s">
        <v>254</v>
      </c>
      <c r="B25" s="157">
        <f>SUM(B24)</f>
        <v>0</v>
      </c>
    </row>
    <row r="26" spans="1:2" ht="15.75" x14ac:dyDescent="0.25">
      <c r="A26" s="146" t="s">
        <v>255</v>
      </c>
      <c r="B26" s="160"/>
    </row>
    <row r="27" spans="1:2" ht="15.75" x14ac:dyDescent="0.25">
      <c r="A27" s="146" t="s">
        <v>256</v>
      </c>
      <c r="B27" s="160"/>
    </row>
    <row r="28" spans="1:2" ht="15.75" x14ac:dyDescent="0.25">
      <c r="A28" s="146" t="s">
        <v>257</v>
      </c>
      <c r="B28" s="160"/>
    </row>
    <row r="29" spans="1:2" ht="15.75" x14ac:dyDescent="0.25">
      <c r="A29" s="146" t="s">
        <v>258</v>
      </c>
      <c r="B29" s="160"/>
    </row>
    <row r="30" spans="1:2" ht="15.75" x14ac:dyDescent="0.25">
      <c r="A30" s="147" t="s">
        <v>259</v>
      </c>
      <c r="B30" s="160"/>
    </row>
    <row r="31" spans="1:2" ht="15.75" x14ac:dyDescent="0.25">
      <c r="A31" s="147" t="s">
        <v>260</v>
      </c>
      <c r="B31" s="160"/>
    </row>
    <row r="32" spans="1:2" ht="15.75" x14ac:dyDescent="0.25">
      <c r="A32" s="147" t="s">
        <v>261</v>
      </c>
      <c r="B32" s="160"/>
    </row>
    <row r="33" spans="1:2" ht="15.75" x14ac:dyDescent="0.25">
      <c r="A33" s="147" t="s">
        <v>262</v>
      </c>
      <c r="B33" s="160"/>
    </row>
    <row r="34" spans="1:2" ht="15.75" x14ac:dyDescent="0.25">
      <c r="A34" s="147" t="s">
        <v>263</v>
      </c>
      <c r="B34" s="160"/>
    </row>
    <row r="35" spans="1:2" ht="15.75" x14ac:dyDescent="0.25">
      <c r="A35" s="148" t="s">
        <v>264</v>
      </c>
      <c r="B35" s="157">
        <f>SUM(B26:B34)</f>
        <v>0</v>
      </c>
    </row>
    <row r="36" spans="1:2" ht="15.75" x14ac:dyDescent="0.25">
      <c r="A36" s="142"/>
      <c r="B36" s="93"/>
    </row>
    <row r="37" spans="1:2" ht="16.5" thickBot="1" x14ac:dyDescent="0.3">
      <c r="A37" s="149" t="s">
        <v>265</v>
      </c>
      <c r="B37" s="161">
        <f>B35+B25</f>
        <v>0</v>
      </c>
    </row>
    <row r="38" spans="1:2" ht="15.75" thickBot="1" x14ac:dyDescent="0.3"/>
    <row r="39" spans="1:2" ht="18.75" thickBot="1" x14ac:dyDescent="0.3">
      <c r="A39" s="187" t="s">
        <v>168</v>
      </c>
      <c r="B39" s="188"/>
    </row>
    <row r="40" spans="1:2" ht="16.5" thickBot="1" x14ac:dyDescent="0.3">
      <c r="A40" s="138" t="s">
        <v>0</v>
      </c>
      <c r="B40" s="90" t="s">
        <v>1</v>
      </c>
    </row>
    <row r="41" spans="1:2" ht="15.75" x14ac:dyDescent="0.25">
      <c r="A41" s="139" t="s">
        <v>266</v>
      </c>
      <c r="B41" s="91"/>
    </row>
    <row r="42" spans="1:2" ht="15.75" x14ac:dyDescent="0.25">
      <c r="A42" s="145" t="s">
        <v>267</v>
      </c>
      <c r="B42" s="157">
        <f>SUM(B41)</f>
        <v>0</v>
      </c>
    </row>
    <row r="43" spans="1:2" ht="15.75" x14ac:dyDescent="0.25">
      <c r="A43" s="146" t="s">
        <v>268</v>
      </c>
      <c r="B43" s="160"/>
    </row>
    <row r="44" spans="1:2" ht="15.75" x14ac:dyDescent="0.25">
      <c r="A44" s="146" t="s">
        <v>269</v>
      </c>
      <c r="B44" s="160"/>
    </row>
    <row r="45" spans="1:2" ht="15.75" x14ac:dyDescent="0.25">
      <c r="A45" s="146" t="s">
        <v>270</v>
      </c>
      <c r="B45" s="160"/>
    </row>
    <row r="46" spans="1:2" ht="15.75" x14ac:dyDescent="0.25">
      <c r="A46" s="146" t="s">
        <v>271</v>
      </c>
      <c r="B46" s="160"/>
    </row>
    <row r="47" spans="1:2" ht="15.75" x14ac:dyDescent="0.25">
      <c r="A47" s="147" t="s">
        <v>272</v>
      </c>
      <c r="B47" s="160"/>
    </row>
    <row r="48" spans="1:2" ht="15.75" x14ac:dyDescent="0.25">
      <c r="A48" s="147" t="s">
        <v>273</v>
      </c>
      <c r="B48" s="160"/>
    </row>
    <row r="49" spans="1:2" ht="15.75" x14ac:dyDescent="0.25">
      <c r="A49" s="147" t="s">
        <v>274</v>
      </c>
      <c r="B49" s="160"/>
    </row>
    <row r="50" spans="1:2" ht="15.75" x14ac:dyDescent="0.25">
      <c r="A50" s="147" t="s">
        <v>275</v>
      </c>
      <c r="B50" s="160"/>
    </row>
    <row r="51" spans="1:2" ht="15.75" x14ac:dyDescent="0.25">
      <c r="A51" s="147" t="s">
        <v>276</v>
      </c>
      <c r="B51" s="160"/>
    </row>
    <row r="52" spans="1:2" ht="15.75" x14ac:dyDescent="0.25">
      <c r="A52" s="148" t="s">
        <v>277</v>
      </c>
      <c r="B52" s="157">
        <f>SUM(B43:B51)</f>
        <v>0</v>
      </c>
    </row>
    <row r="53" spans="1:2" ht="15.75" x14ac:dyDescent="0.25">
      <c r="A53" s="142"/>
      <c r="B53" s="93"/>
    </row>
    <row r="54" spans="1:2" ht="16.5" thickBot="1" x14ac:dyDescent="0.3">
      <c r="A54" s="149" t="s">
        <v>278</v>
      </c>
      <c r="B54" s="161">
        <f>B52+B42</f>
        <v>0</v>
      </c>
    </row>
  </sheetData>
  <mergeCells count="5">
    <mergeCell ref="A1:B1"/>
    <mergeCell ref="A3:B3"/>
    <mergeCell ref="A20:B20"/>
    <mergeCell ref="A22:B22"/>
    <mergeCell ref="A39:B39"/>
  </mergeCells>
  <pageMargins left="0.7" right="0.7" top="0.75" bottom="0.75" header="0.3" footer="0.3"/>
  <pageSetup scale="79" orientation="portrait" r:id="rId1"/>
  <headerFooter>
    <oddFooter>&amp;Rpage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E39"/>
  <sheetViews>
    <sheetView zoomScale="70" zoomScaleNormal="70" workbookViewId="0">
      <selection activeCell="A6" sqref="A6"/>
    </sheetView>
  </sheetViews>
  <sheetFormatPr defaultColWidth="8.5703125" defaultRowHeight="14.25" x14ac:dyDescent="0.2"/>
  <cols>
    <col min="1" max="1" width="36.5703125" style="2" bestFit="1" customWidth="1"/>
    <col min="2" max="3" width="40.5703125" style="2" customWidth="1"/>
    <col min="4" max="4" width="8.5703125" style="2"/>
    <col min="5" max="5" width="10.5703125" style="2" customWidth="1"/>
    <col min="6" max="16384" width="8.5703125" style="2"/>
  </cols>
  <sheetData>
    <row r="1" spans="1:5" ht="18.75" thickBot="1" x14ac:dyDescent="0.3">
      <c r="A1" s="202" t="s">
        <v>28</v>
      </c>
      <c r="B1" s="203"/>
      <c r="C1" s="204"/>
    </row>
    <row r="2" spans="1:5" ht="15" thickBot="1" x14ac:dyDescent="0.25"/>
    <row r="3" spans="1:5" ht="18.75" thickBot="1" x14ac:dyDescent="0.3">
      <c r="A3" s="197" t="s">
        <v>5</v>
      </c>
      <c r="B3" s="198"/>
      <c r="C3" s="199"/>
    </row>
    <row r="4" spans="1:5" ht="15.75" x14ac:dyDescent="0.25">
      <c r="A4" s="200" t="s">
        <v>6</v>
      </c>
      <c r="B4" s="195" t="s">
        <v>7</v>
      </c>
      <c r="C4" s="196"/>
    </row>
    <row r="5" spans="1:5" ht="16.5" thickBot="1" x14ac:dyDescent="0.3">
      <c r="A5" s="201"/>
      <c r="B5" s="14" t="s">
        <v>8</v>
      </c>
      <c r="C5" s="15" t="s">
        <v>2</v>
      </c>
      <c r="E5" s="1"/>
    </row>
    <row r="6" spans="1:5" ht="15" x14ac:dyDescent="0.2">
      <c r="A6" s="7" t="s">
        <v>89</v>
      </c>
      <c r="B6" s="8">
        <v>113</v>
      </c>
      <c r="C6" s="4">
        <v>119.00740277004714</v>
      </c>
    </row>
    <row r="7" spans="1:5" ht="15" x14ac:dyDescent="0.2">
      <c r="A7" s="7" t="s">
        <v>90</v>
      </c>
      <c r="B7" s="8">
        <v>90.683333333333337</v>
      </c>
      <c r="C7" s="4">
        <v>94.418505544910005</v>
      </c>
    </row>
    <row r="8" spans="1:5" ht="15" x14ac:dyDescent="0.2">
      <c r="A8" s="7" t="s">
        <v>91</v>
      </c>
      <c r="B8" s="8">
        <v>90.683333333333337</v>
      </c>
      <c r="C8" s="4">
        <v>94.418505544910005</v>
      </c>
    </row>
    <row r="9" spans="1:5" ht="15" x14ac:dyDescent="0.2">
      <c r="A9" s="7" t="s">
        <v>92</v>
      </c>
      <c r="B9" s="8">
        <v>90.683333333333337</v>
      </c>
      <c r="C9" s="4">
        <v>94.418505544910005</v>
      </c>
    </row>
    <row r="10" spans="1:5" ht="15" x14ac:dyDescent="0.2">
      <c r="A10" s="7" t="s">
        <v>93</v>
      </c>
      <c r="B10" s="8">
        <v>101.28333333333335</v>
      </c>
      <c r="C10" s="4">
        <v>105.45511086131559</v>
      </c>
    </row>
    <row r="11" spans="1:5" ht="15" x14ac:dyDescent="0.2">
      <c r="A11" s="7" t="s">
        <v>94</v>
      </c>
      <c r="B11" s="8">
        <v>90.683333333333337</v>
      </c>
      <c r="C11" s="4">
        <v>94.418505544910005</v>
      </c>
    </row>
    <row r="12" spans="1:5" ht="15" x14ac:dyDescent="0.2">
      <c r="A12" s="7" t="s">
        <v>95</v>
      </c>
      <c r="B12" s="8">
        <v>113</v>
      </c>
      <c r="C12" s="4">
        <v>117.65437742960663</v>
      </c>
    </row>
    <row r="13" spans="1:5" ht="15" x14ac:dyDescent="0.2">
      <c r="A13" s="7" t="s">
        <v>96</v>
      </c>
      <c r="B13" s="8">
        <v>113</v>
      </c>
      <c r="C13" s="4">
        <v>117.65437742960663</v>
      </c>
    </row>
    <row r="14" spans="1:5" ht="15" x14ac:dyDescent="0.2">
      <c r="A14" s="7" t="s">
        <v>97</v>
      </c>
      <c r="B14" s="8">
        <v>113</v>
      </c>
      <c r="C14" s="4">
        <v>117.65437742960663</v>
      </c>
    </row>
    <row r="15" spans="1:5" ht="15" x14ac:dyDescent="0.2">
      <c r="A15" s="7" t="s">
        <v>98</v>
      </c>
      <c r="B15" s="8">
        <v>113</v>
      </c>
      <c r="C15" s="4">
        <v>117.65437742960663</v>
      </c>
    </row>
    <row r="16" spans="1:5" ht="15" x14ac:dyDescent="0.2">
      <c r="A16" s="7" t="s">
        <v>99</v>
      </c>
      <c r="B16" s="8">
        <v>113</v>
      </c>
      <c r="C16" s="4">
        <v>117.65437742960663</v>
      </c>
    </row>
    <row r="17" spans="1:3" ht="15" x14ac:dyDescent="0.2">
      <c r="A17" s="7" t="s">
        <v>100</v>
      </c>
      <c r="B17" s="8">
        <v>47.5</v>
      </c>
      <c r="C17" s="4">
        <v>49.456486087666512</v>
      </c>
    </row>
    <row r="18" spans="1:3" ht="15" x14ac:dyDescent="0.2">
      <c r="A18" s="7" t="s">
        <v>101</v>
      </c>
      <c r="B18" s="8">
        <v>34.783333333333339</v>
      </c>
      <c r="C18" s="4">
        <v>36.216030338582463</v>
      </c>
    </row>
    <row r="19" spans="1:3" ht="15" x14ac:dyDescent="0.2">
      <c r="A19" s="7" t="s">
        <v>102</v>
      </c>
      <c r="B19" s="8">
        <v>34.783333333333339</v>
      </c>
      <c r="C19" s="4">
        <v>36.216030338582463</v>
      </c>
    </row>
    <row r="20" spans="1:3" ht="15" x14ac:dyDescent="0.2">
      <c r="A20" s="7" t="s">
        <v>103</v>
      </c>
      <c r="B20" s="8">
        <v>42.533333333333331</v>
      </c>
      <c r="C20" s="4">
        <v>44.285246489728053</v>
      </c>
    </row>
    <row r="21" spans="1:3" ht="15" x14ac:dyDescent="0.2">
      <c r="A21" s="7" t="s">
        <v>104</v>
      </c>
      <c r="B21" s="8">
        <v>60.55</v>
      </c>
      <c r="C21" s="4">
        <v>63.044004897014894</v>
      </c>
    </row>
    <row r="22" spans="1:3" ht="15" x14ac:dyDescent="0.2">
      <c r="A22" s="7" t="s">
        <v>105</v>
      </c>
      <c r="B22" s="8">
        <v>60.55</v>
      </c>
      <c r="C22" s="4">
        <v>63.044004897014894</v>
      </c>
    </row>
    <row r="23" spans="1:3" ht="15" x14ac:dyDescent="0.2">
      <c r="A23" s="7" t="s">
        <v>106</v>
      </c>
      <c r="B23" s="8">
        <v>138.05000000000001</v>
      </c>
      <c r="C23" s="4">
        <v>143.73616640847078</v>
      </c>
    </row>
    <row r="24" spans="1:3" ht="15" x14ac:dyDescent="0.2">
      <c r="A24" s="7" t="s">
        <v>107</v>
      </c>
      <c r="B24" s="8">
        <v>125.20000000000002</v>
      </c>
      <c r="C24" s="4">
        <v>130.35688543528101</v>
      </c>
    </row>
    <row r="25" spans="1:3" ht="15" x14ac:dyDescent="0.2">
      <c r="A25" s="7" t="s">
        <v>108</v>
      </c>
      <c r="B25" s="8">
        <v>138.05000000000001</v>
      </c>
      <c r="C25" s="4">
        <v>143.73616640847078</v>
      </c>
    </row>
    <row r="26" spans="1:3" ht="15" x14ac:dyDescent="0.2">
      <c r="A26" s="7"/>
      <c r="B26" s="3"/>
      <c r="C26" s="5"/>
    </row>
    <row r="27" spans="1:3" ht="15" x14ac:dyDescent="0.2">
      <c r="A27" s="7"/>
      <c r="B27" s="3"/>
      <c r="C27" s="5"/>
    </row>
    <row r="28" spans="1:3" ht="15" x14ac:dyDescent="0.2">
      <c r="A28" s="7"/>
      <c r="B28" s="3"/>
      <c r="C28" s="5"/>
    </row>
    <row r="29" spans="1:3" ht="15" x14ac:dyDescent="0.2">
      <c r="A29" s="7"/>
      <c r="B29" s="3"/>
      <c r="C29" s="5"/>
    </row>
    <row r="30" spans="1:3" ht="15" x14ac:dyDescent="0.2">
      <c r="A30" s="7"/>
      <c r="B30" s="3"/>
      <c r="C30" s="5"/>
    </row>
    <row r="31" spans="1:3" ht="15" x14ac:dyDescent="0.2">
      <c r="A31" s="7"/>
      <c r="B31" s="3"/>
      <c r="C31" s="5"/>
    </row>
    <row r="32" spans="1:3" ht="15" x14ac:dyDescent="0.2">
      <c r="A32" s="7"/>
      <c r="B32" s="3"/>
      <c r="C32" s="5"/>
    </row>
    <row r="33" spans="1:3" ht="15.6" customHeight="1" x14ac:dyDescent="0.2">
      <c r="A33" s="7"/>
      <c r="B33" s="3"/>
      <c r="C33" s="5"/>
    </row>
    <row r="34" spans="1:3" ht="15.6" customHeight="1" x14ac:dyDescent="0.2">
      <c r="A34" s="11"/>
      <c r="B34" s="12"/>
      <c r="C34" s="13"/>
    </row>
    <row r="35" spans="1:3" ht="15.6" customHeight="1" x14ac:dyDescent="0.2">
      <c r="A35" s="11"/>
      <c r="B35" s="12"/>
      <c r="C35" s="13"/>
    </row>
    <row r="36" spans="1:3" ht="15.6" customHeight="1" x14ac:dyDescent="0.2">
      <c r="A36" s="11"/>
      <c r="B36" s="12"/>
      <c r="C36" s="13"/>
    </row>
    <row r="37" spans="1:3" ht="15.6" customHeight="1" thickBot="1" x14ac:dyDescent="0.25">
      <c r="A37" s="9"/>
      <c r="B37" s="10"/>
      <c r="C37" s="6"/>
    </row>
    <row r="39" spans="1:3" ht="34.5" customHeight="1" x14ac:dyDescent="0.2">
      <c r="A39" s="205" t="s">
        <v>77</v>
      </c>
      <c r="B39" s="205"/>
      <c r="C39" s="205"/>
    </row>
  </sheetData>
  <mergeCells count="5">
    <mergeCell ref="B4:C4"/>
    <mergeCell ref="A3:C3"/>
    <mergeCell ref="A4:A5"/>
    <mergeCell ref="A1:C1"/>
    <mergeCell ref="A39:C39"/>
  </mergeCells>
  <pageMargins left="0.7" right="0.7" top="0.75" bottom="0.75" header="0.3" footer="0.3"/>
  <pageSetup scale="78" fitToHeight="0" orientation="portrait" r:id="rId1"/>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pageSetUpPr fitToPage="1"/>
  </sheetPr>
  <dimension ref="A1:S25"/>
  <sheetViews>
    <sheetView zoomScale="80" zoomScaleNormal="80" workbookViewId="0">
      <selection activeCell="H11" sqref="H11"/>
    </sheetView>
  </sheetViews>
  <sheetFormatPr defaultColWidth="9.42578125" defaultRowHeight="14.25" x14ac:dyDescent="0.2"/>
  <cols>
    <col min="1" max="1" width="46.85546875" style="2" customWidth="1"/>
    <col min="2" max="2" width="11.5703125" style="2" customWidth="1"/>
    <col min="3" max="3" width="17" style="2" customWidth="1"/>
    <col min="4" max="4" width="8.42578125" style="2" bestFit="1" customWidth="1"/>
    <col min="5" max="7" width="12.5703125" style="2" customWidth="1"/>
    <col min="8" max="8" width="15.5703125" style="2" bestFit="1" customWidth="1"/>
    <col min="9" max="9" width="16.5703125" style="2" bestFit="1" customWidth="1"/>
    <col min="10" max="10" width="16.42578125" style="2" bestFit="1" customWidth="1"/>
    <col min="11" max="11" width="16.5703125" style="2" bestFit="1" customWidth="1"/>
    <col min="12" max="12" width="18.42578125" style="2" bestFit="1" customWidth="1"/>
    <col min="13" max="13" width="16.5703125" style="2" bestFit="1" customWidth="1"/>
    <col min="14" max="14" width="18.42578125" style="2" bestFit="1" customWidth="1"/>
    <col min="15" max="15" width="16.5703125" style="2" bestFit="1" customWidth="1"/>
    <col min="16" max="16" width="18.42578125" style="2" bestFit="1" customWidth="1"/>
    <col min="17" max="17" width="16.5703125" style="2" bestFit="1" customWidth="1"/>
    <col min="18" max="18" width="12.5703125" style="2" customWidth="1"/>
    <col min="19" max="19" width="16.5703125" style="2" bestFit="1" customWidth="1"/>
    <col min="20" max="16384" width="9.42578125" style="2"/>
  </cols>
  <sheetData>
    <row r="1" spans="1:19" s="16" customFormat="1" ht="36.75" customHeight="1" x14ac:dyDescent="0.25">
      <c r="A1" s="222" t="s">
        <v>169</v>
      </c>
      <c r="B1" s="222"/>
      <c r="C1" s="222"/>
      <c r="D1" s="222"/>
      <c r="E1" s="222"/>
      <c r="F1" s="222"/>
      <c r="G1" s="222"/>
      <c r="H1" s="222"/>
      <c r="I1" s="222"/>
      <c r="J1" s="222"/>
      <c r="K1" s="222"/>
      <c r="L1" s="222"/>
      <c r="M1" s="222"/>
      <c r="N1" s="222"/>
      <c r="O1" s="222"/>
      <c r="P1" s="222"/>
      <c r="Q1" s="222"/>
      <c r="R1" s="222"/>
      <c r="S1" s="222"/>
    </row>
    <row r="3" spans="1:19" ht="15" thickBot="1" x14ac:dyDescent="0.25"/>
    <row r="4" spans="1:19" ht="15" x14ac:dyDescent="0.25">
      <c r="A4" s="223" t="s">
        <v>170</v>
      </c>
      <c r="B4" s="224"/>
      <c r="C4" s="224"/>
      <c r="D4" s="224"/>
      <c r="E4" s="224"/>
      <c r="F4" s="224"/>
      <c r="G4" s="224"/>
      <c r="H4" s="224"/>
      <c r="I4" s="224"/>
      <c r="J4" s="224"/>
      <c r="K4" s="224"/>
      <c r="L4" s="224"/>
      <c r="M4" s="224"/>
      <c r="N4" s="224"/>
      <c r="O4" s="224"/>
      <c r="P4" s="224"/>
      <c r="Q4" s="224"/>
      <c r="R4" s="224"/>
      <c r="S4" s="225"/>
    </row>
    <row r="5" spans="1:19" x14ac:dyDescent="0.2">
      <c r="A5" s="17"/>
      <c r="S5" s="18"/>
    </row>
    <row r="6" spans="1:19" ht="15" x14ac:dyDescent="0.25">
      <c r="A6" s="17"/>
      <c r="B6" s="68" t="s">
        <v>31</v>
      </c>
      <c r="C6" s="226" t="s">
        <v>32</v>
      </c>
      <c r="D6" s="227"/>
      <c r="E6" s="226" t="s">
        <v>33</v>
      </c>
      <c r="F6" s="228"/>
      <c r="G6" s="227"/>
      <c r="H6" s="226" t="s">
        <v>34</v>
      </c>
      <c r="I6" s="227"/>
      <c r="J6" s="226" t="s">
        <v>35</v>
      </c>
      <c r="K6" s="227"/>
      <c r="L6" s="226" t="s">
        <v>36</v>
      </c>
      <c r="M6" s="227"/>
      <c r="N6" s="226" t="s">
        <v>37</v>
      </c>
      <c r="O6" s="227"/>
      <c r="P6" s="226" t="s">
        <v>38</v>
      </c>
      <c r="Q6" s="227"/>
      <c r="R6" s="226" t="s">
        <v>39</v>
      </c>
      <c r="S6" s="229"/>
    </row>
    <row r="7" spans="1:19" ht="15" hidden="1" customHeight="1" x14ac:dyDescent="0.25">
      <c r="A7" s="17"/>
      <c r="B7" s="68" t="s">
        <v>40</v>
      </c>
      <c r="C7" s="19"/>
      <c r="D7" s="79"/>
      <c r="E7" s="20" t="s">
        <v>41</v>
      </c>
      <c r="G7" s="21"/>
      <c r="H7" s="20" t="s">
        <v>42</v>
      </c>
      <c r="I7" s="21"/>
      <c r="J7" s="20" t="s">
        <v>43</v>
      </c>
      <c r="K7" s="21"/>
      <c r="L7" s="20" t="s">
        <v>44</v>
      </c>
      <c r="M7" s="21"/>
      <c r="N7" s="20" t="s">
        <v>45</v>
      </c>
      <c r="O7" s="21"/>
      <c r="P7" s="20" t="s">
        <v>46</v>
      </c>
      <c r="Q7" s="21"/>
      <c r="R7" s="20" t="s">
        <v>47</v>
      </c>
      <c r="S7" s="18"/>
    </row>
    <row r="8" spans="1:19" s="29" customFormat="1" ht="15" x14ac:dyDescent="0.25">
      <c r="A8" s="22"/>
      <c r="B8" s="68" t="s">
        <v>48</v>
      </c>
      <c r="C8" s="23">
        <v>0</v>
      </c>
      <c r="D8" s="24">
        <v>25000</v>
      </c>
      <c r="E8" s="25">
        <v>0</v>
      </c>
      <c r="F8" s="26"/>
      <c r="G8" s="27">
        <v>25000</v>
      </c>
      <c r="H8" s="25">
        <v>25001</v>
      </c>
      <c r="I8" s="27">
        <v>75000</v>
      </c>
      <c r="J8" s="25">
        <v>75001</v>
      </c>
      <c r="K8" s="27">
        <v>125000</v>
      </c>
      <c r="L8" s="25">
        <v>125001</v>
      </c>
      <c r="M8" s="27">
        <v>175000</v>
      </c>
      <c r="N8" s="25">
        <v>175001</v>
      </c>
      <c r="O8" s="27">
        <v>225000</v>
      </c>
      <c r="P8" s="25">
        <v>225001</v>
      </c>
      <c r="Q8" s="27">
        <v>275000</v>
      </c>
      <c r="R8" s="25">
        <v>275001</v>
      </c>
      <c r="S8" s="28">
        <f>R8+49999</f>
        <v>325000</v>
      </c>
    </row>
    <row r="9" spans="1:19" s="33" customFormat="1" ht="15" x14ac:dyDescent="0.25">
      <c r="A9" s="30"/>
      <c r="B9" s="31" t="s">
        <v>49</v>
      </c>
      <c r="C9" s="32"/>
      <c r="D9" s="80"/>
      <c r="E9" s="219" t="s">
        <v>50</v>
      </c>
      <c r="F9" s="220"/>
      <c r="G9" s="221"/>
      <c r="H9" s="206">
        <v>0</v>
      </c>
      <c r="I9" s="216"/>
      <c r="J9" s="206">
        <v>0</v>
      </c>
      <c r="K9" s="216"/>
      <c r="L9" s="206"/>
      <c r="M9" s="216"/>
      <c r="N9" s="206">
        <v>0</v>
      </c>
      <c r="O9" s="216"/>
      <c r="P9" s="206"/>
      <c r="Q9" s="216"/>
      <c r="R9" s="206">
        <v>0</v>
      </c>
      <c r="S9" s="207"/>
    </row>
    <row r="10" spans="1:19" s="16" customFormat="1" ht="24.75" customHeight="1" x14ac:dyDescent="0.25">
      <c r="A10" s="34"/>
      <c r="C10" s="208" t="s">
        <v>51</v>
      </c>
      <c r="D10" s="209"/>
      <c r="E10" s="71" t="s">
        <v>52</v>
      </c>
      <c r="F10" s="35" t="s">
        <v>53</v>
      </c>
      <c r="G10" s="72" t="s">
        <v>54</v>
      </c>
      <c r="H10" s="71" t="s">
        <v>52</v>
      </c>
      <c r="I10" s="72" t="s">
        <v>55</v>
      </c>
      <c r="J10" s="71" t="s">
        <v>52</v>
      </c>
      <c r="K10" s="72" t="s">
        <v>55</v>
      </c>
      <c r="L10" s="71" t="s">
        <v>52</v>
      </c>
      <c r="M10" s="72" t="s">
        <v>55</v>
      </c>
      <c r="N10" s="71" t="s">
        <v>52</v>
      </c>
      <c r="O10" s="72" t="s">
        <v>55</v>
      </c>
      <c r="P10" s="36" t="s">
        <v>52</v>
      </c>
      <c r="Q10" s="72" t="s">
        <v>55</v>
      </c>
      <c r="R10" s="71" t="s">
        <v>52</v>
      </c>
      <c r="S10" s="37" t="s">
        <v>55</v>
      </c>
    </row>
    <row r="11" spans="1:19" x14ac:dyDescent="0.2">
      <c r="A11" s="81" t="s">
        <v>3</v>
      </c>
      <c r="C11" s="210">
        <f>5118913.01*B21</f>
        <v>5118913.01</v>
      </c>
      <c r="D11" s="211"/>
      <c r="E11" s="38" t="s">
        <v>56</v>
      </c>
      <c r="F11" s="39" t="s">
        <v>56</v>
      </c>
      <c r="G11" s="40" t="s">
        <v>56</v>
      </c>
      <c r="H11" s="41">
        <f>ROUND(13.0761*B21,4)</f>
        <v>13.0761</v>
      </c>
      <c r="I11" s="42">
        <f>MAX(ROUND((H$9-25000)*H11,2),0)</f>
        <v>0</v>
      </c>
      <c r="J11" s="41">
        <f>ROUND(14.5767*B21,4)</f>
        <v>14.576700000000001</v>
      </c>
      <c r="K11" s="42">
        <f>MAX(ROUND((J$9-25000)*J11,2),0)</f>
        <v>0</v>
      </c>
      <c r="L11" s="41">
        <f>ROUND(15.1348*B21,4)</f>
        <v>15.1348</v>
      </c>
      <c r="M11" s="42">
        <f>MAX(ROUND((L$9-25000)*L11,2),0)</f>
        <v>0</v>
      </c>
      <c r="N11" s="41">
        <f>ROUND(14.4187*B21,4)</f>
        <v>14.418699999999999</v>
      </c>
      <c r="O11" s="42">
        <f>MAX(ROUND((N$9-25000)*N11,2),0)</f>
        <v>0</v>
      </c>
      <c r="P11" s="41">
        <f>ROUND(13.8094*B21,4)</f>
        <v>13.8094</v>
      </c>
      <c r="Q11" s="42">
        <f>MAX(ROUND((P$9-25000)*P11,2),0)</f>
        <v>0</v>
      </c>
      <c r="R11" s="41">
        <f>ROUND(14.1207*B21,4)</f>
        <v>14.120699999999999</v>
      </c>
      <c r="S11" s="43">
        <f>MAX(ROUND((R$9-25000)*R11,2),0)</f>
        <v>0</v>
      </c>
    </row>
    <row r="12" spans="1:19" s="48" customFormat="1" ht="15" x14ac:dyDescent="0.25">
      <c r="A12" s="212" t="s">
        <v>171</v>
      </c>
      <c r="B12" s="213"/>
      <c r="C12" s="214">
        <f>C11</f>
        <v>5118913.01</v>
      </c>
      <c r="D12" s="215"/>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7"/>
      <c r="S13" s="18"/>
    </row>
    <row r="14" spans="1:19" ht="15.75" thickBot="1" x14ac:dyDescent="0.3">
      <c r="A14" s="217" t="s">
        <v>172</v>
      </c>
      <c r="B14" s="218"/>
      <c r="C14" s="86">
        <f>SUM(E12:S12)+C12</f>
        <v>5118913.01</v>
      </c>
      <c r="D14" s="68"/>
      <c r="E14" s="49"/>
      <c r="Q14" s="33"/>
      <c r="S14" s="18"/>
    </row>
    <row r="15" spans="1:19" x14ac:dyDescent="0.2">
      <c r="A15" s="17"/>
      <c r="J15" s="163"/>
      <c r="L15" s="163"/>
      <c r="N15" s="163"/>
      <c r="P15" s="163"/>
      <c r="R15" s="163"/>
      <c r="S15" s="18"/>
    </row>
    <row r="16" spans="1:19" ht="15" x14ac:dyDescent="0.25">
      <c r="A16" s="87" t="s">
        <v>109</v>
      </c>
      <c r="B16" s="68"/>
      <c r="S16" s="18"/>
    </row>
    <row r="17" spans="1:19" ht="15" x14ac:dyDescent="0.25">
      <c r="A17" s="88" t="s">
        <v>110</v>
      </c>
      <c r="B17" s="151">
        <v>0</v>
      </c>
      <c r="S17" s="18"/>
    </row>
    <row r="18" spans="1:19" ht="15" x14ac:dyDescent="0.25">
      <c r="A18" s="88" t="s">
        <v>111</v>
      </c>
      <c r="B18" s="151">
        <v>0</v>
      </c>
      <c r="S18" s="18"/>
    </row>
    <row r="19" spans="1:19" ht="15" x14ac:dyDescent="0.25">
      <c r="A19" s="88" t="s">
        <v>112</v>
      </c>
      <c r="B19" s="151">
        <f>B18-B17</f>
        <v>0</v>
      </c>
      <c r="S19" s="18"/>
    </row>
    <row r="20" spans="1:19" ht="15" x14ac:dyDescent="0.25">
      <c r="A20" s="88" t="s">
        <v>114</v>
      </c>
      <c r="B20" s="151">
        <f>IFERROR(B19/B17,0)</f>
        <v>0</v>
      </c>
      <c r="S20" s="18"/>
    </row>
    <row r="21" spans="1:19" ht="15" x14ac:dyDescent="0.25">
      <c r="A21" s="88" t="s">
        <v>113</v>
      </c>
      <c r="B21" s="151">
        <f>B20+1</f>
        <v>1</v>
      </c>
      <c r="S21" s="18"/>
    </row>
    <row r="22" spans="1:19" x14ac:dyDescent="0.2">
      <c r="A22" s="17"/>
      <c r="S22" s="18"/>
    </row>
    <row r="23" spans="1:19" x14ac:dyDescent="0.2">
      <c r="A23" s="17" t="s">
        <v>57</v>
      </c>
      <c r="C23" s="50"/>
      <c r="S23" s="18"/>
    </row>
    <row r="24" spans="1:19" x14ac:dyDescent="0.2">
      <c r="A24" s="17" t="s">
        <v>58</v>
      </c>
      <c r="C24" s="51"/>
      <c r="J24" s="52"/>
      <c r="S24" s="18"/>
    </row>
    <row r="25" spans="1:19" ht="15" thickBot="1" x14ac:dyDescent="0.25">
      <c r="A25" s="53" t="s">
        <v>59</v>
      </c>
      <c r="B25" s="54"/>
      <c r="C25" s="54"/>
      <c r="D25" s="54"/>
      <c r="E25" s="54"/>
      <c r="F25" s="54"/>
      <c r="G25" s="54"/>
      <c r="H25" s="55"/>
      <c r="I25" s="54"/>
      <c r="J25" s="164"/>
      <c r="K25" s="54"/>
      <c r="L25" s="164"/>
      <c r="M25" s="54"/>
      <c r="N25" s="164"/>
      <c r="O25" s="54"/>
      <c r="P25" s="164"/>
      <c r="Q25" s="54"/>
      <c r="R25" s="164"/>
      <c r="S25" s="56"/>
    </row>
  </sheetData>
  <mergeCells count="22">
    <mergeCell ref="A1:S1"/>
    <mergeCell ref="A4:S4"/>
    <mergeCell ref="C6:D6"/>
    <mergeCell ref="E6:G6"/>
    <mergeCell ref="H6:I6"/>
    <mergeCell ref="J6:K6"/>
    <mergeCell ref="L6:M6"/>
    <mergeCell ref="N6:O6"/>
    <mergeCell ref="P6:Q6"/>
    <mergeCell ref="R6:S6"/>
    <mergeCell ref="A14:B14"/>
    <mergeCell ref="E9:G9"/>
    <mergeCell ref="H9:I9"/>
    <mergeCell ref="J9:K9"/>
    <mergeCell ref="L9:M9"/>
    <mergeCell ref="R9:S9"/>
    <mergeCell ref="C10:D10"/>
    <mergeCell ref="C11:D11"/>
    <mergeCell ref="A12:B12"/>
    <mergeCell ref="C12:D12"/>
    <mergeCell ref="N9:O9"/>
    <mergeCell ref="P9:Q9"/>
  </mergeCells>
  <pageMargins left="0.25" right="0.25" top="0.25" bottom="0.25" header="0.3" footer="0.3"/>
  <pageSetup scale="41" orientation="landscape" r:id="rId1"/>
  <headerFooter>
    <oddFooter>&amp;RPage &amp;P of &amp;N</oddFooter>
  </headerFooter>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pageSetUpPr fitToPage="1"/>
  </sheetPr>
  <dimension ref="A1:Z33"/>
  <sheetViews>
    <sheetView topLeftCell="A2" zoomScale="70" zoomScaleNormal="70" workbookViewId="0">
      <selection activeCell="K9" sqref="K9:M9"/>
    </sheetView>
  </sheetViews>
  <sheetFormatPr defaultColWidth="9.42578125" defaultRowHeight="14.25" x14ac:dyDescent="0.2"/>
  <cols>
    <col min="1" max="1" width="46.85546875" style="2" customWidth="1"/>
    <col min="2" max="2" width="11.5703125" style="2" customWidth="1"/>
    <col min="3" max="3" width="20.42578125" style="2" customWidth="1"/>
    <col min="4" max="4" width="21.5703125" style="2" customWidth="1"/>
    <col min="5" max="8" width="12.5703125" style="2" customWidth="1"/>
    <col min="9" max="9" width="13.85546875" style="2" customWidth="1"/>
    <col min="10" max="10" width="21.42578125" style="2" customWidth="1"/>
    <col min="11" max="11" width="18" style="2" customWidth="1"/>
    <col min="12" max="12" width="17.42578125" style="2" customWidth="1"/>
    <col min="13" max="13" width="18.42578125" style="2" customWidth="1"/>
    <col min="14" max="14" width="12.5703125" style="2" customWidth="1"/>
    <col min="15" max="15" width="15.42578125" style="2" bestFit="1" customWidth="1"/>
    <col min="16" max="16" width="18.5703125" style="2" customWidth="1"/>
    <col min="17" max="17" width="12.5703125" style="2" customWidth="1"/>
    <col min="18" max="18" width="15.42578125" style="2" bestFit="1" customWidth="1"/>
    <col min="19" max="19" width="20.5703125" style="2" customWidth="1"/>
    <col min="20" max="20" width="12.5703125" style="2" customWidth="1"/>
    <col min="21" max="21" width="17.42578125" style="2" bestFit="1" customWidth="1"/>
    <col min="22" max="22" width="23.42578125" style="2" bestFit="1" customWidth="1"/>
    <col min="23" max="23" width="12.5703125" style="2" customWidth="1"/>
    <col min="24" max="24" width="16.42578125" style="2" bestFit="1" customWidth="1"/>
    <col min="25" max="25" width="21.42578125" style="2" customWidth="1"/>
    <col min="26" max="16384" width="9.42578125" style="2"/>
  </cols>
  <sheetData>
    <row r="1" spans="1:26" ht="35.25" customHeight="1" x14ac:dyDescent="0.25">
      <c r="A1" s="222" t="s">
        <v>173</v>
      </c>
      <c r="B1" s="233"/>
      <c r="C1" s="233"/>
      <c r="D1" s="233"/>
      <c r="E1" s="233"/>
      <c r="F1" s="233"/>
      <c r="G1" s="233"/>
      <c r="H1" s="233"/>
      <c r="I1" s="233"/>
      <c r="J1" s="233"/>
      <c r="K1" s="233"/>
      <c r="L1" s="233"/>
      <c r="M1" s="233"/>
      <c r="N1" s="233"/>
      <c r="O1" s="233"/>
      <c r="P1" s="233"/>
      <c r="Q1" s="233"/>
      <c r="R1" s="233"/>
      <c r="S1" s="233"/>
    </row>
    <row r="2" spans="1:26" x14ac:dyDescent="0.2">
      <c r="A2" s="57"/>
    </row>
    <row r="3" spans="1:26" ht="15" thickBot="1" x14ac:dyDescent="0.25"/>
    <row r="4" spans="1:26" ht="15" x14ac:dyDescent="0.25">
      <c r="A4" s="223" t="s">
        <v>174</v>
      </c>
      <c r="B4" s="224"/>
      <c r="C4" s="224"/>
      <c r="D4" s="224"/>
      <c r="E4" s="224"/>
      <c r="F4" s="224"/>
      <c r="G4" s="224"/>
      <c r="H4" s="224"/>
      <c r="I4" s="224"/>
      <c r="J4" s="224"/>
      <c r="K4" s="224"/>
      <c r="L4" s="224"/>
      <c r="M4" s="224"/>
      <c r="N4" s="224"/>
      <c r="O4" s="224"/>
      <c r="P4" s="224"/>
      <c r="Q4" s="224"/>
      <c r="R4" s="224"/>
      <c r="S4" s="224"/>
      <c r="T4" s="224"/>
      <c r="U4" s="224"/>
      <c r="V4" s="224"/>
      <c r="W4" s="224"/>
      <c r="X4" s="224"/>
      <c r="Y4" s="225"/>
    </row>
    <row r="5" spans="1:26" x14ac:dyDescent="0.2">
      <c r="A5" s="17"/>
      <c r="Y5" s="18"/>
    </row>
    <row r="6" spans="1:26" ht="15" x14ac:dyDescent="0.25">
      <c r="A6" s="17"/>
      <c r="B6" s="68" t="s">
        <v>31</v>
      </c>
      <c r="C6" s="226" t="s">
        <v>32</v>
      </c>
      <c r="D6" s="227"/>
      <c r="E6" s="226" t="s">
        <v>33</v>
      </c>
      <c r="F6" s="228"/>
      <c r="G6" s="227"/>
      <c r="H6" s="226" t="s">
        <v>34</v>
      </c>
      <c r="I6" s="228"/>
      <c r="J6" s="227"/>
      <c r="K6" s="226" t="s">
        <v>35</v>
      </c>
      <c r="L6" s="228"/>
      <c r="M6" s="227"/>
      <c r="N6" s="226" t="s">
        <v>36</v>
      </c>
      <c r="O6" s="228"/>
      <c r="P6" s="227"/>
      <c r="Q6" s="226" t="s">
        <v>37</v>
      </c>
      <c r="R6" s="228"/>
      <c r="S6" s="227"/>
      <c r="T6" s="226" t="s">
        <v>38</v>
      </c>
      <c r="U6" s="228"/>
      <c r="V6" s="227"/>
      <c r="W6" s="226" t="s">
        <v>39</v>
      </c>
      <c r="X6" s="228"/>
      <c r="Y6" s="229"/>
    </row>
    <row r="7" spans="1:26" ht="15" hidden="1" x14ac:dyDescent="0.25">
      <c r="A7" s="17"/>
      <c r="B7" s="68" t="s">
        <v>40</v>
      </c>
      <c r="C7" s="19"/>
      <c r="D7" s="79"/>
      <c r="E7" s="20" t="s">
        <v>41</v>
      </c>
      <c r="G7" s="21"/>
      <c r="H7" s="20" t="s">
        <v>42</v>
      </c>
      <c r="J7" s="21"/>
      <c r="K7" s="20" t="s">
        <v>43</v>
      </c>
      <c r="M7" s="21"/>
      <c r="N7" s="20" t="s">
        <v>44</v>
      </c>
      <c r="P7" s="21"/>
      <c r="Q7" s="20" t="s">
        <v>45</v>
      </c>
      <c r="S7" s="21"/>
      <c r="T7" s="20" t="s">
        <v>46</v>
      </c>
      <c r="V7" s="21"/>
      <c r="W7" s="20" t="s">
        <v>47</v>
      </c>
      <c r="Y7" s="18"/>
    </row>
    <row r="8" spans="1:26" s="29" customFormat="1" ht="15" x14ac:dyDescent="0.25">
      <c r="A8" s="22"/>
      <c r="B8" s="68" t="s">
        <v>48</v>
      </c>
      <c r="C8" s="23">
        <v>0</v>
      </c>
      <c r="D8" s="24">
        <v>25000</v>
      </c>
      <c r="E8" s="25">
        <v>0</v>
      </c>
      <c r="F8" s="26"/>
      <c r="G8" s="27">
        <v>25000</v>
      </c>
      <c r="H8" s="25">
        <v>25001</v>
      </c>
      <c r="I8" s="26"/>
      <c r="J8" s="27">
        <v>75000</v>
      </c>
      <c r="K8" s="25">
        <v>75001</v>
      </c>
      <c r="L8" s="26"/>
      <c r="M8" s="27">
        <v>125000</v>
      </c>
      <c r="N8" s="25">
        <v>125001</v>
      </c>
      <c r="O8" s="26"/>
      <c r="P8" s="27">
        <v>175000</v>
      </c>
      <c r="Q8" s="25">
        <v>175001</v>
      </c>
      <c r="R8" s="26"/>
      <c r="S8" s="27">
        <v>225000</v>
      </c>
      <c r="T8" s="25">
        <v>225001</v>
      </c>
      <c r="U8" s="26"/>
      <c r="V8" s="27">
        <v>275000</v>
      </c>
      <c r="W8" s="25">
        <v>275001</v>
      </c>
      <c r="X8" s="26"/>
      <c r="Y8" s="28">
        <f>W8+49999</f>
        <v>325000</v>
      </c>
    </row>
    <row r="9" spans="1:26" s="33" customFormat="1" ht="15" x14ac:dyDescent="0.25">
      <c r="A9" s="30"/>
      <c r="B9" s="31" t="s">
        <v>49</v>
      </c>
      <c r="C9" s="32"/>
      <c r="D9" s="80"/>
      <c r="E9" s="219" t="s">
        <v>50</v>
      </c>
      <c r="F9" s="220"/>
      <c r="G9" s="221"/>
      <c r="H9" s="206">
        <v>0</v>
      </c>
      <c r="I9" s="232"/>
      <c r="J9" s="216"/>
      <c r="K9" s="206">
        <v>0</v>
      </c>
      <c r="L9" s="232"/>
      <c r="M9" s="216"/>
      <c r="N9" s="206">
        <v>0</v>
      </c>
      <c r="O9" s="232"/>
      <c r="P9" s="216"/>
      <c r="Q9" s="206">
        <v>0</v>
      </c>
      <c r="R9" s="232"/>
      <c r="S9" s="216"/>
      <c r="T9" s="206">
        <v>0</v>
      </c>
      <c r="U9" s="232"/>
      <c r="V9" s="216"/>
      <c r="W9" s="206"/>
      <c r="X9" s="232"/>
      <c r="Y9" s="207"/>
    </row>
    <row r="10" spans="1:26" s="16" customFormat="1" ht="24.75" x14ac:dyDescent="0.25">
      <c r="A10" s="34" t="s">
        <v>60</v>
      </c>
      <c r="C10" s="71" t="s">
        <v>61</v>
      </c>
      <c r="D10" s="72" t="s">
        <v>62</v>
      </c>
      <c r="E10" s="71" t="s">
        <v>52</v>
      </c>
      <c r="F10" s="35" t="s">
        <v>53</v>
      </c>
      <c r="G10" s="72" t="s">
        <v>54</v>
      </c>
      <c r="H10" s="71" t="s">
        <v>52</v>
      </c>
      <c r="I10" s="35" t="s">
        <v>53</v>
      </c>
      <c r="J10" s="72" t="s">
        <v>54</v>
      </c>
      <c r="K10" s="71" t="s">
        <v>52</v>
      </c>
      <c r="L10" s="35" t="s">
        <v>53</v>
      </c>
      <c r="M10" s="72" t="s">
        <v>54</v>
      </c>
      <c r="N10" s="71" t="s">
        <v>52</v>
      </c>
      <c r="O10" s="35" t="s">
        <v>53</v>
      </c>
      <c r="P10" s="72" t="s">
        <v>54</v>
      </c>
      <c r="Q10" s="58"/>
      <c r="R10" s="35" t="s">
        <v>53</v>
      </c>
      <c r="S10" s="72" t="s">
        <v>54</v>
      </c>
      <c r="T10" s="71" t="s">
        <v>52</v>
      </c>
      <c r="U10" s="35" t="s">
        <v>53</v>
      </c>
      <c r="V10" s="72" t="s">
        <v>54</v>
      </c>
      <c r="W10" s="71" t="s">
        <v>52</v>
      </c>
      <c r="X10" s="35" t="s">
        <v>53</v>
      </c>
      <c r="Y10" s="37" t="s">
        <v>54</v>
      </c>
    </row>
    <row r="11" spans="1:26" x14ac:dyDescent="0.2">
      <c r="A11" s="230" t="s">
        <v>63</v>
      </c>
      <c r="B11" s="231"/>
      <c r="C11" s="59">
        <f>238103.91*B29</f>
        <v>238103.91</v>
      </c>
      <c r="D11" s="42">
        <f>C11*12</f>
        <v>2857246.92</v>
      </c>
      <c r="E11" s="38" t="s">
        <v>56</v>
      </c>
      <c r="F11" s="38" t="s">
        <v>56</v>
      </c>
      <c r="G11" s="38" t="s">
        <v>56</v>
      </c>
      <c r="H11" s="60">
        <f>ROUND(1.0096*B29,4)</f>
        <v>1.0096000000000001</v>
      </c>
      <c r="I11" s="49">
        <f t="shared" ref="I11:I18" si="0">MAX(ROUND((H$9-25000)*H11,2),0)</f>
        <v>0</v>
      </c>
      <c r="J11" s="42">
        <f>I11*12</f>
        <v>0</v>
      </c>
      <c r="K11" s="60">
        <f>ROUND(1.1507*B29,4)</f>
        <v>1.1507000000000001</v>
      </c>
      <c r="L11" s="49">
        <f t="shared" ref="L11:L18" si="1">MAX(ROUND((K$9-25000)*K11,2),0)</f>
        <v>0</v>
      </c>
      <c r="M11" s="42">
        <f>L11*12</f>
        <v>0</v>
      </c>
      <c r="N11" s="60">
        <f>ROUND(1.1768*B29,4)</f>
        <v>1.1768000000000001</v>
      </c>
      <c r="O11" s="49">
        <f t="shared" ref="O11:O18" si="2">MAX(ROUND((N$9-25000)*N11,2),0)</f>
        <v>0</v>
      </c>
      <c r="P11" s="42">
        <f>O11*12</f>
        <v>0</v>
      </c>
      <c r="Q11" s="60">
        <f>ROUND(1.0668*B29,4)</f>
        <v>1.0668</v>
      </c>
      <c r="R11" s="49">
        <f t="shared" ref="R11:R18" si="3">MAX(ROUND((Q$9-25000)*Q11,2),0)</f>
        <v>0</v>
      </c>
      <c r="S11" s="42">
        <f>R11*12</f>
        <v>0</v>
      </c>
      <c r="T11" s="60">
        <f>ROUND(0.9052*B29,4)</f>
        <v>0.9052</v>
      </c>
      <c r="U11" s="49">
        <f t="shared" ref="U11:U18" si="4">MAX(ROUND((T$9-25000)*T11,2),0)</f>
        <v>0</v>
      </c>
      <c r="V11" s="42">
        <f>U11*12</f>
        <v>0</v>
      </c>
      <c r="W11" s="60">
        <f>ROUND(0.9061*B29,4)</f>
        <v>0.90610000000000002</v>
      </c>
      <c r="X11" s="49">
        <f t="shared" ref="X11:X18" si="5">MAX(ROUND((W$9-25000)*W11,2),0)</f>
        <v>0</v>
      </c>
      <c r="Y11" s="43">
        <f>X11*12</f>
        <v>0</v>
      </c>
      <c r="Z11" s="16"/>
    </row>
    <row r="12" spans="1:26" x14ac:dyDescent="0.2">
      <c r="A12" s="230" t="s">
        <v>64</v>
      </c>
      <c r="B12" s="231"/>
      <c r="C12" s="59">
        <f>227492.33*B29</f>
        <v>227492.33</v>
      </c>
      <c r="D12" s="42">
        <f>C12*12</f>
        <v>2729907.96</v>
      </c>
      <c r="E12" s="38" t="s">
        <v>56</v>
      </c>
      <c r="F12" s="38" t="s">
        <v>56</v>
      </c>
      <c r="G12" s="38" t="s">
        <v>56</v>
      </c>
      <c r="H12" s="61">
        <f>ROUND(1.0103*B29,4)</f>
        <v>1.0103</v>
      </c>
      <c r="I12" s="49">
        <f t="shared" si="0"/>
        <v>0</v>
      </c>
      <c r="J12" s="42">
        <f t="shared" ref="J12:J18" si="6">I12*12</f>
        <v>0</v>
      </c>
      <c r="K12" s="61">
        <f>ROUND(1.1613*B29,4)</f>
        <v>1.1613</v>
      </c>
      <c r="L12" s="49">
        <f t="shared" si="1"/>
        <v>0</v>
      </c>
      <c r="M12" s="42">
        <f t="shared" ref="M12:M18" si="7">L12*12</f>
        <v>0</v>
      </c>
      <c r="N12" s="61">
        <f>ROUND(1.1868*B29,4)</f>
        <v>1.1868000000000001</v>
      </c>
      <c r="O12" s="49">
        <f t="shared" si="2"/>
        <v>0</v>
      </c>
      <c r="P12" s="42">
        <f t="shared" ref="P12:P18" si="8">O12*12</f>
        <v>0</v>
      </c>
      <c r="Q12" s="61">
        <f>ROUND(1.0754*B29,4)</f>
        <v>1.0753999999999999</v>
      </c>
      <c r="R12" s="49">
        <f t="shared" si="3"/>
        <v>0</v>
      </c>
      <c r="S12" s="42">
        <f t="shared" ref="S12:S18" si="9">R12*12</f>
        <v>0</v>
      </c>
      <c r="T12" s="61">
        <f>ROUND(0.9106*B29,4)</f>
        <v>0.91059999999999997</v>
      </c>
      <c r="U12" s="49">
        <f t="shared" si="4"/>
        <v>0</v>
      </c>
      <c r="V12" s="42">
        <f t="shared" ref="V12:V18" si="10">U12*12</f>
        <v>0</v>
      </c>
      <c r="W12" s="61">
        <f>ROUND(0.9085*B29,4)</f>
        <v>0.90849999999999997</v>
      </c>
      <c r="X12" s="49">
        <f t="shared" si="5"/>
        <v>0</v>
      </c>
      <c r="Y12" s="43">
        <f t="shared" ref="Y12:Y18" si="11">X12*12</f>
        <v>0</v>
      </c>
    </row>
    <row r="13" spans="1:26" x14ac:dyDescent="0.2">
      <c r="A13" s="230" t="s">
        <v>65</v>
      </c>
      <c r="B13" s="231"/>
      <c r="C13" s="59">
        <f>223931.87*B29</f>
        <v>223931.87</v>
      </c>
      <c r="D13" s="42">
        <f t="shared" ref="D13:D19" si="12">C13*12</f>
        <v>2687182.44</v>
      </c>
      <c r="E13" s="38" t="s">
        <v>56</v>
      </c>
      <c r="F13" s="38" t="s">
        <v>56</v>
      </c>
      <c r="G13" s="38" t="s">
        <v>56</v>
      </c>
      <c r="H13" s="61">
        <f>ROUND(1.0352*B29,4)</f>
        <v>1.0351999999999999</v>
      </c>
      <c r="I13" s="49">
        <f t="shared" si="0"/>
        <v>0</v>
      </c>
      <c r="J13" s="42">
        <f t="shared" si="6"/>
        <v>0</v>
      </c>
      <c r="K13" s="61">
        <f>ROUND(1.1853*B29,4)</f>
        <v>1.1853</v>
      </c>
      <c r="L13" s="49">
        <f t="shared" si="1"/>
        <v>0</v>
      </c>
      <c r="M13" s="42">
        <f t="shared" si="7"/>
        <v>0</v>
      </c>
      <c r="N13" s="61">
        <f>ROUND(1.2088*B29,4)</f>
        <v>1.2088000000000001</v>
      </c>
      <c r="O13" s="49">
        <f t="shared" si="2"/>
        <v>0</v>
      </c>
      <c r="P13" s="42">
        <f t="shared" si="8"/>
        <v>0</v>
      </c>
      <c r="Q13" s="61">
        <f>ROUND(1.0955*B29,4)</f>
        <v>1.0954999999999999</v>
      </c>
      <c r="R13" s="49">
        <f t="shared" si="3"/>
        <v>0</v>
      </c>
      <c r="S13" s="42">
        <f t="shared" si="9"/>
        <v>0</v>
      </c>
      <c r="T13" s="61">
        <f>ROUND(0.9273*B29,4)</f>
        <v>0.92730000000000001</v>
      </c>
      <c r="U13" s="49">
        <f t="shared" si="4"/>
        <v>0</v>
      </c>
      <c r="V13" s="42">
        <f t="shared" si="10"/>
        <v>0</v>
      </c>
      <c r="W13" s="61">
        <f>ROUND(0.9237*B29,4)</f>
        <v>0.92369999999999997</v>
      </c>
      <c r="X13" s="49">
        <f t="shared" si="5"/>
        <v>0</v>
      </c>
      <c r="Y13" s="43">
        <f t="shared" si="11"/>
        <v>0</v>
      </c>
    </row>
    <row r="14" spans="1:26" x14ac:dyDescent="0.2">
      <c r="A14" s="230" t="s">
        <v>66</v>
      </c>
      <c r="B14" s="231"/>
      <c r="C14" s="59">
        <f>222038.82*B29</f>
        <v>222038.82</v>
      </c>
      <c r="D14" s="42">
        <f t="shared" si="12"/>
        <v>2664465.84</v>
      </c>
      <c r="E14" s="38" t="s">
        <v>56</v>
      </c>
      <c r="F14" s="38" t="s">
        <v>56</v>
      </c>
      <c r="G14" s="38" t="s">
        <v>56</v>
      </c>
      <c r="H14" s="61">
        <f>ROUND(1.0571*B29,4)</f>
        <v>1.0570999999999999</v>
      </c>
      <c r="I14" s="49">
        <f t="shared" si="0"/>
        <v>0</v>
      </c>
      <c r="J14" s="42">
        <f t="shared" si="6"/>
        <v>0</v>
      </c>
      <c r="K14" s="61">
        <f>ROUND(1.2077*B29,4)</f>
        <v>1.2077</v>
      </c>
      <c r="L14" s="49">
        <f t="shared" si="1"/>
        <v>0</v>
      </c>
      <c r="M14" s="42">
        <f t="shared" si="7"/>
        <v>0</v>
      </c>
      <c r="N14" s="61">
        <f>ROUND(1.2296*B29,4)</f>
        <v>1.2296</v>
      </c>
      <c r="O14" s="49">
        <f t="shared" si="2"/>
        <v>0</v>
      </c>
      <c r="P14" s="42">
        <f t="shared" si="8"/>
        <v>0</v>
      </c>
      <c r="Q14" s="61">
        <f>ROUND(1.1147*B29,4)</f>
        <v>1.1147</v>
      </c>
      <c r="R14" s="49">
        <f t="shared" si="3"/>
        <v>0</v>
      </c>
      <c r="S14" s="42">
        <f t="shared" si="9"/>
        <v>0</v>
      </c>
      <c r="T14" s="61">
        <f>ROUND(0.9433*B29,4)</f>
        <v>0.94330000000000003</v>
      </c>
      <c r="U14" s="49">
        <f t="shared" si="4"/>
        <v>0</v>
      </c>
      <c r="V14" s="42">
        <f t="shared" si="10"/>
        <v>0</v>
      </c>
      <c r="W14" s="61">
        <f>ROUND(0.9386*B29,4)</f>
        <v>0.93859999999999999</v>
      </c>
      <c r="X14" s="49">
        <f t="shared" si="5"/>
        <v>0</v>
      </c>
      <c r="Y14" s="43">
        <f t="shared" si="11"/>
        <v>0</v>
      </c>
    </row>
    <row r="15" spans="1:26" x14ac:dyDescent="0.2">
      <c r="A15" s="230" t="s">
        <v>67</v>
      </c>
      <c r="B15" s="231"/>
      <c r="C15" s="59">
        <f>221489.98*B29</f>
        <v>221489.98</v>
      </c>
      <c r="D15" s="42">
        <f t="shared" si="12"/>
        <v>2657879.7600000002</v>
      </c>
      <c r="E15" s="38" t="s">
        <v>56</v>
      </c>
      <c r="F15" s="38" t="s">
        <v>56</v>
      </c>
      <c r="G15" s="38" t="s">
        <v>56</v>
      </c>
      <c r="H15" s="61">
        <f>ROUND(1.0779*B29,4)</f>
        <v>1.0779000000000001</v>
      </c>
      <c r="I15" s="49">
        <f t="shared" si="0"/>
        <v>0</v>
      </c>
      <c r="J15" s="42">
        <f t="shared" si="6"/>
        <v>0</v>
      </c>
      <c r="K15" s="61">
        <f>ROUND(1.2296*B29,4)</f>
        <v>1.2296</v>
      </c>
      <c r="L15" s="49">
        <f t="shared" si="1"/>
        <v>0</v>
      </c>
      <c r="M15" s="42">
        <f t="shared" si="7"/>
        <v>0</v>
      </c>
      <c r="N15" s="61">
        <f>ROUND(1.2503*B29,4)</f>
        <v>1.2503</v>
      </c>
      <c r="O15" s="49">
        <f t="shared" si="2"/>
        <v>0</v>
      </c>
      <c r="P15" s="42">
        <f t="shared" si="8"/>
        <v>0</v>
      </c>
      <c r="Q15" s="61">
        <f>ROUND(1.134*B29,4)</f>
        <v>1.1339999999999999</v>
      </c>
      <c r="R15" s="49">
        <f t="shared" si="3"/>
        <v>0</v>
      </c>
      <c r="S15" s="42">
        <f t="shared" si="9"/>
        <v>0</v>
      </c>
      <c r="T15" s="61">
        <f>ROUND(0.9594*B29,4)</f>
        <v>0.95940000000000003</v>
      </c>
      <c r="U15" s="49">
        <f t="shared" si="4"/>
        <v>0</v>
      </c>
      <c r="V15" s="42">
        <f t="shared" si="10"/>
        <v>0</v>
      </c>
      <c r="W15" s="61">
        <f>ROUND(0.9539*B29,4)</f>
        <v>0.95389999999999997</v>
      </c>
      <c r="X15" s="49">
        <f t="shared" si="5"/>
        <v>0</v>
      </c>
      <c r="Y15" s="43">
        <f t="shared" si="11"/>
        <v>0</v>
      </c>
    </row>
    <row r="16" spans="1:26" x14ac:dyDescent="0.2">
      <c r="A16" s="230" t="s">
        <v>68</v>
      </c>
      <c r="B16" s="231"/>
      <c r="C16" s="59">
        <f>226824.29*B29</f>
        <v>226824.29</v>
      </c>
      <c r="D16" s="42">
        <f t="shared" si="12"/>
        <v>2721891.48</v>
      </c>
      <c r="E16" s="38" t="s">
        <v>56</v>
      </c>
      <c r="F16" s="38" t="s">
        <v>56</v>
      </c>
      <c r="G16" s="38" t="s">
        <v>56</v>
      </c>
      <c r="H16" s="61">
        <f>ROUND(1.0861*B29,4)</f>
        <v>1.0861000000000001</v>
      </c>
      <c r="I16" s="49">
        <f t="shared" si="0"/>
        <v>0</v>
      </c>
      <c r="J16" s="42">
        <f t="shared" si="6"/>
        <v>0</v>
      </c>
      <c r="K16" s="61">
        <f>ROUND(1.2441*B29,4)</f>
        <v>1.2441</v>
      </c>
      <c r="L16" s="49">
        <f t="shared" si="1"/>
        <v>0</v>
      </c>
      <c r="M16" s="42">
        <f t="shared" si="7"/>
        <v>0</v>
      </c>
      <c r="N16" s="61">
        <f>ROUND(1.2658*B29,4)</f>
        <v>1.2658</v>
      </c>
      <c r="O16" s="49">
        <f t="shared" si="2"/>
        <v>0</v>
      </c>
      <c r="P16" s="42">
        <f t="shared" si="8"/>
        <v>0</v>
      </c>
      <c r="Q16" s="61">
        <f>ROUND(1.1494*B29,4)</f>
        <v>1.1494</v>
      </c>
      <c r="R16" s="49">
        <f t="shared" si="3"/>
        <v>0</v>
      </c>
      <c r="S16" s="42">
        <f t="shared" si="9"/>
        <v>0</v>
      </c>
      <c r="T16" s="61">
        <f>ROUND(0.9723*B29,4)</f>
        <v>0.97230000000000005</v>
      </c>
      <c r="U16" s="49">
        <f t="shared" si="4"/>
        <v>0</v>
      </c>
      <c r="V16" s="42">
        <f t="shared" si="10"/>
        <v>0</v>
      </c>
      <c r="W16" s="61">
        <f>ROUND(0.9673*B29,4)</f>
        <v>0.96730000000000005</v>
      </c>
      <c r="X16" s="49">
        <f t="shared" si="5"/>
        <v>0</v>
      </c>
      <c r="Y16" s="43">
        <f t="shared" si="11"/>
        <v>0</v>
      </c>
    </row>
    <row r="17" spans="1:25" x14ac:dyDescent="0.2">
      <c r="A17" s="230" t="s">
        <v>69</v>
      </c>
      <c r="B17" s="231"/>
      <c r="C17" s="59">
        <f>231279.79*B29</f>
        <v>231279.79</v>
      </c>
      <c r="D17" s="42">
        <f t="shared" si="12"/>
        <v>2775357.48</v>
      </c>
      <c r="E17" s="38" t="s">
        <v>56</v>
      </c>
      <c r="F17" s="38" t="s">
        <v>56</v>
      </c>
      <c r="G17" s="38" t="s">
        <v>56</v>
      </c>
      <c r="H17" s="61">
        <f>ROUND(1.0968*B29,4)</f>
        <v>1.0968</v>
      </c>
      <c r="I17" s="49">
        <f t="shared" si="0"/>
        <v>0</v>
      </c>
      <c r="J17" s="42">
        <f t="shared" si="6"/>
        <v>0</v>
      </c>
      <c r="K17" s="61">
        <f>ROUND(1.2602*B29,4)</f>
        <v>1.2602</v>
      </c>
      <c r="L17" s="49">
        <f t="shared" si="1"/>
        <v>0</v>
      </c>
      <c r="M17" s="42">
        <f t="shared" si="7"/>
        <v>0</v>
      </c>
      <c r="N17" s="61">
        <f>ROUND(1.2826*B29,4)</f>
        <v>1.2826</v>
      </c>
      <c r="O17" s="49">
        <f t="shared" si="2"/>
        <v>0</v>
      </c>
      <c r="P17" s="42">
        <f t="shared" si="8"/>
        <v>0</v>
      </c>
      <c r="Q17" s="61">
        <f>ROUND(1.1658*B29,4)</f>
        <v>1.1657999999999999</v>
      </c>
      <c r="R17" s="49">
        <f t="shared" si="3"/>
        <v>0</v>
      </c>
      <c r="S17" s="42">
        <f t="shared" si="9"/>
        <v>0</v>
      </c>
      <c r="T17" s="61">
        <f>ROUND(0.986*B29,4)</f>
        <v>0.98599999999999999</v>
      </c>
      <c r="U17" s="49">
        <f t="shared" si="4"/>
        <v>0</v>
      </c>
      <c r="V17" s="42">
        <f t="shared" si="10"/>
        <v>0</v>
      </c>
      <c r="W17" s="61">
        <f>ROUND(0.9814*B29,4)</f>
        <v>0.98140000000000005</v>
      </c>
      <c r="X17" s="49">
        <f t="shared" si="5"/>
        <v>0</v>
      </c>
      <c r="Y17" s="43">
        <f t="shared" si="11"/>
        <v>0</v>
      </c>
    </row>
    <row r="18" spans="1:25" x14ac:dyDescent="0.2">
      <c r="A18" s="230" t="s">
        <v>70</v>
      </c>
      <c r="B18" s="231"/>
      <c r="C18" s="59">
        <f>236640.93*B29</f>
        <v>236640.93</v>
      </c>
      <c r="D18" s="42">
        <f t="shared" si="12"/>
        <v>2839691.16</v>
      </c>
      <c r="E18" s="38" t="s">
        <v>56</v>
      </c>
      <c r="F18" s="38" t="s">
        <v>56</v>
      </c>
      <c r="G18" s="38" t="s">
        <v>56</v>
      </c>
      <c r="H18" s="61">
        <f>ROUND(2.0375*B29,4)</f>
        <v>2.0375000000000001</v>
      </c>
      <c r="I18" s="49">
        <f t="shared" si="0"/>
        <v>0</v>
      </c>
      <c r="J18" s="42">
        <f t="shared" si="6"/>
        <v>0</v>
      </c>
      <c r="K18" s="61">
        <f>ROUND(1.2755*B29,4)</f>
        <v>1.2755000000000001</v>
      </c>
      <c r="L18" s="49">
        <f t="shared" si="1"/>
        <v>0</v>
      </c>
      <c r="M18" s="42">
        <f t="shared" si="7"/>
        <v>0</v>
      </c>
      <c r="N18" s="61">
        <f>ROUND(1.299*B29,4)</f>
        <v>1.2989999999999999</v>
      </c>
      <c r="O18" s="49">
        <f t="shared" si="2"/>
        <v>0</v>
      </c>
      <c r="P18" s="42">
        <f t="shared" si="8"/>
        <v>0</v>
      </c>
      <c r="Q18" s="61">
        <f>ROUND(1.1819*B29,4)</f>
        <v>1.1819</v>
      </c>
      <c r="R18" s="49">
        <f t="shared" si="3"/>
        <v>0</v>
      </c>
      <c r="S18" s="42">
        <f t="shared" si="9"/>
        <v>0</v>
      </c>
      <c r="T18" s="61">
        <f>ROUND(0.9996*B29,4)</f>
        <v>0.99960000000000004</v>
      </c>
      <c r="U18" s="49">
        <f t="shared" si="4"/>
        <v>0</v>
      </c>
      <c r="V18" s="42">
        <f t="shared" si="10"/>
        <v>0</v>
      </c>
      <c r="W18" s="61">
        <f>ROUND(0.9955*B29,4)</f>
        <v>0.99550000000000005</v>
      </c>
      <c r="X18" s="49">
        <f t="shared" si="5"/>
        <v>0</v>
      </c>
      <c r="Y18" s="43">
        <f t="shared" si="11"/>
        <v>0</v>
      </c>
    </row>
    <row r="19" spans="1:25" x14ac:dyDescent="0.2">
      <c r="A19" s="230" t="s">
        <v>71</v>
      </c>
      <c r="B19" s="231"/>
      <c r="C19" s="59">
        <f>242281.3*B29</f>
        <v>242281.3</v>
      </c>
      <c r="D19" s="42">
        <f t="shared" si="12"/>
        <v>2907375.5999999996</v>
      </c>
      <c r="E19" s="38"/>
      <c r="F19" s="38"/>
      <c r="G19" s="38"/>
      <c r="H19" s="61">
        <f>ROUND(2.0571*B29,4)</f>
        <v>2.0571000000000002</v>
      </c>
      <c r="I19" s="49">
        <f t="shared" ref="I19" si="13">MAX(ROUND((H$9-25000)*H19,2),0)</f>
        <v>0</v>
      </c>
      <c r="J19" s="42">
        <f t="shared" ref="J19" si="14">I19*12</f>
        <v>0</v>
      </c>
      <c r="K19" s="61">
        <f>ROUND(1.2911*B29,4)</f>
        <v>1.2910999999999999</v>
      </c>
      <c r="L19" s="49">
        <f t="shared" ref="L19" si="15">MAX(ROUND((K$9-25000)*K19,2),0)</f>
        <v>0</v>
      </c>
      <c r="M19" s="42">
        <f t="shared" ref="M19" si="16">L19*12</f>
        <v>0</v>
      </c>
      <c r="N19" s="61">
        <f>ROUND(1.3156*B29,4)</f>
        <v>1.3156000000000001</v>
      </c>
      <c r="O19" s="49">
        <f t="shared" ref="O19" si="17">MAX(ROUND((N$9-25000)*N19,2),0)</f>
        <v>0</v>
      </c>
      <c r="P19" s="42">
        <f t="shared" ref="P19" si="18">O19*12</f>
        <v>0</v>
      </c>
      <c r="Q19" s="61">
        <f>ROUND(1.1982*B29,4)</f>
        <v>1.1981999999999999</v>
      </c>
      <c r="R19" s="49">
        <f t="shared" ref="R19" si="19">MAX(ROUND((Q$9-25000)*Q19,2),0)</f>
        <v>0</v>
      </c>
      <c r="S19" s="42">
        <f t="shared" ref="S19" si="20">R19*12</f>
        <v>0</v>
      </c>
      <c r="T19" s="61">
        <f>ROUND(1.0133*B29,4)</f>
        <v>1.0133000000000001</v>
      </c>
      <c r="U19" s="49">
        <f t="shared" ref="U19" si="21">MAX(ROUND((T$9-25000)*T19,2),0)</f>
        <v>0</v>
      </c>
      <c r="V19" s="42">
        <f t="shared" ref="V19" si="22">U19*12</f>
        <v>0</v>
      </c>
      <c r="W19" s="61">
        <f>ROUND(1.0099*B29,4)</f>
        <v>1.0099</v>
      </c>
      <c r="X19" s="49">
        <f t="shared" ref="X19" si="23">MAX(ROUND((W$9-25000)*W19,2),0)</f>
        <v>0</v>
      </c>
      <c r="Y19" s="43">
        <f t="shared" ref="Y19" si="24">X19*12</f>
        <v>0</v>
      </c>
    </row>
    <row r="20" spans="1:25" s="48" customFormat="1" ht="15" x14ac:dyDescent="0.25">
      <c r="A20" s="212" t="s">
        <v>175</v>
      </c>
      <c r="B20" s="213"/>
      <c r="C20" s="62"/>
      <c r="D20" s="63">
        <f>SUM(D11:D19)</f>
        <v>24840998.640000001</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5" thickBot="1" x14ac:dyDescent="0.25">
      <c r="A21" s="17"/>
      <c r="Y21" s="18"/>
    </row>
    <row r="22" spans="1:25" ht="15.75" thickBot="1" x14ac:dyDescent="0.3">
      <c r="A22" s="217" t="s">
        <v>176</v>
      </c>
      <c r="B22" s="218"/>
      <c r="C22" s="86">
        <f>SUM(E20:Y20)+D20</f>
        <v>24840998.640000001</v>
      </c>
      <c r="D22" s="68"/>
      <c r="E22" s="49"/>
      <c r="V22" s="33"/>
      <c r="Y22" s="18"/>
    </row>
    <row r="23" spans="1:25" x14ac:dyDescent="0.2">
      <c r="A23" s="17"/>
      <c r="K23" s="64"/>
      <c r="L23" s="64"/>
      <c r="Y23" s="18"/>
    </row>
    <row r="24" spans="1:25" ht="15" x14ac:dyDescent="0.25">
      <c r="A24" s="87" t="s">
        <v>109</v>
      </c>
      <c r="B24" s="68"/>
      <c r="K24" s="64"/>
      <c r="L24" s="64"/>
      <c r="Y24" s="18"/>
    </row>
    <row r="25" spans="1:25" ht="15" x14ac:dyDescent="0.25">
      <c r="A25" s="88" t="s">
        <v>110</v>
      </c>
      <c r="B25" s="151">
        <v>0</v>
      </c>
      <c r="K25" s="64"/>
      <c r="L25" s="64"/>
      <c r="Y25" s="18"/>
    </row>
    <row r="26" spans="1:25" ht="15" x14ac:dyDescent="0.25">
      <c r="A26" s="88" t="s">
        <v>111</v>
      </c>
      <c r="B26" s="151">
        <v>0</v>
      </c>
      <c r="K26" s="64"/>
      <c r="L26" s="64"/>
      <c r="Y26" s="18"/>
    </row>
    <row r="27" spans="1:25" ht="15" x14ac:dyDescent="0.25">
      <c r="A27" s="88" t="s">
        <v>112</v>
      </c>
      <c r="B27" s="151">
        <f>B26-B25</f>
        <v>0</v>
      </c>
      <c r="K27" s="64"/>
      <c r="L27" s="64"/>
      <c r="Y27" s="18"/>
    </row>
    <row r="28" spans="1:25" ht="15" x14ac:dyDescent="0.25">
      <c r="A28" s="88" t="s">
        <v>114</v>
      </c>
      <c r="B28" s="151">
        <f>IFERROR(B27/B25,0)</f>
        <v>0</v>
      </c>
      <c r="K28" s="64"/>
      <c r="L28" s="64"/>
      <c r="Y28" s="18"/>
    </row>
    <row r="29" spans="1:25" ht="15" x14ac:dyDescent="0.25">
      <c r="A29" s="88" t="s">
        <v>113</v>
      </c>
      <c r="B29" s="151">
        <f>B28+1</f>
        <v>1</v>
      </c>
      <c r="K29" s="64"/>
      <c r="L29" s="64"/>
      <c r="Y29" s="18"/>
    </row>
    <row r="30" spans="1:25" x14ac:dyDescent="0.2">
      <c r="A30" s="17"/>
      <c r="K30" s="64"/>
      <c r="L30" s="64"/>
      <c r="Y30" s="18"/>
    </row>
    <row r="31" spans="1:25" x14ac:dyDescent="0.2">
      <c r="A31" s="81" t="s">
        <v>57</v>
      </c>
      <c r="C31" s="65"/>
      <c r="Y31" s="18"/>
    </row>
    <row r="32" spans="1:25" x14ac:dyDescent="0.2">
      <c r="A32" s="81" t="s">
        <v>58</v>
      </c>
      <c r="C32" s="66"/>
      <c r="Y32" s="18"/>
    </row>
    <row r="33" spans="1:25" ht="15" thickBot="1" x14ac:dyDescent="0.25">
      <c r="A33" s="84" t="s">
        <v>59</v>
      </c>
      <c r="B33" s="54"/>
      <c r="C33" s="54"/>
      <c r="D33" s="54"/>
      <c r="E33" s="54"/>
      <c r="F33" s="54"/>
      <c r="G33" s="54"/>
      <c r="H33" s="67"/>
      <c r="I33" s="54"/>
      <c r="J33" s="54"/>
      <c r="K33" s="67"/>
      <c r="L33" s="54"/>
      <c r="M33" s="54"/>
      <c r="N33" s="67"/>
      <c r="O33" s="54"/>
      <c r="P33" s="54"/>
      <c r="Q33" s="67"/>
      <c r="R33" s="54"/>
      <c r="S33" s="54"/>
      <c r="T33" s="67"/>
      <c r="U33" s="54"/>
      <c r="V33" s="54"/>
      <c r="W33" s="67"/>
      <c r="X33" s="54"/>
      <c r="Y33" s="56"/>
    </row>
  </sheetData>
  <mergeCells count="28">
    <mergeCell ref="A1:S1"/>
    <mergeCell ref="A4:Y4"/>
    <mergeCell ref="C6:D6"/>
    <mergeCell ref="E6:G6"/>
    <mergeCell ref="H6:J6"/>
    <mergeCell ref="K6:M6"/>
    <mergeCell ref="N6:P6"/>
    <mergeCell ref="Q6:S6"/>
    <mergeCell ref="T6:V6"/>
    <mergeCell ref="W6:Y6"/>
    <mergeCell ref="W9:Y9"/>
    <mergeCell ref="A11:B11"/>
    <mergeCell ref="A12:B12"/>
    <mergeCell ref="A16:B16"/>
    <mergeCell ref="A17:B17"/>
    <mergeCell ref="A15:B15"/>
    <mergeCell ref="E9:G9"/>
    <mergeCell ref="H9:J9"/>
    <mergeCell ref="A13:B13"/>
    <mergeCell ref="A14:B14"/>
    <mergeCell ref="Q9:S9"/>
    <mergeCell ref="T9:V9"/>
    <mergeCell ref="A22:B22"/>
    <mergeCell ref="A19:B19"/>
    <mergeCell ref="K9:M9"/>
    <mergeCell ref="N9:P9"/>
    <mergeCell ref="A18:B18"/>
    <mergeCell ref="A20:B20"/>
  </mergeCells>
  <pageMargins left="0.25" right="0.25" top="0.25" bottom="0.25" header="0.3" footer="0.3"/>
  <pageSetup scale="30" orientation="landscape" r:id="rId1"/>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pageSetUpPr fitToPage="1"/>
  </sheetPr>
  <dimension ref="A1:S27"/>
  <sheetViews>
    <sheetView zoomScale="70" zoomScaleNormal="70" workbookViewId="0">
      <selection activeCell="E10" sqref="E10"/>
    </sheetView>
  </sheetViews>
  <sheetFormatPr defaultColWidth="9.42578125" defaultRowHeight="14.25" x14ac:dyDescent="0.2"/>
  <cols>
    <col min="1" max="1" width="46.85546875" style="2" customWidth="1"/>
    <col min="2" max="2" width="11.5703125" style="2" customWidth="1"/>
    <col min="3" max="3" width="18" style="2" bestFit="1" customWidth="1"/>
    <col min="4" max="4" width="18.42578125" style="2" customWidth="1"/>
    <col min="5" max="5" width="12.5703125" style="2" customWidth="1"/>
    <col min="6" max="6" width="18.42578125" style="2" customWidth="1"/>
    <col min="7" max="7" width="12.5703125" style="2" customWidth="1"/>
    <col min="8" max="8" width="18" style="2" customWidth="1"/>
    <col min="9" max="10" width="17.42578125" style="2" customWidth="1"/>
    <col min="11" max="11" width="12.5703125" style="2" customWidth="1"/>
    <col min="12" max="12" width="16.42578125" style="2" customWidth="1"/>
    <col min="13" max="13" width="12.5703125" style="2" customWidth="1"/>
    <col min="14" max="14" width="17.42578125" style="2" customWidth="1"/>
    <col min="15" max="15" width="12.5703125" style="2" customWidth="1"/>
    <col min="16" max="16" width="17.5703125" style="2" customWidth="1"/>
    <col min="17" max="17" width="14.42578125" style="2" bestFit="1" customWidth="1"/>
    <col min="18" max="16384" width="9.42578125" style="2"/>
  </cols>
  <sheetData>
    <row r="1" spans="1:19" s="57" customFormat="1" ht="40.5" customHeight="1" x14ac:dyDescent="0.25">
      <c r="A1" s="222" t="s">
        <v>177</v>
      </c>
      <c r="B1" s="233"/>
      <c r="C1" s="233"/>
      <c r="D1" s="233"/>
      <c r="E1" s="233"/>
      <c r="F1" s="233"/>
      <c r="G1" s="233"/>
      <c r="H1" s="233"/>
      <c r="I1" s="233"/>
      <c r="J1" s="233"/>
      <c r="K1" s="233"/>
      <c r="L1" s="233"/>
      <c r="M1" s="233"/>
      <c r="N1" s="233"/>
      <c r="O1" s="233"/>
      <c r="P1" s="233"/>
      <c r="Q1" s="233"/>
      <c r="R1" s="85"/>
      <c r="S1" s="85"/>
    </row>
    <row r="3" spans="1:19" ht="15" thickBot="1" x14ac:dyDescent="0.25"/>
    <row r="4" spans="1:19" ht="15" x14ac:dyDescent="0.25">
      <c r="A4" s="223" t="s">
        <v>178</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c r="B8" s="234"/>
      <c r="C8" s="25">
        <v>0</v>
      </c>
      <c r="D8" s="27">
        <v>25000</v>
      </c>
      <c r="E8" s="25">
        <v>25001</v>
      </c>
      <c r="F8" s="27">
        <v>75000</v>
      </c>
      <c r="G8" s="25">
        <v>75001</v>
      </c>
      <c r="H8" s="27">
        <v>125000</v>
      </c>
      <c r="I8" s="25">
        <v>125001</v>
      </c>
      <c r="J8" s="27">
        <v>175000</v>
      </c>
      <c r="K8" s="25">
        <v>175001</v>
      </c>
      <c r="L8" s="27">
        <v>225000</v>
      </c>
      <c r="M8" s="25">
        <v>225001</v>
      </c>
      <c r="N8" s="27">
        <v>275000</v>
      </c>
      <c r="O8" s="25">
        <v>275001</v>
      </c>
      <c r="P8" s="69">
        <f>O8+49999</f>
        <v>325000</v>
      </c>
      <c r="Q8" s="70"/>
    </row>
    <row r="9" spans="1:19" s="83" customFormat="1" ht="15" x14ac:dyDescent="0.25">
      <c r="A9" s="237" t="s">
        <v>86</v>
      </c>
      <c r="B9" s="238"/>
      <c r="C9" s="239">
        <v>0</v>
      </c>
      <c r="D9" s="240"/>
      <c r="E9" s="239">
        <v>0</v>
      </c>
      <c r="F9" s="240"/>
      <c r="G9" s="239"/>
      <c r="H9" s="240"/>
      <c r="I9" s="239">
        <v>0</v>
      </c>
      <c r="J9" s="240"/>
      <c r="K9" s="239">
        <v>0</v>
      </c>
      <c r="L9" s="240"/>
      <c r="M9" s="239">
        <v>0</v>
      </c>
      <c r="N9" s="240"/>
      <c r="O9" s="241">
        <v>0</v>
      </c>
      <c r="P9" s="242"/>
      <c r="Q9" s="82"/>
    </row>
    <row r="10" spans="1:19" s="16" customFormat="1" ht="24.75" x14ac:dyDescent="0.25">
      <c r="A10" s="243"/>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74</v>
      </c>
      <c r="B11" s="231"/>
      <c r="C11" s="152">
        <f>ROUND(111.0687*B21,4)</f>
        <v>111.06870000000001</v>
      </c>
      <c r="D11" s="74">
        <f>C11*C$9</f>
        <v>0</v>
      </c>
      <c r="E11" s="41">
        <f>ROUND(111.0687*B21,4)</f>
        <v>111.06870000000001</v>
      </c>
      <c r="F11" s="74">
        <f>E11*E$9</f>
        <v>0</v>
      </c>
      <c r="G11" s="41">
        <f>ROUND(111.0687*B21,4)</f>
        <v>111.06870000000001</v>
      </c>
      <c r="H11" s="74">
        <f>G11*G$9</f>
        <v>0</v>
      </c>
      <c r="I11" s="41">
        <f>ROUND(111.0687*B21,4)</f>
        <v>111.06870000000001</v>
      </c>
      <c r="J11" s="74">
        <f>I11*I$9</f>
        <v>0</v>
      </c>
      <c r="K11" s="41">
        <f>ROUND(111.0687*B21,4)</f>
        <v>111.06870000000001</v>
      </c>
      <c r="L11" s="74">
        <f>K11*K$9</f>
        <v>0</v>
      </c>
      <c r="M11" s="41">
        <f>ROUND(111.0687*B21,4)</f>
        <v>111.06870000000001</v>
      </c>
      <c r="N11" s="74">
        <f>M11*M$9</f>
        <v>0</v>
      </c>
      <c r="O11" s="41">
        <f>ROUND(111.0687*B21,4)</f>
        <v>111.06870000000001</v>
      </c>
      <c r="P11" s="74">
        <f>O11*O$9</f>
        <v>0</v>
      </c>
      <c r="Q11" s="18"/>
      <c r="R11" s="16"/>
    </row>
    <row r="12" spans="1:19" s="48" customFormat="1" ht="15" x14ac:dyDescent="0.25">
      <c r="A12" s="212" t="s">
        <v>179</v>
      </c>
      <c r="B12" s="213"/>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5"/>
    </row>
    <row r="13" spans="1:19" ht="15" thickBot="1" x14ac:dyDescent="0.25">
      <c r="A13" s="17"/>
      <c r="Q13" s="18"/>
    </row>
    <row r="14" spans="1:19" ht="15.75" thickBot="1" x14ac:dyDescent="0.3">
      <c r="A14" s="217" t="s">
        <v>180</v>
      </c>
      <c r="B14" s="218"/>
      <c r="C14" s="86">
        <f>SUM(D12:P12)</f>
        <v>0</v>
      </c>
      <c r="D14" s="49"/>
      <c r="Q14" s="18"/>
    </row>
    <row r="15" spans="1:19" x14ac:dyDescent="0.2">
      <c r="A15" s="17"/>
      <c r="Q15" s="18"/>
    </row>
    <row r="16" spans="1:19" ht="15" x14ac:dyDescent="0.25">
      <c r="A16" s="87" t="s">
        <v>109</v>
      </c>
      <c r="B16" s="68"/>
      <c r="Q16" s="18"/>
    </row>
    <row r="17" spans="1:17" ht="15" x14ac:dyDescent="0.25">
      <c r="A17" s="88" t="s">
        <v>110</v>
      </c>
      <c r="B17" s="151">
        <v>0</v>
      </c>
      <c r="Q17" s="18"/>
    </row>
    <row r="18" spans="1:17" ht="15" x14ac:dyDescent="0.25">
      <c r="A18" s="88" t="s">
        <v>111</v>
      </c>
      <c r="B18" s="151">
        <v>0</v>
      </c>
      <c r="Q18" s="18"/>
    </row>
    <row r="19" spans="1:17" ht="15" x14ac:dyDescent="0.25">
      <c r="A19" s="88" t="s">
        <v>112</v>
      </c>
      <c r="B19" s="151">
        <f>B18-B17</f>
        <v>0</v>
      </c>
      <c r="Q19" s="18"/>
    </row>
    <row r="20" spans="1:17" ht="15" x14ac:dyDescent="0.25">
      <c r="A20" s="88" t="s">
        <v>114</v>
      </c>
      <c r="B20" s="151">
        <f>IFERROR(B19/B17,0)</f>
        <v>0</v>
      </c>
      <c r="Q20" s="18"/>
    </row>
    <row r="21" spans="1:17" ht="15" x14ac:dyDescent="0.25">
      <c r="A21" s="88" t="s">
        <v>113</v>
      </c>
      <c r="B21" s="151">
        <f>B20+1</f>
        <v>1</v>
      </c>
      <c r="Q21" s="18"/>
    </row>
    <row r="22" spans="1:17" x14ac:dyDescent="0.2">
      <c r="A22" s="17"/>
      <c r="Q22" s="18"/>
    </row>
    <row r="23" spans="1:17" x14ac:dyDescent="0.2">
      <c r="A23" s="81" t="s">
        <v>57</v>
      </c>
      <c r="C23" s="50"/>
      <c r="Q23" s="18"/>
    </row>
    <row r="24" spans="1:17" x14ac:dyDescent="0.2">
      <c r="A24" s="81" t="s">
        <v>75</v>
      </c>
      <c r="C24" s="76"/>
      <c r="Q24" s="18"/>
    </row>
    <row r="25" spans="1:17" ht="15" thickBot="1" x14ac:dyDescent="0.25">
      <c r="A25" s="84" t="s">
        <v>59</v>
      </c>
      <c r="B25" s="54"/>
      <c r="C25" s="54"/>
      <c r="D25" s="54"/>
      <c r="E25" s="55"/>
      <c r="F25" s="54"/>
      <c r="G25" s="55"/>
      <c r="H25" s="54"/>
      <c r="I25" s="55"/>
      <c r="J25" s="54"/>
      <c r="K25" s="55"/>
      <c r="L25" s="54"/>
      <c r="M25" s="55"/>
      <c r="N25" s="54"/>
      <c r="O25" s="55"/>
      <c r="P25" s="54"/>
      <c r="Q25" s="56"/>
    </row>
    <row r="27" spans="1:17" ht="62.85" customHeight="1" x14ac:dyDescent="0.2">
      <c r="A27" s="235" t="s">
        <v>181</v>
      </c>
      <c r="B27" s="236"/>
      <c r="C27" s="236"/>
      <c r="D27" s="236"/>
      <c r="E27" s="236"/>
      <c r="F27" s="236"/>
      <c r="G27" s="236"/>
      <c r="H27" s="236"/>
      <c r="I27" s="236"/>
      <c r="J27" s="236"/>
      <c r="K27" s="236"/>
      <c r="L27" s="236"/>
      <c r="M27" s="236"/>
      <c r="N27" s="236"/>
      <c r="O27" s="236"/>
      <c r="P27" s="236"/>
      <c r="Q27" s="236"/>
    </row>
  </sheetData>
  <mergeCells count="24">
    <mergeCell ref="A27:Q27"/>
    <mergeCell ref="A8:B8"/>
    <mergeCell ref="A9:B9"/>
    <mergeCell ref="C9:D9"/>
    <mergeCell ref="E9:F9"/>
    <mergeCell ref="A14:B14"/>
    <mergeCell ref="K9:L9"/>
    <mergeCell ref="M9:N9"/>
    <mergeCell ref="O9:P9"/>
    <mergeCell ref="A10:B10"/>
    <mergeCell ref="A11:B11"/>
    <mergeCell ref="G9:H9"/>
    <mergeCell ref="I9:J9"/>
    <mergeCell ref="A12:B12"/>
    <mergeCell ref="A1:Q1"/>
    <mergeCell ref="A4:Q4"/>
    <mergeCell ref="A6:B6"/>
    <mergeCell ref="C6:D6"/>
    <mergeCell ref="E6:F6"/>
    <mergeCell ref="G6:H6"/>
    <mergeCell ref="I6:J6"/>
    <mergeCell ref="K6:L6"/>
    <mergeCell ref="M6:N6"/>
    <mergeCell ref="O6:P6"/>
  </mergeCells>
  <pageMargins left="0.25" right="0.25" top="0.25" bottom="0.25" header="0.3" footer="0.3"/>
  <pageSetup scale="45" orientation="landscape" r:id="rId1"/>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S35"/>
  <sheetViews>
    <sheetView topLeftCell="D4" zoomScale="70" zoomScaleNormal="70" workbookViewId="0">
      <selection activeCell="G9" sqref="G9:H9"/>
    </sheetView>
  </sheetViews>
  <sheetFormatPr defaultColWidth="9.42578125" defaultRowHeight="14.25" x14ac:dyDescent="0.2"/>
  <cols>
    <col min="1" max="1" width="46.85546875" style="2" customWidth="1"/>
    <col min="2" max="2" width="11.5703125" style="2" customWidth="1"/>
    <col min="3" max="4" width="18.42578125" style="2" bestFit="1" customWidth="1"/>
    <col min="5" max="5" width="15.42578125" style="2" bestFit="1" customWidth="1"/>
    <col min="6" max="6" width="16.5703125" style="2" bestFit="1" customWidth="1"/>
    <col min="7" max="7" width="16.42578125" style="2" bestFit="1" customWidth="1"/>
    <col min="8" max="8" width="14.5703125" style="2" bestFit="1" customWidth="1"/>
    <col min="9" max="9" width="18" style="2" bestFit="1" customWidth="1"/>
    <col min="10" max="10" width="16.5703125" style="2" bestFit="1" customWidth="1"/>
    <col min="11" max="11" width="18" style="2" customWidth="1"/>
    <col min="12" max="12" width="16.5703125" style="2" bestFit="1" customWidth="1"/>
    <col min="13" max="13" width="18" style="2" bestFit="1" customWidth="1"/>
    <col min="14" max="14" width="16.5703125" style="2" bestFit="1" customWidth="1"/>
    <col min="15" max="15" width="17" style="2" bestFit="1" customWidth="1"/>
    <col min="16" max="16" width="16.5703125" style="2" bestFit="1" customWidth="1"/>
    <col min="17" max="17" width="14.42578125" style="2" bestFit="1" customWidth="1"/>
    <col min="18" max="16384" width="9.42578125" style="2"/>
  </cols>
  <sheetData>
    <row r="1" spans="1:19" ht="46.5" customHeight="1" x14ac:dyDescent="0.25">
      <c r="A1" s="222" t="s">
        <v>182</v>
      </c>
      <c r="B1" s="233"/>
      <c r="C1" s="233"/>
      <c r="D1" s="233"/>
      <c r="E1" s="233"/>
      <c r="F1" s="233"/>
      <c r="G1" s="233"/>
      <c r="H1" s="233"/>
      <c r="I1" s="233"/>
      <c r="J1" s="233"/>
      <c r="K1" s="233"/>
      <c r="L1" s="233"/>
      <c r="M1" s="233"/>
      <c r="N1" s="233"/>
      <c r="O1" s="233"/>
      <c r="P1" s="233"/>
      <c r="Q1" s="233"/>
      <c r="R1" s="78"/>
      <c r="S1" s="78"/>
    </row>
    <row r="3" spans="1:19" ht="15" thickBot="1" x14ac:dyDescent="0.25"/>
    <row r="4" spans="1:19" ht="15" x14ac:dyDescent="0.25">
      <c r="A4" s="223" t="s">
        <v>183</v>
      </c>
      <c r="B4" s="224"/>
      <c r="C4" s="224"/>
      <c r="D4" s="224"/>
      <c r="E4" s="224"/>
      <c r="F4" s="224"/>
      <c r="G4" s="224"/>
      <c r="H4" s="224"/>
      <c r="I4" s="224"/>
      <c r="J4" s="224"/>
      <c r="K4" s="224"/>
      <c r="L4" s="224"/>
      <c r="M4" s="224"/>
      <c r="N4" s="224"/>
      <c r="O4" s="224"/>
      <c r="P4" s="224"/>
      <c r="Q4" s="225"/>
    </row>
    <row r="5" spans="1:19" x14ac:dyDescent="0.2">
      <c r="A5" s="17"/>
      <c r="Q5" s="18"/>
    </row>
    <row r="6" spans="1:19" ht="15" x14ac:dyDescent="0.25">
      <c r="A6" s="212"/>
      <c r="B6" s="234"/>
      <c r="C6" s="226" t="s">
        <v>33</v>
      </c>
      <c r="D6" s="227"/>
      <c r="E6" s="226" t="s">
        <v>34</v>
      </c>
      <c r="F6" s="227"/>
      <c r="G6" s="226" t="s">
        <v>35</v>
      </c>
      <c r="H6" s="227"/>
      <c r="I6" s="226" t="s">
        <v>36</v>
      </c>
      <c r="J6" s="227"/>
      <c r="K6" s="226" t="s">
        <v>37</v>
      </c>
      <c r="L6" s="227"/>
      <c r="M6" s="226" t="s">
        <v>38</v>
      </c>
      <c r="N6" s="227"/>
      <c r="O6" s="226" t="s">
        <v>39</v>
      </c>
      <c r="P6" s="227"/>
      <c r="Q6" s="18"/>
    </row>
    <row r="7" spans="1:19" ht="15" hidden="1" customHeight="1" x14ac:dyDescent="0.25">
      <c r="A7" s="17"/>
      <c r="B7" s="68" t="s">
        <v>40</v>
      </c>
      <c r="C7" s="20" t="s">
        <v>41</v>
      </c>
      <c r="D7" s="21"/>
      <c r="E7" s="20" t="s">
        <v>42</v>
      </c>
      <c r="F7" s="21"/>
      <c r="G7" s="20" t="s">
        <v>43</v>
      </c>
      <c r="H7" s="21"/>
      <c r="I7" s="20" t="s">
        <v>44</v>
      </c>
      <c r="J7" s="21"/>
      <c r="K7" s="20" t="s">
        <v>45</v>
      </c>
      <c r="L7" s="21"/>
      <c r="M7" s="20" t="s">
        <v>46</v>
      </c>
      <c r="N7" s="21"/>
      <c r="O7" s="20" t="s">
        <v>47</v>
      </c>
      <c r="P7" s="21"/>
      <c r="Q7" s="18"/>
    </row>
    <row r="8" spans="1:19" s="29" customFormat="1" ht="15" x14ac:dyDescent="0.25">
      <c r="A8" s="212" t="s">
        <v>48</v>
      </c>
      <c r="B8" s="234"/>
      <c r="C8" s="25">
        <v>0</v>
      </c>
      <c r="D8" s="27">
        <v>25000</v>
      </c>
      <c r="E8" s="25">
        <v>25001</v>
      </c>
      <c r="F8" s="27">
        <v>75000</v>
      </c>
      <c r="G8" s="25">
        <v>75001</v>
      </c>
      <c r="H8" s="27">
        <v>125000</v>
      </c>
      <c r="I8" s="25">
        <v>125001</v>
      </c>
      <c r="J8" s="27">
        <v>175000</v>
      </c>
      <c r="K8" s="25">
        <v>175001</v>
      </c>
      <c r="L8" s="27">
        <v>225000</v>
      </c>
      <c r="M8" s="25">
        <v>225001</v>
      </c>
      <c r="N8" s="27">
        <v>275000</v>
      </c>
      <c r="O8" s="25">
        <v>275001</v>
      </c>
      <c r="P8" s="69">
        <f>O8+49999</f>
        <v>325000</v>
      </c>
      <c r="Q8" s="70"/>
    </row>
    <row r="9" spans="1:19" s="33" customFormat="1" ht="15" x14ac:dyDescent="0.25">
      <c r="A9" s="212" t="s">
        <v>87</v>
      </c>
      <c r="B9" s="234"/>
      <c r="C9" s="219">
        <v>0</v>
      </c>
      <c r="D9" s="221"/>
      <c r="E9" s="219">
        <v>0</v>
      </c>
      <c r="F9" s="221"/>
      <c r="G9" s="219"/>
      <c r="H9" s="221"/>
      <c r="I9" s="219">
        <v>0</v>
      </c>
      <c r="J9" s="221"/>
      <c r="K9" s="219">
        <v>0</v>
      </c>
      <c r="L9" s="221"/>
      <c r="M9" s="219">
        <v>0</v>
      </c>
      <c r="N9" s="221"/>
      <c r="O9" s="206">
        <v>0</v>
      </c>
      <c r="P9" s="216"/>
      <c r="Q9" s="77"/>
    </row>
    <row r="10" spans="1:19" s="16" customFormat="1" ht="24.75" x14ac:dyDescent="0.25">
      <c r="A10" s="243" t="s">
        <v>60</v>
      </c>
      <c r="B10" s="244"/>
      <c r="C10" s="71" t="s">
        <v>72</v>
      </c>
      <c r="D10" s="72" t="s">
        <v>73</v>
      </c>
      <c r="E10" s="71" t="s">
        <v>52</v>
      </c>
      <c r="F10" s="72" t="s">
        <v>54</v>
      </c>
      <c r="G10" s="71" t="s">
        <v>52</v>
      </c>
      <c r="H10" s="72" t="s">
        <v>54</v>
      </c>
      <c r="I10" s="71" t="s">
        <v>52</v>
      </c>
      <c r="J10" s="72" t="s">
        <v>54</v>
      </c>
      <c r="K10" s="58"/>
      <c r="L10" s="72" t="s">
        <v>54</v>
      </c>
      <c r="M10" s="71" t="s">
        <v>52</v>
      </c>
      <c r="N10" s="72" t="s">
        <v>54</v>
      </c>
      <c r="O10" s="71" t="s">
        <v>52</v>
      </c>
      <c r="P10" s="72" t="s">
        <v>54</v>
      </c>
      <c r="Q10" s="73"/>
    </row>
    <row r="11" spans="1:19" x14ac:dyDescent="0.2">
      <c r="A11" s="230" t="s">
        <v>63</v>
      </c>
      <c r="B11" s="231"/>
      <c r="C11" s="152">
        <f>ROUND(111.8462*B29,4)</f>
        <v>111.8462</v>
      </c>
      <c r="D11" s="74">
        <f t="shared" ref="D11:D19" si="0">C11*C$9</f>
        <v>0</v>
      </c>
      <c r="E11" s="41">
        <f>ROUND(111.8462*B29,4)</f>
        <v>111.8462</v>
      </c>
      <c r="F11" s="74">
        <f>E11*E$9</f>
        <v>0</v>
      </c>
      <c r="G11" s="41">
        <f>ROUND(111.8462*B29,4)</f>
        <v>111.8462</v>
      </c>
      <c r="H11" s="74">
        <f t="shared" ref="H11:H19" si="1">G11*G$9</f>
        <v>0</v>
      </c>
      <c r="I11" s="41">
        <f>ROUND(167.7693*B29,4)</f>
        <v>167.76929999999999</v>
      </c>
      <c r="J11" s="74">
        <f t="shared" ref="J11:J19" si="2">I11*I$9</f>
        <v>0</v>
      </c>
      <c r="K11" s="41">
        <f>ROUND(167.7693*B29,4)</f>
        <v>167.76929999999999</v>
      </c>
      <c r="L11" s="74">
        <f t="shared" ref="L11:L19" si="3">K11*K$9</f>
        <v>0</v>
      </c>
      <c r="M11" s="41">
        <f>ROUND(167.7693*B29,4)</f>
        <v>167.76929999999999</v>
      </c>
      <c r="N11" s="74">
        <f t="shared" ref="N11:N19" si="4">M11*M$9</f>
        <v>0</v>
      </c>
      <c r="O11" s="41">
        <f>ROUND(167.7693*B29,4)</f>
        <v>167.76929999999999</v>
      </c>
      <c r="P11" s="74">
        <f t="shared" ref="P11:P19" si="5">O11*O$9</f>
        <v>0</v>
      </c>
      <c r="Q11" s="18"/>
      <c r="R11" s="16"/>
    </row>
    <row r="12" spans="1:19" x14ac:dyDescent="0.2">
      <c r="A12" s="230" t="s">
        <v>64</v>
      </c>
      <c r="B12" s="231"/>
      <c r="C12" s="152">
        <f>ROUND(113.13*B29,4)</f>
        <v>113.13</v>
      </c>
      <c r="D12" s="74">
        <f t="shared" si="0"/>
        <v>0</v>
      </c>
      <c r="E12" s="41">
        <f>ROUND(113.1324*B29,4)</f>
        <v>113.1324</v>
      </c>
      <c r="F12" s="74">
        <f t="shared" ref="F12:F19" si="6">E12*E$9</f>
        <v>0</v>
      </c>
      <c r="G12" s="41">
        <f>ROUND(113.1324*B29,4)</f>
        <v>113.1324</v>
      </c>
      <c r="H12" s="74">
        <f t="shared" si="1"/>
        <v>0</v>
      </c>
      <c r="I12" s="41">
        <f>ROUND(169.6986*B29,4)</f>
        <v>169.6986</v>
      </c>
      <c r="J12" s="74">
        <f t="shared" si="2"/>
        <v>0</v>
      </c>
      <c r="K12" s="41">
        <f>ROUND(169.6986*B29,4)</f>
        <v>169.6986</v>
      </c>
      <c r="L12" s="74">
        <f t="shared" si="3"/>
        <v>0</v>
      </c>
      <c r="M12" s="41">
        <f>ROUND(169.6986*B29,4)</f>
        <v>169.6986</v>
      </c>
      <c r="N12" s="74">
        <f t="shared" si="4"/>
        <v>0</v>
      </c>
      <c r="O12" s="41">
        <f>ROUND(169.6986*B29,4)</f>
        <v>169.6986</v>
      </c>
      <c r="P12" s="74">
        <f t="shared" si="5"/>
        <v>0</v>
      </c>
      <c r="Q12" s="18"/>
    </row>
    <row r="13" spans="1:19" x14ac:dyDescent="0.2">
      <c r="A13" s="230" t="s">
        <v>65</v>
      </c>
      <c r="B13" s="231"/>
      <c r="C13" s="152">
        <f>ROUND(114.43*B29,4)</f>
        <v>114.43</v>
      </c>
      <c r="D13" s="74">
        <f t="shared" si="0"/>
        <v>0</v>
      </c>
      <c r="E13" s="41">
        <f>ROUND(114.4334*B29,4)</f>
        <v>114.43340000000001</v>
      </c>
      <c r="F13" s="74">
        <f t="shared" si="6"/>
        <v>0</v>
      </c>
      <c r="G13" s="41">
        <f>ROUND(114.4334*B29,4)</f>
        <v>114.43340000000001</v>
      </c>
      <c r="H13" s="74">
        <f t="shared" si="1"/>
        <v>0</v>
      </c>
      <c r="I13" s="41">
        <f>ROUND(171.6501*B29,4)</f>
        <v>171.65010000000001</v>
      </c>
      <c r="J13" s="74">
        <f t="shared" si="2"/>
        <v>0</v>
      </c>
      <c r="K13" s="41">
        <f>ROUND(171.6501*B29,4)</f>
        <v>171.65010000000001</v>
      </c>
      <c r="L13" s="74">
        <f t="shared" si="3"/>
        <v>0</v>
      </c>
      <c r="M13" s="41">
        <f>ROUND(171.6501*B29,4)</f>
        <v>171.65010000000001</v>
      </c>
      <c r="N13" s="74">
        <f t="shared" si="4"/>
        <v>0</v>
      </c>
      <c r="O13" s="41">
        <f>ROUND(171.6501*B29,4)</f>
        <v>171.65010000000001</v>
      </c>
      <c r="P13" s="74">
        <f t="shared" si="5"/>
        <v>0</v>
      </c>
      <c r="Q13" s="18"/>
    </row>
    <row r="14" spans="1:19" x14ac:dyDescent="0.2">
      <c r="A14" s="230" t="s">
        <v>66</v>
      </c>
      <c r="B14" s="231"/>
      <c r="C14" s="152">
        <f>ROUND(115.75*B29,4)</f>
        <v>115.75</v>
      </c>
      <c r="D14" s="74">
        <f t="shared" si="0"/>
        <v>0</v>
      </c>
      <c r="E14" s="41">
        <f>ROUND(115.7494*B29,4)</f>
        <v>115.74939999999999</v>
      </c>
      <c r="F14" s="74">
        <f t="shared" si="6"/>
        <v>0</v>
      </c>
      <c r="G14" s="41">
        <f>ROUND(115.7494*B29,4)</f>
        <v>115.74939999999999</v>
      </c>
      <c r="H14" s="74">
        <f t="shared" si="1"/>
        <v>0</v>
      </c>
      <c r="I14" s="41">
        <f>ROUND(173.6241*B29,4)</f>
        <v>173.6241</v>
      </c>
      <c r="J14" s="74">
        <f t="shared" si="2"/>
        <v>0</v>
      </c>
      <c r="K14" s="41">
        <f>ROUND(173.6241*B29,4)</f>
        <v>173.6241</v>
      </c>
      <c r="L14" s="74">
        <f t="shared" si="3"/>
        <v>0</v>
      </c>
      <c r="M14" s="41">
        <f>ROUND(173.6241*B29,4)</f>
        <v>173.6241</v>
      </c>
      <c r="N14" s="74">
        <f t="shared" si="4"/>
        <v>0</v>
      </c>
      <c r="O14" s="41">
        <f>ROUND(173.6241*B29,4)</f>
        <v>173.6241</v>
      </c>
      <c r="P14" s="74">
        <f t="shared" si="5"/>
        <v>0</v>
      </c>
      <c r="Q14" s="18"/>
    </row>
    <row r="15" spans="1:19" x14ac:dyDescent="0.2">
      <c r="A15" s="230" t="s">
        <v>67</v>
      </c>
      <c r="B15" s="231"/>
      <c r="C15" s="152">
        <f>ROUND(117.08*B29,4)</f>
        <v>117.08</v>
      </c>
      <c r="D15" s="74">
        <f t="shared" si="0"/>
        <v>0</v>
      </c>
      <c r="E15" s="41">
        <f>ROUND(117.0805*B29,4)</f>
        <v>117.0805</v>
      </c>
      <c r="F15" s="74">
        <f t="shared" si="6"/>
        <v>0</v>
      </c>
      <c r="G15" s="41">
        <f>ROUND(117.0805*B29,4)</f>
        <v>117.0805</v>
      </c>
      <c r="H15" s="74">
        <f t="shared" si="1"/>
        <v>0</v>
      </c>
      <c r="I15" s="41">
        <f>ROUND(175.6208*B29,4)</f>
        <v>175.6208</v>
      </c>
      <c r="J15" s="74">
        <f t="shared" si="2"/>
        <v>0</v>
      </c>
      <c r="K15" s="41">
        <f>ROUND(175.6208*B29,4)</f>
        <v>175.6208</v>
      </c>
      <c r="L15" s="74">
        <f t="shared" si="3"/>
        <v>0</v>
      </c>
      <c r="M15" s="41">
        <f>ROUND(175.6208*B29,4)</f>
        <v>175.6208</v>
      </c>
      <c r="N15" s="74">
        <f t="shared" si="4"/>
        <v>0</v>
      </c>
      <c r="O15" s="41">
        <f>ROUND(175.6208*B29,4)</f>
        <v>175.6208</v>
      </c>
      <c r="P15" s="74">
        <f t="shared" si="5"/>
        <v>0</v>
      </c>
      <c r="Q15" s="18"/>
    </row>
    <row r="16" spans="1:19" x14ac:dyDescent="0.2">
      <c r="A16" s="230" t="s">
        <v>68</v>
      </c>
      <c r="B16" s="231"/>
      <c r="C16" s="152">
        <f>ROUND(118.43*B29,4)</f>
        <v>118.43</v>
      </c>
      <c r="D16" s="74">
        <f t="shared" si="0"/>
        <v>0</v>
      </c>
      <c r="E16" s="41">
        <f>ROUND(118.4269*B29,4)</f>
        <v>118.4269</v>
      </c>
      <c r="F16" s="74">
        <f t="shared" si="6"/>
        <v>0</v>
      </c>
      <c r="G16" s="41">
        <f>ROUND(118.4269*B29,4)</f>
        <v>118.4269</v>
      </c>
      <c r="H16" s="74">
        <f t="shared" si="1"/>
        <v>0</v>
      </c>
      <c r="I16" s="41">
        <f>ROUND(177.6404*B29,4)</f>
        <v>177.6404</v>
      </c>
      <c r="J16" s="74">
        <f t="shared" si="2"/>
        <v>0</v>
      </c>
      <c r="K16" s="41">
        <f>ROUND(177.6404*B29,4)</f>
        <v>177.6404</v>
      </c>
      <c r="L16" s="74">
        <f t="shared" si="3"/>
        <v>0</v>
      </c>
      <c r="M16" s="41">
        <f>ROUND(177.6404*B29,4)</f>
        <v>177.6404</v>
      </c>
      <c r="N16" s="74">
        <f t="shared" si="4"/>
        <v>0</v>
      </c>
      <c r="O16" s="41">
        <f>ROUND(177.6404*B29,4)</f>
        <v>177.6404</v>
      </c>
      <c r="P16" s="74">
        <f t="shared" si="5"/>
        <v>0</v>
      </c>
      <c r="Q16" s="18"/>
    </row>
    <row r="17" spans="1:17" x14ac:dyDescent="0.2">
      <c r="A17" s="230" t="s">
        <v>69</v>
      </c>
      <c r="B17" s="231"/>
      <c r="C17" s="152">
        <f>ROUND(119.79*B29,4)</f>
        <v>119.79</v>
      </c>
      <c r="D17" s="74">
        <f t="shared" si="0"/>
        <v>0</v>
      </c>
      <c r="E17" s="41">
        <f>ROUND(119.7888*B29,4)</f>
        <v>119.78879999999999</v>
      </c>
      <c r="F17" s="74">
        <f t="shared" si="6"/>
        <v>0</v>
      </c>
      <c r="G17" s="41">
        <f>ROUND(119.7888*B29,4)</f>
        <v>119.78879999999999</v>
      </c>
      <c r="H17" s="74">
        <f t="shared" si="1"/>
        <v>0</v>
      </c>
      <c r="I17" s="41">
        <f>ROUND(179.6833*B29,4)</f>
        <v>179.6833</v>
      </c>
      <c r="J17" s="74">
        <f t="shared" si="2"/>
        <v>0</v>
      </c>
      <c r="K17" s="41">
        <f>ROUND(179.6833*B29,4)</f>
        <v>179.6833</v>
      </c>
      <c r="L17" s="74">
        <f t="shared" si="3"/>
        <v>0</v>
      </c>
      <c r="M17" s="41">
        <f>ROUND(179.6833*B29,4)</f>
        <v>179.6833</v>
      </c>
      <c r="N17" s="74">
        <f t="shared" si="4"/>
        <v>0</v>
      </c>
      <c r="O17" s="41">
        <f>ROUND(179.6833*B29,4)</f>
        <v>179.6833</v>
      </c>
      <c r="P17" s="74">
        <f t="shared" si="5"/>
        <v>0</v>
      </c>
      <c r="Q17" s="18"/>
    </row>
    <row r="18" spans="1:17" x14ac:dyDescent="0.2">
      <c r="A18" s="230" t="s">
        <v>70</v>
      </c>
      <c r="B18" s="231"/>
      <c r="C18" s="152">
        <f>ROUND(121.17*B29,4)</f>
        <v>121.17</v>
      </c>
      <c r="D18" s="74">
        <f t="shared" si="0"/>
        <v>0</v>
      </c>
      <c r="E18" s="41">
        <f>ROUND(121.1664*B29,4)</f>
        <v>121.1664</v>
      </c>
      <c r="F18" s="74">
        <f t="shared" si="6"/>
        <v>0</v>
      </c>
      <c r="G18" s="41">
        <f>ROUND(121.1664*B29,4)</f>
        <v>121.1664</v>
      </c>
      <c r="H18" s="74">
        <f t="shared" si="1"/>
        <v>0</v>
      </c>
      <c r="I18" s="41">
        <f>ROUND(181.7497*B29,4)</f>
        <v>181.74969999999999</v>
      </c>
      <c r="J18" s="74">
        <f t="shared" si="2"/>
        <v>0</v>
      </c>
      <c r="K18" s="41">
        <f>ROUND(181.7497*B29,4)</f>
        <v>181.74969999999999</v>
      </c>
      <c r="L18" s="74">
        <f t="shared" si="3"/>
        <v>0</v>
      </c>
      <c r="M18" s="41">
        <f>ROUND(181.7497*B29,4)</f>
        <v>181.74969999999999</v>
      </c>
      <c r="N18" s="74">
        <f t="shared" si="4"/>
        <v>0</v>
      </c>
      <c r="O18" s="41">
        <f>ROUND(181.7497*B29,4)</f>
        <v>181.74969999999999</v>
      </c>
      <c r="P18" s="74">
        <f t="shared" si="5"/>
        <v>0</v>
      </c>
      <c r="Q18" s="18"/>
    </row>
    <row r="19" spans="1:17" x14ac:dyDescent="0.2">
      <c r="A19" s="230" t="s">
        <v>71</v>
      </c>
      <c r="B19" s="231"/>
      <c r="C19" s="152">
        <f>ROUND(122.56*B29,4)</f>
        <v>122.56</v>
      </c>
      <c r="D19" s="74">
        <f t="shared" si="0"/>
        <v>0</v>
      </c>
      <c r="E19" s="41">
        <f>ROUND(122.5598*B29,4)</f>
        <v>122.5598</v>
      </c>
      <c r="F19" s="74">
        <f t="shared" si="6"/>
        <v>0</v>
      </c>
      <c r="G19" s="41">
        <f>ROUND(122.5598*B29,4)</f>
        <v>122.5598</v>
      </c>
      <c r="H19" s="74">
        <f t="shared" si="1"/>
        <v>0</v>
      </c>
      <c r="I19" s="41">
        <f>ROUND(183.8398*B29,4)</f>
        <v>183.8398</v>
      </c>
      <c r="J19" s="74">
        <f t="shared" si="2"/>
        <v>0</v>
      </c>
      <c r="K19" s="41">
        <f>ROUND(183.8398*B29,4)</f>
        <v>183.8398</v>
      </c>
      <c r="L19" s="74">
        <f t="shared" si="3"/>
        <v>0</v>
      </c>
      <c r="M19" s="41">
        <f>ROUND(183.8398*B29,4)</f>
        <v>183.8398</v>
      </c>
      <c r="N19" s="74">
        <f t="shared" si="4"/>
        <v>0</v>
      </c>
      <c r="O19" s="41">
        <f>ROUND(183.8398*B29,4)</f>
        <v>183.8398</v>
      </c>
      <c r="P19" s="74">
        <f t="shared" si="5"/>
        <v>0</v>
      </c>
      <c r="Q19" s="18"/>
    </row>
    <row r="20" spans="1:17" s="48" customFormat="1" ht="15" x14ac:dyDescent="0.25">
      <c r="A20" s="212" t="s">
        <v>184</v>
      </c>
      <c r="B20" s="213"/>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5"/>
    </row>
    <row r="21" spans="1:17" ht="15" thickBot="1" x14ac:dyDescent="0.25">
      <c r="A21" s="17"/>
      <c r="Q21" s="18"/>
    </row>
    <row r="22" spans="1:17" ht="15.75" thickBot="1" x14ac:dyDescent="0.3">
      <c r="A22" s="217" t="s">
        <v>185</v>
      </c>
      <c r="B22" s="218"/>
      <c r="C22" s="86">
        <f>SUM(D20:P20)</f>
        <v>0</v>
      </c>
      <c r="D22" s="49"/>
      <c r="Q22" s="18"/>
    </row>
    <row r="23" spans="1:17" x14ac:dyDescent="0.2">
      <c r="A23" s="17"/>
      <c r="Q23" s="18"/>
    </row>
    <row r="24" spans="1:17" ht="15" x14ac:dyDescent="0.25">
      <c r="A24" s="87" t="s">
        <v>109</v>
      </c>
      <c r="B24" s="68"/>
      <c r="Q24" s="18"/>
    </row>
    <row r="25" spans="1:17" ht="15" x14ac:dyDescent="0.25">
      <c r="A25" s="88" t="s">
        <v>110</v>
      </c>
      <c r="B25" s="151">
        <v>0</v>
      </c>
      <c r="Q25" s="18"/>
    </row>
    <row r="26" spans="1:17" ht="15" x14ac:dyDescent="0.25">
      <c r="A26" s="88" t="s">
        <v>111</v>
      </c>
      <c r="B26" s="151">
        <v>0</v>
      </c>
      <c r="Q26" s="18"/>
    </row>
    <row r="27" spans="1:17" ht="15" x14ac:dyDescent="0.25">
      <c r="A27" s="88" t="s">
        <v>112</v>
      </c>
      <c r="B27" s="151">
        <f>B26-B25</f>
        <v>0</v>
      </c>
      <c r="Q27" s="18"/>
    </row>
    <row r="28" spans="1:17" ht="15" x14ac:dyDescent="0.25">
      <c r="A28" s="88" t="s">
        <v>114</v>
      </c>
      <c r="B28" s="151">
        <f>IFERROR(B27/B25,0)</f>
        <v>0</v>
      </c>
      <c r="Q28" s="18"/>
    </row>
    <row r="29" spans="1:17" ht="15" x14ac:dyDescent="0.25">
      <c r="A29" s="88" t="s">
        <v>113</v>
      </c>
      <c r="B29" s="151">
        <f>B28+1</f>
        <v>1</v>
      </c>
      <c r="Q29" s="18"/>
    </row>
    <row r="30" spans="1:17" x14ac:dyDescent="0.2">
      <c r="A30" s="17"/>
      <c r="Q30" s="18"/>
    </row>
    <row r="31" spans="1:17" x14ac:dyDescent="0.2">
      <c r="A31" s="81" t="s">
        <v>57</v>
      </c>
      <c r="C31" s="50"/>
      <c r="Q31" s="18"/>
    </row>
    <row r="32" spans="1:17" x14ac:dyDescent="0.2">
      <c r="A32" s="81" t="s">
        <v>75</v>
      </c>
      <c r="C32" s="162"/>
      <c r="Q32" s="18"/>
    </row>
    <row r="33" spans="1:17" ht="15" thickBot="1" x14ac:dyDescent="0.25">
      <c r="A33" s="84" t="s">
        <v>59</v>
      </c>
      <c r="B33" s="54"/>
      <c r="C33" s="54"/>
      <c r="D33" s="54"/>
      <c r="E33" s="55"/>
      <c r="F33" s="54"/>
      <c r="G33" s="55"/>
      <c r="H33" s="54"/>
      <c r="I33" s="55"/>
      <c r="J33" s="54"/>
      <c r="K33" s="55"/>
      <c r="L33" s="54"/>
      <c r="M33" s="55"/>
      <c r="N33" s="54"/>
      <c r="O33" s="55"/>
      <c r="P33" s="54"/>
      <c r="Q33" s="56"/>
    </row>
    <row r="35" spans="1:17" ht="65.25" customHeight="1" x14ac:dyDescent="0.2">
      <c r="A35" s="235" t="s">
        <v>186</v>
      </c>
      <c r="B35" s="236"/>
      <c r="C35" s="236"/>
      <c r="D35" s="236"/>
      <c r="E35" s="236"/>
      <c r="F35" s="236"/>
      <c r="G35" s="236"/>
      <c r="H35" s="236"/>
      <c r="I35" s="236"/>
      <c r="J35" s="236"/>
      <c r="K35" s="236"/>
      <c r="L35" s="236"/>
      <c r="M35" s="236"/>
      <c r="N35" s="236"/>
      <c r="O35" s="236"/>
      <c r="P35" s="236"/>
      <c r="Q35" s="236"/>
    </row>
  </sheetData>
  <mergeCells count="32">
    <mergeCell ref="A35:Q35"/>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 ref="M9:N9"/>
    <mergeCell ref="O9:P9"/>
    <mergeCell ref="A10:B10"/>
    <mergeCell ref="A11:B11"/>
    <mergeCell ref="A12:B12"/>
    <mergeCell ref="I9:J9"/>
    <mergeCell ref="A19:B19"/>
    <mergeCell ref="A20:B20"/>
    <mergeCell ref="A22:B22"/>
    <mergeCell ref="A18:B18"/>
    <mergeCell ref="K9:L9"/>
    <mergeCell ref="A13:B13"/>
    <mergeCell ref="A14:B14"/>
    <mergeCell ref="A15:B15"/>
    <mergeCell ref="A16:B16"/>
    <mergeCell ref="A17:B17"/>
  </mergeCells>
  <pageMargins left="0.25" right="0.25" top="0.25" bottom="0.25" header="0.3" footer="0.3"/>
  <pageSetup scale="43"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0A7F741C9CFD43BCA2794B475BB2DE" ma:contentTypeVersion="13" ma:contentTypeDescription="Create a new document." ma:contentTypeScope="" ma:versionID="17a80979e635abf436bb1aa6e4606201">
  <xsd:schema xmlns:xsd="http://www.w3.org/2001/XMLSchema" xmlns:xs="http://www.w3.org/2001/XMLSchema" xmlns:p="http://schemas.microsoft.com/office/2006/metadata/properties" xmlns:ns3="73d32005-9a31-4487-84ef-27ef6e6f9898" xmlns:ns4="ee3f6521-e3c3-4bb0-86ec-45d70d6a6864" targetNamespace="http://schemas.microsoft.com/office/2006/metadata/properties" ma:root="true" ma:fieldsID="d0757c68a247ac9c1e6305e76a131e35" ns3:_="" ns4:_="">
    <xsd:import namespace="73d32005-9a31-4487-84ef-27ef6e6f9898"/>
    <xsd:import namespace="ee3f6521-e3c3-4bb0-86ec-45d70d6a686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LengthInSecond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32005-9a31-4487-84ef-27ef6e6f98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f6521-e3c3-4bb0-86ec-45d70d6a686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2.xml><?xml version="1.0" encoding="utf-8"?>
<ds:datastoreItem xmlns:ds="http://schemas.openxmlformats.org/officeDocument/2006/customXml" ds:itemID="{C6BACA0B-ECCD-40B2-AE01-3B20D9174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32005-9a31-4487-84ef-27ef6e6f9898"/>
    <ds:schemaRef ds:uri="ee3f6521-e3c3-4bb0-86ec-45d70d6a6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B8B144-72FF-48AF-81BC-B2B0FDB503E0}">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www.w3.org/XML/1998/namespace"/>
    <ds:schemaRef ds:uri="http://purl.org/dc/elements/1.1/"/>
    <ds:schemaRef ds:uri="ee3f6521-e3c3-4bb0-86ec-45d70d6a6864"/>
    <ds:schemaRef ds:uri="73d32005-9a31-4487-84ef-27ef6e6f989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Sch A - Cost Summary DDI</vt:lpstr>
      <vt:lpstr>Sch B- DDI Pmnt Milestone</vt:lpstr>
      <vt:lpstr>Sch C - Cost of Ops</vt:lpstr>
      <vt:lpstr>Sch D - Enhcmt Pool Hrs</vt:lpstr>
      <vt:lpstr>Sch E - Resource Hourly Rates</vt:lpstr>
      <vt:lpstr>F-1 Provider Svcs DDI Costs</vt:lpstr>
      <vt:lpstr>F-2 Provider Svcs Ops Costs</vt:lpstr>
      <vt:lpstr>F-3 Provider Svcs DDI Pool Cost</vt:lpstr>
      <vt:lpstr>F-4 Provider Svcs Ops Pool</vt:lpstr>
      <vt:lpstr>G-1 Provider Svcs DDI Cost</vt:lpstr>
      <vt:lpstr>G-2 Provider Svcs Ops Cost</vt:lpstr>
      <vt:lpstr>G-3 Provider Svcs DDI Pool</vt:lpstr>
      <vt:lpstr>G-4 Provider Svcs Ops Pool</vt:lpstr>
      <vt:lpstr>H-1 Provider Svcs DDI Cost</vt:lpstr>
      <vt:lpstr>H-2 Provider Svcs Ops Cost</vt:lpstr>
      <vt:lpstr>H-3 Provider Svcs DDI Pool</vt:lpstr>
      <vt:lpstr>H-4 Provider Svcs Ops Pool</vt:lpstr>
      <vt:lpstr>Sheet1</vt:lpstr>
      <vt:lpstr>'F-1 Provider Svcs DDI Costs'!Print_Area</vt:lpstr>
      <vt:lpstr>'F-2 Provider Svcs Ops Costs'!Print_Area</vt:lpstr>
      <vt:lpstr>'F-3 Provider Svcs DDI Pool Cost'!Print_Area</vt:lpstr>
      <vt:lpstr>'F-4 Provider Svcs Ops Pool'!Print_Area</vt:lpstr>
      <vt:lpstr>'G-1 Provider Svcs DDI Cost'!Print_Area</vt:lpstr>
      <vt:lpstr>'G-2 Provider Svcs Ops Cost'!Print_Area</vt:lpstr>
      <vt:lpstr>'G-3 Provider Svcs DDI Pool'!Print_Area</vt:lpstr>
      <vt:lpstr>'G-4 Provider Svcs Ops Pool'!Print_Area</vt:lpstr>
      <vt:lpstr>'H-1 Provider Svcs DDI Cost'!Print_Area</vt:lpstr>
      <vt:lpstr>'H-2 Provider Svcs Ops Cost'!Print_Area</vt:lpstr>
      <vt:lpstr>'H-3 Provider Svcs DDI Pool'!Print_Area</vt:lpstr>
      <vt:lpstr>'H-4 Provider Svcs Ops Pool'!Print_Area</vt:lpstr>
      <vt:lpstr>'Sch D - Enhcmt Pool Hrs'!Print_Area</vt:lpstr>
      <vt:lpstr>'F-1 Provider Svcs DDI Costs'!Print_Titles</vt:lpstr>
      <vt:lpstr>'F-4 Provider Svcs Ops Pool'!Print_Titles</vt:lpstr>
      <vt:lpstr>'G-1 Provider Svcs DDI Cost'!Print_Titles</vt:lpstr>
      <vt:lpstr>'G-4 Provider Svcs Ops Pool'!Print_Titles</vt:lpstr>
      <vt:lpstr>'H-1 Provider Svcs DDI Cost'!Print_Titles</vt:lpstr>
      <vt:lpstr>'H-4 Provider Svcs Ops Pool'!Print_Titles</vt:lpstr>
      <vt:lpstr>'Sch B- DDI Pmnt Milestone'!Print_Titles</vt:lpstr>
      <vt:lpstr>'Sch C - Cost of Ops'!Print_Titles</vt:lpstr>
      <vt:lpstr>'Sch D - Enhcmt Pool Hrs'!Print_Titles</vt:lpstr>
      <vt:lpstr>'Sch E - Resource Hourly Rates'!Print_Titles</vt:lpstr>
    </vt:vector>
  </TitlesOfParts>
  <Manager/>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dphhs</dc:creator>
  <cp:keywords/>
  <dc:description/>
  <cp:lastModifiedBy>Ryan Hatton</cp:lastModifiedBy>
  <cp:revision/>
  <cp:lastPrinted>2018-12-05T17:48:30Z</cp:lastPrinted>
  <dcterms:created xsi:type="dcterms:W3CDTF">2017-01-24T17:14:02Z</dcterms:created>
  <dcterms:modified xsi:type="dcterms:W3CDTF">2022-09-23T18:15:27Z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0x010100C10A7F741C9CFD43BCA2794B475BB2DE</vt:lpwstr>
  </property>
</Properties>
</file>