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bobbarker.sharepoint.com/sites/shares/Shared Documents/Teams/Bids/Bids/Bid Spreadsheets/Sabrina H/NASPO/"/>
    </mc:Choice>
  </mc:AlternateContent>
  <xr:revisionPtr revIDLastSave="799" documentId="8_{B7D70355-79DB-4B22-9E37-177D5EFD0631}" xr6:coauthVersionLast="47" xr6:coauthVersionMax="47" xr10:uidLastSave="{A91DE256-9AF1-4721-937E-A56C09A8AC59}"/>
  <bookViews>
    <workbookView xWindow="-110" yWindow="-110" windowWidth="22780" windowHeight="14540" firstSheet="1" activeTab="3" xr2:uid="{7E6C6E4F-1182-4C2F-94F8-172BF9D0061F}"/>
  </bookViews>
  <sheets>
    <sheet name="Instruction" sheetId="1" r:id="rId1"/>
    <sheet name="Number Proposed categories" sheetId="2" r:id="rId2"/>
    <sheet name="Market Basket Evaluation" sheetId="4" r:id="rId3"/>
    <sheet name="Products Discount % Off Eval" sheetId="5" r:id="rId4"/>
    <sheet name="Product Volume Discount" sheetId="6" r:id="rId5"/>
  </sheets>
  <definedNames>
    <definedName name="_xlnm.Print_Area" localSheetId="3">'Products Discount % Off Eval'!$A:$F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2" i="4" l="1"/>
  <c r="E161" i="4"/>
  <c r="E160" i="4"/>
  <c r="E310" i="4" l="1"/>
  <c r="E309" i="4"/>
  <c r="E308" i="4"/>
  <c r="E307" i="4"/>
  <c r="E306" i="4"/>
  <c r="E305" i="4"/>
  <c r="E303" i="4"/>
  <c r="E302" i="4"/>
  <c r="E301" i="4"/>
  <c r="E299" i="4"/>
  <c r="E298" i="4"/>
  <c r="E297" i="4"/>
  <c r="E296" i="4"/>
  <c r="E295" i="4"/>
  <c r="E294" i="4"/>
  <c r="E292" i="4"/>
  <c r="E291" i="4"/>
  <c r="E290" i="4"/>
  <c r="E289" i="4"/>
  <c r="E288" i="4"/>
  <c r="E287" i="4"/>
  <c r="E283" i="4"/>
  <c r="E282" i="4"/>
  <c r="E281" i="4"/>
  <c r="E279" i="4"/>
  <c r="E273" i="4"/>
  <c r="E271" i="4"/>
  <c r="E269" i="4"/>
  <c r="E268" i="4"/>
  <c r="E267" i="4"/>
  <c r="E266" i="4"/>
  <c r="E264" i="4"/>
  <c r="E263" i="4"/>
  <c r="E261" i="4"/>
  <c r="E260" i="4"/>
  <c r="E258" i="4"/>
  <c r="E256" i="4"/>
  <c r="E255" i="4"/>
  <c r="E254" i="4"/>
  <c r="E252" i="4"/>
  <c r="E248" i="4"/>
  <c r="E247" i="4"/>
  <c r="E246" i="4"/>
  <c r="E245" i="4"/>
  <c r="E244" i="4"/>
  <c r="E243" i="4"/>
  <c r="E242" i="4"/>
  <c r="E241" i="4"/>
  <c r="E240" i="4"/>
  <c r="E239" i="4"/>
  <c r="E238" i="4"/>
  <c r="E237" i="4"/>
  <c r="E236" i="4"/>
  <c r="E235" i="4"/>
  <c r="E234" i="4"/>
  <c r="E232" i="4"/>
  <c r="E231" i="4"/>
  <c r="E230" i="4"/>
  <c r="E229" i="4"/>
  <c r="E228" i="4"/>
  <c r="E224" i="4"/>
  <c r="E222" i="4"/>
  <c r="E221" i="4"/>
  <c r="E220" i="4"/>
  <c r="E219" i="4"/>
  <c r="E212" i="4"/>
  <c r="E211" i="4"/>
  <c r="E209" i="4"/>
  <c r="E208" i="4"/>
  <c r="E206" i="4"/>
  <c r="E205" i="4"/>
  <c r="E203" i="4"/>
  <c r="E197" i="4"/>
  <c r="E198" i="4"/>
  <c r="E199" i="4"/>
  <c r="E200" i="4"/>
  <c r="E201" i="4"/>
  <c r="E196" i="4"/>
  <c r="E195" i="4"/>
  <c r="E190" i="4"/>
  <c r="E188" i="4"/>
  <c r="E187" i="4"/>
  <c r="E186" i="4"/>
  <c r="E182" i="4"/>
  <c r="E181" i="4"/>
  <c r="E180" i="4"/>
  <c r="E178" i="4"/>
  <c r="E177" i="4"/>
  <c r="E175" i="4"/>
  <c r="E174" i="4"/>
  <c r="E172" i="4"/>
  <c r="E171" i="4"/>
  <c r="C172" i="4"/>
  <c r="C171" i="4"/>
  <c r="E169" i="4"/>
  <c r="E168" i="4"/>
  <c r="E167" i="4"/>
  <c r="E166" i="4"/>
  <c r="E164" i="4"/>
  <c r="E156" i="4"/>
  <c r="E155" i="4"/>
  <c r="E154" i="4"/>
  <c r="E153" i="4"/>
  <c r="E152" i="4"/>
  <c r="E151" i="4"/>
  <c r="E150" i="4"/>
  <c r="E148" i="4"/>
  <c r="E147" i="4"/>
  <c r="E146" i="4"/>
  <c r="E145" i="4"/>
  <c r="E143" i="4"/>
  <c r="E142" i="4"/>
  <c r="E139" i="4"/>
  <c r="E138" i="4"/>
  <c r="E136" i="4"/>
  <c r="E135" i="4"/>
  <c r="E134" i="4"/>
  <c r="E132" i="4"/>
  <c r="E131" i="4"/>
  <c r="E130" i="4"/>
  <c r="E128" i="4"/>
  <c r="E127" i="4"/>
  <c r="E125" i="4"/>
  <c r="E124" i="4"/>
  <c r="E123" i="4"/>
  <c r="E121" i="4"/>
  <c r="E120" i="4"/>
  <c r="E116" i="4"/>
  <c r="E114" i="4"/>
  <c r="E113" i="4"/>
  <c r="E112" i="4"/>
  <c r="E111" i="4"/>
  <c r="E109" i="4"/>
  <c r="E108" i="4"/>
  <c r="E107" i="4"/>
  <c r="E106" i="4"/>
  <c r="E105" i="4"/>
  <c r="E103" i="4"/>
  <c r="E102" i="4"/>
  <c r="E101" i="4"/>
  <c r="E100" i="4"/>
  <c r="E99" i="4"/>
  <c r="E98" i="4"/>
  <c r="E97" i="4"/>
  <c r="E95" i="4"/>
  <c r="E94" i="4"/>
  <c r="E93" i="4"/>
  <c r="E92" i="4"/>
  <c r="E88" i="4"/>
  <c r="E87" i="4"/>
  <c r="E86" i="4"/>
  <c r="E85" i="4"/>
  <c r="E84" i="4"/>
  <c r="E83" i="4"/>
  <c r="E82" i="4"/>
  <c r="E81" i="4"/>
  <c r="E79" i="4"/>
  <c r="E78" i="4"/>
  <c r="E77" i="4"/>
  <c r="E75" i="4"/>
  <c r="E74" i="4"/>
  <c r="E72" i="4"/>
  <c r="E71" i="4"/>
  <c r="E70" i="4"/>
  <c r="E68" i="4"/>
  <c r="E67" i="4"/>
  <c r="E66" i="4"/>
  <c r="E65" i="4"/>
  <c r="E63" i="4"/>
  <c r="E62" i="4"/>
  <c r="E61" i="4"/>
  <c r="E57" i="4"/>
  <c r="E56" i="4"/>
  <c r="E55" i="4"/>
  <c r="E54" i="4"/>
  <c r="E53" i="4"/>
  <c r="E52" i="4"/>
  <c r="E51" i="4"/>
  <c r="E49" i="4"/>
  <c r="E48" i="4"/>
  <c r="E47" i="4"/>
  <c r="E46" i="4"/>
  <c r="E45" i="4"/>
  <c r="E43" i="4"/>
  <c r="E42" i="4"/>
  <c r="E40" i="4"/>
  <c r="E39" i="4"/>
  <c r="E37" i="4"/>
  <c r="E33" i="4"/>
  <c r="E32" i="4"/>
  <c r="E35" i="4"/>
  <c r="E34" i="4"/>
  <c r="E29" i="4"/>
  <c r="E21" i="4"/>
  <c r="E22" i="4"/>
  <c r="E23" i="4"/>
  <c r="E24" i="4"/>
  <c r="E25" i="4"/>
  <c r="E26" i="4"/>
  <c r="E27" i="4"/>
  <c r="E20" i="4"/>
  <c r="C308" i="4" l="1"/>
  <c r="C282" i="4"/>
  <c r="C281" i="4"/>
  <c r="C279" i="4"/>
  <c r="C273" i="4"/>
  <c r="C258" i="4"/>
  <c r="C211" i="4"/>
  <c r="C206" i="4"/>
  <c r="C167" i="4"/>
  <c r="C153" i="4"/>
  <c r="E311" i="4" l="1"/>
  <c r="E284" i="4"/>
  <c r="E249" i="4"/>
  <c r="E225" i="4"/>
  <c r="E191" i="4"/>
  <c r="E157" i="4"/>
  <c r="E117" i="4"/>
  <c r="E89" i="4"/>
  <c r="E58" i="4"/>
</calcChain>
</file>

<file path=xl/sharedStrings.xml><?xml version="1.0" encoding="utf-8"?>
<sst xmlns="http://schemas.openxmlformats.org/spreadsheetml/2006/main" count="544" uniqueCount="389">
  <si>
    <t>Request for Proposals for</t>
  </si>
  <si>
    <t>Products and Supplies for Correctional Facilities and Incarcerated Individuals</t>
  </si>
  <si>
    <t>Issued by the State of South Carolina</t>
  </si>
  <si>
    <t>Solicitation Number 5400027173</t>
  </si>
  <si>
    <t>COST PROPOSAL</t>
  </si>
  <si>
    <t xml:space="preserve">INSTRUCTION: </t>
  </si>
  <si>
    <t>1. This Cost Proposal form consists of multiple sections. (Tabs at the bottom of the spreadsheet)</t>
  </si>
  <si>
    <t>Section 1: Number of Proposed Categories ( Green Tab)</t>
  </si>
  <si>
    <t>Section 2: Market Basket Evaluation ( Orange Tab)</t>
  </si>
  <si>
    <t>Section 3: Discount % off Evaluation (Blue Tab)</t>
  </si>
  <si>
    <t xml:space="preserve">Section 4: Volume Discount Evaluation (Purple tab) </t>
  </si>
  <si>
    <t xml:space="preserve">2. Offeror must complete all required elements of this Cost Proposal. The Format and Structure of the Cost Proposal is intended to allow for a fair evaluation of like </t>
  </si>
  <si>
    <t xml:space="preserve">cost among Offerors. Deviation from the format or structure of this Cost Proposal may result in Offeror's proposal being deemed non-responsive. </t>
  </si>
  <si>
    <t xml:space="preserve">3. Offeror is wholly responsible for ensuring figures and calculations submitted in offeror's completed Cost Proposal are accurate, even if formulas have been </t>
  </si>
  <si>
    <t>provided by the Lead State as a courtesy.</t>
  </si>
  <si>
    <t xml:space="preserve">4. Inclusion of cost or pricing information in any document other than this Cost Proposal may result in Offeror's proposal being deemed non-responsive. </t>
  </si>
  <si>
    <t>5. Offeror's Cost must be inclusive of all fees and charges, including but not limited to fees or charges for shipping, delivery, credit card payments, or personnel.</t>
  </si>
  <si>
    <t xml:space="preserve">6. In addition to the Cost Proposal evaluation described in this RFP, Cost Proposals may also be subject to an Independent review for reasonableness and best </t>
  </si>
  <si>
    <t xml:space="preserve">value by the Lead State and may result in all or part of the Offeror's proposal being rejected, notwithstanding the results of the Cost Proposal evaluation. </t>
  </si>
  <si>
    <t xml:space="preserve">7. It is the Offeror's responsibility to ensure it has completed all tabs and required inputs based on its proposed products and services. </t>
  </si>
  <si>
    <t>Section 1: Number of Proposed Categories</t>
  </si>
  <si>
    <t>Products &amp; Supplies for Correctional Facilities and Incarcerated Individuals</t>
  </si>
  <si>
    <t>ADDITIONAL INSTRUCTION:</t>
  </si>
  <si>
    <t xml:space="preserve">1. Offeror is to input in the Blue highlighted fields a "Yes" or "No" on whether Offeror is seeking an award in the </t>
  </si>
  <si>
    <t xml:space="preserve">respective Category. </t>
  </si>
  <si>
    <t>2. Offeror should input "No" if it is not proposing for the given Category. If a field is left blank it is assumed that</t>
  </si>
  <si>
    <t xml:space="preserve">Offeror is not proposing for an award in that Category. </t>
  </si>
  <si>
    <t>3. All categories Offeror selects that "Yes" it is proposing for an award must subsequently include a complete</t>
  </si>
  <si>
    <t>proposal to section 2 (Market baskets Evaluation) and Section 3 (Discount % Off Evaluation) for the respective</t>
  </si>
  <si>
    <t xml:space="preserve">category. Failure to submit a complete Cost Proposal for each Category Offeror is seeking an award in may result </t>
  </si>
  <si>
    <t>in disqualification of Offeror's proposal to that category.</t>
  </si>
  <si>
    <t xml:space="preserve">Category # </t>
  </si>
  <si>
    <t>Category Description</t>
  </si>
  <si>
    <t>Insert Yes/No for Categories you are seeking Award</t>
  </si>
  <si>
    <t>Clothing and Uniforms for Incarcerated Persons</t>
  </si>
  <si>
    <t>Undergarments for Incarcerated Persons</t>
  </si>
  <si>
    <t>Footwear for Incarcerated Persons</t>
  </si>
  <si>
    <t>Personal Hygiene &amp; Pesonal Care Products</t>
  </si>
  <si>
    <t>Mattresses &amp; Linens</t>
  </si>
  <si>
    <t>Facility - Evidence &amp; Inmate Property Storage</t>
  </si>
  <si>
    <t>Facility - Kitchen</t>
  </si>
  <si>
    <t>Facility - Laundry Supplies &amp; Equipment</t>
  </si>
  <si>
    <t>Recreation Equipment</t>
  </si>
  <si>
    <t>Section 2: Market Basket Evaluation</t>
  </si>
  <si>
    <t xml:space="preserve">1. Offeror must complete all required fields C-G, (fields in a Green highlight) on this Cost Proposal. The format and </t>
  </si>
  <si>
    <t xml:space="preserve">structure of the Cost Proposal is intended to allow for a fair market basket type evaluation of like cost among </t>
  </si>
  <si>
    <t>Offerors. Deviation from the format or structure of this Cost Proposal may result in Offeror's proposal being</t>
  </si>
  <si>
    <t xml:space="preserve">deemed non-responsive. </t>
  </si>
  <si>
    <t>2. Offeror is wholly responsible for ensuring figures and calculations submitted in Offeror's completed Cost</t>
  </si>
  <si>
    <t>proposal as accurate, even if formulars have been provided by the Lead State as a courtsey.</t>
  </si>
  <si>
    <t>Category #</t>
  </si>
  <si>
    <t>Category</t>
  </si>
  <si>
    <t>List Price</t>
  </si>
  <si>
    <t>Minimum Discount % Off</t>
  </si>
  <si>
    <t>Extended Price</t>
  </si>
  <si>
    <t>Clothing and Uniforms</t>
  </si>
  <si>
    <t>Uniforms, Jumpsuits &amp; Scrubs</t>
  </si>
  <si>
    <t>Outerwear (Jackets &amp; Coats)</t>
  </si>
  <si>
    <t>Activewear</t>
  </si>
  <si>
    <t>Transport Clothing</t>
  </si>
  <si>
    <t xml:space="preserve">Release Clothing (Jeans or Sweatpants) </t>
  </si>
  <si>
    <t>Disposable Clothing</t>
  </si>
  <si>
    <t xml:space="preserve">Court Clothing </t>
  </si>
  <si>
    <t>Other Subcategories</t>
  </si>
  <si>
    <t>Cap, Baseball Orange - 12 ea/cs</t>
  </si>
  <si>
    <t>Undergarments</t>
  </si>
  <si>
    <t>Men's Underwear &amp; Socks</t>
  </si>
  <si>
    <t>Women's underwear &amp; Socks</t>
  </si>
  <si>
    <t>Bra, White Glamorise 36B - 1 ea</t>
  </si>
  <si>
    <t>Socks (Unisex)</t>
  </si>
  <si>
    <t xml:space="preserve">Slipper Socks </t>
  </si>
  <si>
    <t>Disposables</t>
  </si>
  <si>
    <t>Footwear</t>
  </si>
  <si>
    <t>Sandles, Shower Shoes &amp; Flip-Flops</t>
  </si>
  <si>
    <t>Slippers, Step-Ins &amp; Pullovers</t>
  </si>
  <si>
    <t>Tennis Shoes</t>
  </si>
  <si>
    <t>Boots</t>
  </si>
  <si>
    <t>Shoe Accessories</t>
  </si>
  <si>
    <t>Personal Hygiene</t>
  </si>
  <si>
    <t>Combs &amp; Hairbrushses</t>
  </si>
  <si>
    <t>Shampoo &amp; Body Bath</t>
  </si>
  <si>
    <t>Shampoo, Maximum Security 4oz - 60ea/cs</t>
  </si>
  <si>
    <t>Liquid Soap &amp; Body Lotion</t>
  </si>
  <si>
    <t>Deodorant</t>
  </si>
  <si>
    <t>Deodorant, Freshscent 1.6 oz - Push Up, 12ea/cs</t>
  </si>
  <si>
    <t>Bar Soap</t>
  </si>
  <si>
    <t>Feminine Hygiene</t>
  </si>
  <si>
    <t>Toothpaste &amp; Mouthwash</t>
  </si>
  <si>
    <t>Disposable Razors &amp; Shaving Cream</t>
  </si>
  <si>
    <t>Shave Cream, Brushless .6oz - Plastic Tubes 144/cs</t>
  </si>
  <si>
    <t>Shave Cream, Freshscent 11oz - 12ea/cs</t>
  </si>
  <si>
    <t>Fingernail Clipper - Nickel Plated 24/case</t>
  </si>
  <si>
    <t>Matresses &amp; Linens</t>
  </si>
  <si>
    <t>Insitutional Mattress</t>
  </si>
  <si>
    <t>Mattress, SS, Spartan, 25x75x4.5 - with Pillow, 1 ea</t>
  </si>
  <si>
    <t xml:space="preserve">Bedspreads </t>
  </si>
  <si>
    <t>Blankets</t>
  </si>
  <si>
    <t>Mattress Covers</t>
  </si>
  <si>
    <t>Pillows</t>
  </si>
  <si>
    <t>Pillowcases</t>
  </si>
  <si>
    <t>Sheets</t>
  </si>
  <si>
    <t>Towels &amp; Washcloths</t>
  </si>
  <si>
    <t>Furniture</t>
  </si>
  <si>
    <t>Chair, Armless, Stackable,Teal - 1 ea</t>
  </si>
  <si>
    <t>Shower Curtains</t>
  </si>
  <si>
    <t>Shower Curtain, Snap Closure - Light Green, 1 ea</t>
  </si>
  <si>
    <t>Shower Supplies</t>
  </si>
  <si>
    <t>Evidence Storage Bag</t>
  </si>
  <si>
    <t xml:space="preserve">Examination Gloves </t>
  </si>
  <si>
    <t>Kitchen</t>
  </si>
  <si>
    <t xml:space="preserve">Laundry Cart  </t>
  </si>
  <si>
    <t>Laundry Utility Trucks</t>
  </si>
  <si>
    <t>Laundry Hampers</t>
  </si>
  <si>
    <t>Laundry Baskets</t>
  </si>
  <si>
    <t>Property Bags</t>
  </si>
  <si>
    <t>Laundry Net or Mesh Bags</t>
  </si>
  <si>
    <t>Kangaroo Cart</t>
  </si>
  <si>
    <t>Mesh Storage Bag</t>
  </si>
  <si>
    <t xml:space="preserve">Strong Box </t>
  </si>
  <si>
    <t xml:space="preserve">Hanging Locker </t>
  </si>
  <si>
    <t xml:space="preserve">In-Cell Organizer (Clear &amp; Mesh) </t>
  </si>
  <si>
    <t>Books, Puzzles, Cards &amp; Games</t>
  </si>
  <si>
    <t>Sports Equipment</t>
  </si>
  <si>
    <t xml:space="preserve">Property Bags 10"x13" w/2"lip 200 ea/cs </t>
  </si>
  <si>
    <t xml:space="preserve">Property Bags 14" x 20" w/2" lip 200 ea/case </t>
  </si>
  <si>
    <t>Office Supplies: Security Pens, Pencils, Sketch Pads &amp; Paper</t>
  </si>
  <si>
    <t xml:space="preserve"> Discount % Off Evaluation</t>
  </si>
  <si>
    <t xml:space="preserve">Additional Instructions: </t>
  </si>
  <si>
    <t>1. Offeror must complete all required fields ( Fields in blue highlight) "D" &amp; "F" are optional fields on this Cost Proposal. The Format and structure of the Cost Proposal is intended to allow for a fair</t>
  </si>
  <si>
    <t>discount % off type evaluation of like costs among offerors. Deviation from the format or structure of this Cost Proposal may result in Offeror's proposal being deemed non-responsive</t>
  </si>
  <si>
    <t xml:space="preserve">2. It has been determined that the best pricing structure for this portion of the evaluation is a simple "percentage off" of the most current dated Supplier's suggested government or </t>
  </si>
  <si>
    <t>commercial catalog or price list. The pricing matrix is a percentage off the Suppliers suggested retail price. Suppliers can submit actual pricing schedules for their equipment though,</t>
  </si>
  <si>
    <t xml:space="preserve">with the precentage discount already figurered, as long as the Supplier list price is stated first, then the discount, then the final price. You will have to keep it updated as pricing changes occur. </t>
  </si>
  <si>
    <t>3. Within the tables, if you have different discounts for different brands/models/sizes of products or options, you WILL have to list the items. If you need more space insert additional lines</t>
  </si>
  <si>
    <t xml:space="preserve">as necessary. </t>
  </si>
  <si>
    <t>Category#</t>
  </si>
  <si>
    <t>Offered Minimum Discount % Off</t>
  </si>
  <si>
    <t>Clothing &amp; Uniforms</t>
  </si>
  <si>
    <r>
      <t xml:space="preserve">Hard type value </t>
    </r>
    <r>
      <rPr>
        <b/>
        <u/>
        <sz val="8"/>
        <color theme="1"/>
        <rFont val="Calibri"/>
        <family val="2"/>
        <scheme val="minor"/>
      </rPr>
      <t>ONLY</t>
    </r>
    <r>
      <rPr>
        <sz val="8"/>
        <color theme="1"/>
        <rFont val="Calibri"/>
        <family val="2"/>
        <scheme val="minor"/>
      </rPr>
      <t xml:space="preserve"> if offering a single % off entire category -- &gt;</t>
    </r>
  </si>
  <si>
    <t xml:space="preserve">Brand Name / Model </t>
  </si>
  <si>
    <t>Price Book/Catalog date of Manufacturers Current published retail price list</t>
  </si>
  <si>
    <t>Insert additional lines if needed</t>
  </si>
  <si>
    <t>Facility - Evidence &amp; Property Storage</t>
  </si>
  <si>
    <t>Volume Discount % off Evaluation</t>
  </si>
  <si>
    <r>
      <rPr>
        <b/>
        <sz val="9"/>
        <color rgb="FF000000"/>
        <rFont val="Calibri"/>
        <family val="2"/>
        <scheme val="minor"/>
      </rPr>
      <t>Products &amp; Supplies for Correction Facilties and Incarcerated Individuals Volume Discount</t>
    </r>
    <r>
      <rPr>
        <b/>
        <u/>
        <sz val="9"/>
        <color rgb="FF000000"/>
        <rFont val="Calibri"/>
        <family val="2"/>
        <scheme val="minor"/>
      </rPr>
      <t xml:space="preserve"> </t>
    </r>
    <r>
      <rPr>
        <b/>
        <sz val="9"/>
        <color rgb="FF000000"/>
        <rFont val="Calibri"/>
        <family val="2"/>
        <scheme val="minor"/>
      </rPr>
      <t>Cost Evaluation and Contract Offering</t>
    </r>
  </si>
  <si>
    <r>
      <rPr>
        <b/>
        <u/>
        <sz val="8"/>
        <color theme="1"/>
        <rFont val="Calibri"/>
        <family val="2"/>
        <scheme val="minor"/>
      </rPr>
      <t>Additional Instructions:</t>
    </r>
    <r>
      <rPr>
        <sz val="8"/>
        <color theme="1"/>
        <rFont val="Calibri"/>
        <family val="2"/>
        <scheme val="minor"/>
      </rPr>
      <t xml:space="preserve"> </t>
    </r>
  </si>
  <si>
    <t xml:space="preserve">Within the tables, list the volume discounts you intend to provide under the resulting contract award. If you need more space, insert additional lines as </t>
  </si>
  <si>
    <t xml:space="preserve">necessary. Light Blue highlighted cells signify a requested vendor input. </t>
  </si>
  <si>
    <t>Volume Discount - Clothing &amp; Uniforms</t>
  </si>
  <si>
    <t>Minimum Quantity for Volume  Discount</t>
  </si>
  <si>
    <t>Volume  Discount % Off</t>
  </si>
  <si>
    <t>Volume Discount - Undergarments</t>
  </si>
  <si>
    <t>Volume Discount - Footwear</t>
  </si>
  <si>
    <t>Volume Discount - Personal Hygiene</t>
  </si>
  <si>
    <t>Volume Discount - Mattresses &amp; Linen</t>
  </si>
  <si>
    <t>Volume Discount - Facility - Evidence &amp; Property Storage</t>
  </si>
  <si>
    <t>Volume Discount - Facility - Kitchen</t>
  </si>
  <si>
    <t>Volume Discount - Facility - Laundry Supplies &amp; Equipment</t>
  </si>
  <si>
    <t>Volume Discount - Recreation Equipment</t>
  </si>
  <si>
    <t>3.  Quanties for each line item is one (1) of the line item as described. For example, for line 19 below (Jumpsuit, Navy Gripper X-Large -24 ea/case)</t>
  </si>
  <si>
    <t>Shoe, Canvas,  OR - Sz 9, 12pr/case</t>
  </si>
  <si>
    <t>Inmate Property Storage</t>
  </si>
  <si>
    <t>Hairbrush, Standard 8" Nylon - 24 ea/cs</t>
  </si>
  <si>
    <t>Endurance Wall Mount Bunk, Black</t>
  </si>
  <si>
    <t>Armless Chair, 33"H x 24"W x 24"D (Dimensions approximate)</t>
  </si>
  <si>
    <t>Modumaxx Multipurpose Table with Steel Post Legs, Square Top, MDL 5004</t>
  </si>
  <si>
    <t>Envelope, Bus. #10 - 50 ea/bx</t>
  </si>
  <si>
    <t>TOTAL PRICE FOR CATEGORY 1</t>
  </si>
  <si>
    <t xml:space="preserve">the offer would be for one case of 24 each.  If no specific quantity is listed in the description then the offer would be for one each. </t>
  </si>
  <si>
    <t>4. The "TOTAL PRICE FOR CATEGORY #" will automatically calculate, the "Extended Price" for each linwe item WILL NOT.</t>
  </si>
  <si>
    <t>TOTAL PRICE FOR CATEGORY 2</t>
  </si>
  <si>
    <t>TOTAL PRICE FOR CATEGORY 3</t>
  </si>
  <si>
    <t>TOTAL PRICE FOR CATEGORY 4</t>
  </si>
  <si>
    <t>TOTAL PRICE FOR CATEGORY 5</t>
  </si>
  <si>
    <t>TOTAL PRICE FOR CATEGORY 6</t>
  </si>
  <si>
    <t>TOTAL PRICE FOR CATEGORY 7</t>
  </si>
  <si>
    <t>TOTAL PRICE FOR CATEGORY 8</t>
  </si>
  <si>
    <t>TOTAL PRICE FOR CATEGORY 9</t>
  </si>
  <si>
    <t>COST PROPOSAL - 5400027173</t>
  </si>
  <si>
    <r>
      <t>Shirt, Navy TriStitch Sz XL</t>
    </r>
    <r>
      <rPr>
        <b/>
        <sz val="10"/>
        <rFont val="Calibri"/>
        <family val="2"/>
        <scheme val="minor"/>
      </rPr>
      <t xml:space="preserve"> - </t>
    </r>
    <r>
      <rPr>
        <sz val="10"/>
        <rFont val="Calibri"/>
        <family val="2"/>
        <scheme val="minor"/>
      </rPr>
      <t>1 ea</t>
    </r>
  </si>
  <si>
    <t>Shirt, TriStitch, No Pocket, Yellow, XL, 1 ea</t>
  </si>
  <si>
    <t>Coat, Blue 100% Cotton 54-56 - 1ea</t>
  </si>
  <si>
    <t xml:space="preserve">Coat, Khaki Work Blanket Lnd - 1 ea </t>
  </si>
  <si>
    <t>Trousers, Navy, TriStitch - Sz XL, 1 ea</t>
  </si>
  <si>
    <t>Sweatpants,No Drawstring, No Pockets, Gray, X-Large, 1 ea</t>
  </si>
  <si>
    <t xml:space="preserve">Sweatshirt, Gray, XL - 1 ea, </t>
  </si>
  <si>
    <t>Shorts, Athletic Navy Sz 2XL - 100% polyester, 9" inseam 1 ea</t>
  </si>
  <si>
    <t>Shorts, Athletic Navy Sz S - 100% polyester, 9" inseam 1 ea</t>
  </si>
  <si>
    <t>Jeans, Blue Denim Sz 38x30 - Jeans, Blue Denim Sz 38x30 1 ea</t>
  </si>
  <si>
    <t>(DSC) Elastic Waist Denim Jeans X-Large,  1 ea</t>
  </si>
  <si>
    <t xml:space="preserve">Gown, Isolation Yellow - 50 ea/cs, </t>
  </si>
  <si>
    <t xml:space="preserve">Paper Lightweigh Gown/ Suicide Watch Universal Fit  Blue, White 50 ea /cs  </t>
  </si>
  <si>
    <t>Mens Dickies Jeans Sz 38x30, 1 ea</t>
  </si>
  <si>
    <t>Mens SS Poplinn Shirt  White Sz XL 1 ea</t>
  </si>
  <si>
    <t xml:space="preserve">Webbed Belt with Buckle Navy 12 ea/cs </t>
  </si>
  <si>
    <t>Poncho, Vinyl Rain Clear - 12 ea/ cs</t>
  </si>
  <si>
    <t>Watch Cap, Navy -  12 ea/cs</t>
  </si>
  <si>
    <t>Suicide Safety Bedroll Lifeline all-in-one-bed 1 ea</t>
  </si>
  <si>
    <t>Suicide Smock Blue Self Protection Smock -Fully Closed 1 ea</t>
  </si>
  <si>
    <t>Suicide Blanket Lifeline Blanket  1 ea</t>
  </si>
  <si>
    <t>Padded Helments Human Restraint Hard Shell Protective Helmet w/ Face Shield 1 ea</t>
  </si>
  <si>
    <t xml:space="preserve">Boxers White Size Large - 12 ea/ cs </t>
  </si>
  <si>
    <t>Thermal Underwear - Pants Sz 4xl - 12 ea/ cs</t>
  </si>
  <si>
    <t>Thermal Underwear - Top Sz 4xl - 12 ea/ cs</t>
  </si>
  <si>
    <t xml:space="preserve">Panty, White Size 9 - 12 ea/ cs, </t>
  </si>
  <si>
    <t xml:space="preserve">Sports Bra,Brown,36 - 12ea/cs </t>
  </si>
  <si>
    <t>Nightshirt Grey, Reg Size - 1 ea</t>
  </si>
  <si>
    <t xml:space="preserve">Sock, White Tube - 12 pr/dz, </t>
  </si>
  <si>
    <t>Sock, Crew Orange - 12pr/dz</t>
  </si>
  <si>
    <t>Diabetic Socks - 12 pr/dz</t>
  </si>
  <si>
    <t xml:space="preserve">Single-Tread Slipper Socks  48pr /cs </t>
  </si>
  <si>
    <t>Double- Tread Slipper Socks  48pr/cs</t>
  </si>
  <si>
    <t>Disposable Boxer, Wht 3XL-4XL - 100 ea/cs</t>
  </si>
  <si>
    <t>Unisex, Orange, Disposable Briefs  XL - 300 ea/cs</t>
  </si>
  <si>
    <t>Unisex Bathrobe, Kimono Style, w/ Belt, Fleece 1 ea</t>
  </si>
  <si>
    <t>Unisex Bathrobe, Kimono Style, Beltless, Fleece 1 ea</t>
  </si>
  <si>
    <t>Unisex Bathrobe, Kimono Style, Beltless, Terrycloth 1 ea</t>
  </si>
  <si>
    <t xml:space="preserve">Unisex Bathrobe, Kimono Style, w/ Belt, Terrycloth 1 ea </t>
  </si>
  <si>
    <t xml:space="preserve">Thermal Underwear, Long Sleeve Top, Size XL 12 ea/ cs </t>
  </si>
  <si>
    <t xml:space="preserve">Thermal Underwear, Drawers, Size XL 12 ea/ cs </t>
  </si>
  <si>
    <t>All Plastic Reading Glasses 12ea/ cs</t>
  </si>
  <si>
    <t>Sandal, Orange, PVC, Slip On, L, 1 pr</t>
  </si>
  <si>
    <t>Sandal, Uni-Foot, EVA, OR, L, 1 pr</t>
  </si>
  <si>
    <t>Thong, V-strap Sz Large - 12 pr/cs</t>
  </si>
  <si>
    <t>Shoe, Deck Orange Step-in Canvas Sz 10 - 1 pr</t>
  </si>
  <si>
    <t xml:space="preserve">Eva Clog Orange Sz XL 12 pr/ cs </t>
  </si>
  <si>
    <t>Strapless EVA Step In, L, Orange, 1 pr</t>
  </si>
  <si>
    <t>EVA -Honeycomb Step Ins Black Sz X-Large, 1 pr</t>
  </si>
  <si>
    <t>Leather Athletic Shoes White Size 9, 1pr</t>
  </si>
  <si>
    <t>Rhino 60C21 Men's 6" Leather Plain Toe Work Boots Black SZ 10E 1pr</t>
  </si>
  <si>
    <t>Velcro Leather Work Boot Black Leather SZ 10 1pr</t>
  </si>
  <si>
    <t>Men's 6" Leather Inmate Boots, Steel Toe, Black, Sz 10, 1pr</t>
  </si>
  <si>
    <t>Shoe, Wht Vlcr Clr Sole 11D, 12 pr/case 1pr</t>
  </si>
  <si>
    <t>Men's 6" Leather Inmate Boots, Brown, Sz 10, 1pr</t>
  </si>
  <si>
    <t xml:space="preserve">Cushion Foam Insoles  48pr/ cs </t>
  </si>
  <si>
    <t>Comb, Black 8.25" Large 12ea/bg</t>
  </si>
  <si>
    <t>(DSC) Shampoo, Pre-Emptive Strike - Everyday Lice Control 1 Gal each</t>
  </si>
  <si>
    <t xml:space="preserve">Liceout® Shampoo Lice Treatment, 1 gallon, W/pump 1 Gal each </t>
  </si>
  <si>
    <t xml:space="preserve">Deodorant, Women, Degree 1.6oz - Stick 12 ea/cs, </t>
  </si>
  <si>
    <t>Deodorant, Men, Degree 1.7oz Stick 12ea/cs</t>
  </si>
  <si>
    <t>Maxithin Long Super w/Wings - 288 ea/cs</t>
  </si>
  <si>
    <t>Sanitary Napkn,Unwrapped - 576 ea/cs</t>
  </si>
  <si>
    <r>
      <t xml:space="preserve">Toothbrush, Shrt Handle </t>
    </r>
    <r>
      <rPr>
        <b/>
        <sz val="10"/>
        <rFont val="Calibri"/>
        <family val="2"/>
        <scheme val="minor"/>
      </rPr>
      <t>30</t>
    </r>
    <r>
      <rPr>
        <sz val="10"/>
        <rFont val="Calibri"/>
        <family val="2"/>
        <scheme val="minor"/>
      </rPr>
      <t xml:space="preserve"> tuft - 144 ea/cs </t>
    </r>
  </si>
  <si>
    <t>Razor, Single Blade Orange - Disposable 1000 cs</t>
  </si>
  <si>
    <t>Razor, Thumb Orange Hig Security - 500ea/cs</t>
  </si>
  <si>
    <t>Clipper,Toenail,Metal,No File - 12/cs</t>
  </si>
  <si>
    <t>Clipper, Wahl 8500 Senior - w/V5000 motor &amp; attachment 1 ea</t>
  </si>
  <si>
    <t>Mattress Clear Sealed Seam Poly 25x75x4 - w/ Scrim &amp; Pillow  1 ea</t>
  </si>
  <si>
    <t>Secure Advantage Detention Mattress 1 ea</t>
  </si>
  <si>
    <t>100% Polyester Ribbed Bedspread Tan  Fire Resistant  12 ea/cs</t>
  </si>
  <si>
    <t xml:space="preserve">Blanket, Snag Free Grey 66x90 - 1 ea, </t>
  </si>
  <si>
    <t>Blanket, Camel, 66X90, Poly PF -  1 ea</t>
  </si>
  <si>
    <t>Pillow, Cotton/Microvent 20x26 - Dk Green 4 ea/cs</t>
  </si>
  <si>
    <t>Combined Sheet, Overall Quilt, Navy, 30x76, ea</t>
  </si>
  <si>
    <t xml:space="preserve">Wash Cloth, 12x12 White .75lb - 12 ea/cs </t>
  </si>
  <si>
    <t xml:space="preserve">Towel, Bath White 20x40 4.25lb - 12 ea/cs, </t>
  </si>
  <si>
    <t>Curtain, Hookless Translucent - 1 ea,  36"W X 77"L</t>
  </si>
  <si>
    <t xml:space="preserve">Shower Curtain, Grommet Style - 1 ea, </t>
  </si>
  <si>
    <t>Heavy-Duty Vinyl Apron 1ea</t>
  </si>
  <si>
    <t xml:space="preserve">Dust Motp Heads Replacment 12ea/cs </t>
  </si>
  <si>
    <t>Chess Pieces Only, Silicone - 6 Full Sets/cs</t>
  </si>
  <si>
    <t>Sheet, White, Fire Retardant - 66x104, T-130, 1 dz,</t>
  </si>
  <si>
    <t>Jumpsuit, Navy Gripper X-large - 1ea</t>
  </si>
  <si>
    <t>Jumpsuit,Green/White Stripe - Sz XL -1ea</t>
  </si>
  <si>
    <t xml:space="preserve">Jumpsuit, Orange X-large - 1 ea, </t>
  </si>
  <si>
    <t>Disposable Coveralls for Inmates Transfer - Orange Sz-XL  25 ea/cs</t>
  </si>
  <si>
    <t>Womens Dickies Premium Flat Front Pants Black Sz 16, 1 ea</t>
  </si>
  <si>
    <t>Youth Jersey Polo - Light Blue  Sz L 1 ea</t>
  </si>
  <si>
    <t>Jumpsuit, Red XL - 1 ea</t>
  </si>
  <si>
    <t>Jumpsuit, Khaki XL 1 ea</t>
  </si>
  <si>
    <t>Unisex , Disposable Briefs Mesh XL - 300 ea/cs</t>
  </si>
  <si>
    <t>Webbed Belt with Buckle 12ea/cs</t>
  </si>
  <si>
    <t>Crogs, NEVA, Black, 3XL (15-16) - 12pr/cs</t>
  </si>
  <si>
    <t>Men's Terrycloth Slippers, L, 24pr/cs</t>
  </si>
  <si>
    <t>Women's Terrycloth Slippers, S, 24pr/cs</t>
  </si>
  <si>
    <t>Disposable Non-Skid Shoe Covers/Booties, 1000ea/cs</t>
  </si>
  <si>
    <t>Hi Top, Lace Up, Canvas basketball, Sz 9, 12pr/cs</t>
  </si>
  <si>
    <t>Hi Top, Velcro, Canvas basketball, Sz 9, 12pr/cs</t>
  </si>
  <si>
    <t>Dial Golden Liquid Antibacterial Hand Soap 1 Gal / 4 per cs</t>
  </si>
  <si>
    <t>Hand and body Lotion 4 oz/ 60 per cs</t>
  </si>
  <si>
    <t>Soap All-in-1 Dissolvable Pak - 500 ea/cs</t>
  </si>
  <si>
    <t>Soap Antibacterial Deodorant,  Unwrap #.5 - 1000 ea/cs</t>
  </si>
  <si>
    <t>(DSC) Soap, Dial Wrapped 4.0 oz. - 36 ea/cs</t>
  </si>
  <si>
    <t>(DSC) Toothpowder, Flouride 2 oz pk - White 250 ea/cs</t>
  </si>
  <si>
    <t>Toothpaste, NatureMint .28oz - 1000 ea/cs</t>
  </si>
  <si>
    <t>(DSC) Gloves, Nitrile, Blk, Fentanyl Protection  - 100 ea/bx, 10 bx/cs</t>
  </si>
  <si>
    <t>(DSC) Microban Disinfectant Spray - 15oz, 6 ea/cs</t>
  </si>
  <si>
    <t>Clippercide Spray,12 oz - For Hair Clippers 12 ea/cs</t>
  </si>
  <si>
    <t>Personal Admission Kit 501 48/ cs</t>
  </si>
  <si>
    <t xml:space="preserve">Blanket, Wool 54 x 84 - 24 ea/cs, </t>
  </si>
  <si>
    <t>Blanket, Cozy, 66x90 Gray - w/Blue, 12 ea/cs</t>
  </si>
  <si>
    <t>Pillow, TPU, 20x26, Navy, 4 ea/cs</t>
  </si>
  <si>
    <t xml:space="preserve">Pillowcase, White 20X30 - 12 ea/cs </t>
  </si>
  <si>
    <t>Sheet Disposable Flat 54x90 - White, 50 ea/cs</t>
  </si>
  <si>
    <t>Fitted Sheets 12 per pack  30 x 75 x6 White  Poly Cotton Blend 12 ea/cs</t>
  </si>
  <si>
    <t>Disposable Towels  20" x 40" 300 ea/cs</t>
  </si>
  <si>
    <t>Bed Bug and Lice Killer Aerosol Spray 12 ea/ cs</t>
  </si>
  <si>
    <t>Metal Bunk, Stacking 1 ea</t>
  </si>
  <si>
    <t>Table, 42" Round, Game Top, Brown 1 ea</t>
  </si>
  <si>
    <t>Endurance Night Stand/Table, 22" H x 21" W x 18" D 1 ea</t>
  </si>
  <si>
    <t>Endurance Bunk, 81" L x 35" W x 21" H 1 ea</t>
  </si>
  <si>
    <t>Shower Curtain, Snap Closure - 36x77, 12 ea/cs</t>
  </si>
  <si>
    <t>Plastic Shower Cap, 100 ea/cs</t>
  </si>
  <si>
    <t>Shower Mat, 13.8” x 21.7”, Cream, 1 ea</t>
  </si>
  <si>
    <t>Size 9"x9" - 9"×12" with 2.5″ Lip. 1000 ea /cs Sequentially numbered Gauge: 2.5 mil - 2.5 mil clear extra strong film.</t>
  </si>
  <si>
    <t>Size 12"x12" - 12"×15" with 2.5″ Lip. 500 ea/cs  Sequentially numbered Gauge: 2.8 mil - 2.8 mil clear extra strong film.</t>
  </si>
  <si>
    <t>Powdered Nitrile Gloves, Sz L, 100 ea/bx</t>
  </si>
  <si>
    <t>Hanging Lockable Garment Bags, 44", 1ea</t>
  </si>
  <si>
    <t>Hanging Mesh Inmate Property Bags, 35", 1 ea</t>
  </si>
  <si>
    <t>Non-Lockable Garment Bags, 1 ea</t>
  </si>
  <si>
    <t>Barracuda Box, Large 1 ea</t>
  </si>
  <si>
    <t>Odor Hound Air &amp; Surface Spray - 32fl. oz.  6 ea/cs</t>
  </si>
  <si>
    <t>Stainless Steel Utility Cart 3 shelves 15.5" x 24" 300 lb capacity, 1 ea</t>
  </si>
  <si>
    <t xml:space="preserve">Stainless Steel Stock Pot with Cover 20 qt, 1 ea </t>
  </si>
  <si>
    <t xml:space="preserve">Stainless Steel Stock Pot with Cover 40 qt, 1 ea </t>
  </si>
  <si>
    <t xml:space="preserve">Sauce Pans 7 qt, 1 ea </t>
  </si>
  <si>
    <t xml:space="preserve">Stainless Steel Coffee Urn 11.5"W x 9"Dx16"H, 1 ea </t>
  </si>
  <si>
    <t>Clear Tumbler, 22 oz, 500 ea/cs</t>
  </si>
  <si>
    <t xml:space="preserve">Insulated Trays 6 compartment  10 ea/cs </t>
  </si>
  <si>
    <t>Insulated Trays 4 compartment  10 ea/cs</t>
  </si>
  <si>
    <t>Flexible 6 compartment Tray 12 ea/cs</t>
  </si>
  <si>
    <t>Polypropylene Teaspoons Orange 144 ea/cs</t>
  </si>
  <si>
    <t xml:space="preserve">Polypropylene Soup Spoons Orange 144 ea/cs </t>
  </si>
  <si>
    <t xml:space="preserve">Polypropylene Spork Orange 144 ea/cs </t>
  </si>
  <si>
    <t>Polypropylene Knife Orange 144 ea/cs</t>
  </si>
  <si>
    <t>Polypropylene Form Orange 144 ea/cs</t>
  </si>
  <si>
    <t xml:space="preserve">Dispoable Poly Gloves 1000 ea/bx  Sz Medium </t>
  </si>
  <si>
    <t>Trash Bags Orange 44 Gallons 100 ea/cs</t>
  </si>
  <si>
    <t xml:space="preserve">Dust Mot Kit, 1 ea </t>
  </si>
  <si>
    <t>Spill Kits, 1 ea</t>
  </si>
  <si>
    <t>Wire Laundry Cart Mega Size holds 6 bushels, 1 ea</t>
  </si>
  <si>
    <t>Steele Canvas Linen External Dimensions 38" x 28" x 66", 1 ea</t>
  </si>
  <si>
    <t>Yellow Vinyl-Coated Glosstex Trucks 18 bushels 44x32x36, 1 ea</t>
  </si>
  <si>
    <t>Canvas Utility Basket Truck - Laundry Cart, White, 10 Bushel, 1 ea</t>
  </si>
  <si>
    <t>Medium Duty Bulk Truck - Laundry Cart, White, 6 Bushel, 1 ea</t>
  </si>
  <si>
    <t>Bag, Clothes Lockable W/hanger, 1 ea</t>
  </si>
  <si>
    <t>Property Bag, 9"x12" w/2"lip - 200 ea/cs</t>
  </si>
  <si>
    <t xml:space="preserve">Laundry Bag, 18x24 Wht Tie Cor - Med.  12 ea/cs </t>
  </si>
  <si>
    <t>Laundry Bag, 18x24 Sliplock Wh - 12 ea/cs</t>
  </si>
  <si>
    <t>Laundry Bag, 15x20 Wht Tie-cor - Small 12 ea/cs</t>
  </si>
  <si>
    <t>Laundry Bag, 24x36, Tie Top - 12 ea/cs</t>
  </si>
  <si>
    <t>Black 30"W x 53"L x 38"H General Use  1,000 lbs load, 1 ea</t>
  </si>
  <si>
    <t xml:space="preserve">Laundry Storage Bag Unbleached30"x40"  36 ea/cs Natural color </t>
  </si>
  <si>
    <t>Strong Box Soft Sided Box 10"W x 16.5" D x11"H, 1 ea</t>
  </si>
  <si>
    <t>Vinyl-Coated mildew resistant fabric Hanging Locker 22" W x 44" L x4" D , 1 ea</t>
  </si>
  <si>
    <t xml:space="preserve">In-Cell Organizer size 15.5" Wx21" Lx 5" D with lid 12 ea /cs  </t>
  </si>
  <si>
    <t xml:space="preserve">Kills Bed Bugs Spray 17.5oz Aerosol Can, 1 ea </t>
  </si>
  <si>
    <t>Bio-Fluids Solidifying Absorbent Powder, 1 ea</t>
  </si>
  <si>
    <t xml:space="preserve">Blood Vomit &amp; Urine Clean up Kit, 1 ea </t>
  </si>
  <si>
    <t xml:space="preserve">Playing Cards, 12 decks/cs </t>
  </si>
  <si>
    <t>Uno Card Game - Deck, 1 ea</t>
  </si>
  <si>
    <t>Phase 10 Card Game - 1 ea</t>
  </si>
  <si>
    <t>Checker Game - 1 ea,</t>
  </si>
  <si>
    <t>Puzzle Book Variety Pack - 24 ea/cs</t>
  </si>
  <si>
    <t>Basketball, Rubber, 29.5", 1 ea</t>
  </si>
  <si>
    <t>Soccer Ball, Size 5, 1 ea</t>
  </si>
  <si>
    <t>Football, Rubber, 1 ea</t>
  </si>
  <si>
    <t>Pump, Metal, Hand, 1 ea</t>
  </si>
  <si>
    <t>Basketball Net, Replacement, 1 ea</t>
  </si>
  <si>
    <t>Basketball, Synthetic Leather - 29.5", 1 ea</t>
  </si>
  <si>
    <t>Pencil, 3" Golf - 144 ea/cs</t>
  </si>
  <si>
    <t xml:space="preserve">Pencil, Flexible 6" Orange - 144ea/cs 
</t>
  </si>
  <si>
    <t>Pen, Ink Blue Washable E Z - Bend Jr, 100 ea/cs</t>
  </si>
  <si>
    <t xml:space="preserve">Pen, Max Sec Black Clear Cover - 144 ea/cs </t>
  </si>
  <si>
    <t>Tablet, 6x9 Ruled - 6 ea/cs</t>
  </si>
  <si>
    <r>
      <t xml:space="preserve">Pillowcase,White,FireRetardant - </t>
    </r>
    <r>
      <rPr>
        <strike/>
        <sz val="10"/>
        <rFont val="Calibri"/>
        <family val="2"/>
        <scheme val="minor"/>
      </rPr>
      <t>42x34</t>
    </r>
    <r>
      <rPr>
        <sz val="10"/>
        <rFont val="Calibri"/>
        <family val="2"/>
        <scheme val="minor"/>
      </rPr>
      <t xml:space="preserve">, </t>
    </r>
    <r>
      <rPr>
        <b/>
        <u/>
        <sz val="10"/>
        <rFont val="Calibri"/>
        <family val="2"/>
        <scheme val="minor"/>
      </rPr>
      <t xml:space="preserve">20x30 </t>
    </r>
    <r>
      <rPr>
        <sz val="10"/>
        <rFont val="Calibri"/>
        <family val="2"/>
        <scheme val="minor"/>
      </rPr>
      <t xml:space="preserve">12 ea/cs               </t>
    </r>
  </si>
  <si>
    <t>Attachment I - Amendment #1</t>
  </si>
  <si>
    <r>
      <t xml:space="preserve">Mattress Cover, </t>
    </r>
    <r>
      <rPr>
        <b/>
        <u/>
        <sz val="10"/>
        <rFont val="Calibri"/>
        <family val="2"/>
        <scheme val="minor"/>
      </rPr>
      <t>Vinyl,</t>
    </r>
    <r>
      <rPr>
        <sz val="10"/>
        <rFont val="Calibri"/>
        <family val="2"/>
        <scheme val="minor"/>
      </rPr>
      <t xml:space="preserve"> White,30x75x4 - 12 ea/cs        </t>
    </r>
  </si>
  <si>
    <r>
      <t>Mattress Cover,</t>
    </r>
    <r>
      <rPr>
        <b/>
        <sz val="10"/>
        <rFont val="Calibri"/>
        <family val="2"/>
        <scheme val="minor"/>
      </rPr>
      <t xml:space="preserve"> </t>
    </r>
    <r>
      <rPr>
        <b/>
        <u/>
        <sz val="10"/>
        <rFont val="Calibri"/>
        <family val="2"/>
        <scheme val="minor"/>
      </rPr>
      <t xml:space="preserve">Vinyl </t>
    </r>
    <r>
      <rPr>
        <sz val="10"/>
        <rFont val="Calibri"/>
        <family val="2"/>
        <scheme val="minor"/>
      </rPr>
      <t xml:space="preserve">Navy 25x75x4, 12 ea/cs        </t>
    </r>
    <r>
      <rPr>
        <b/>
        <sz val="10"/>
        <rFont val="Calibri"/>
        <family val="2"/>
        <scheme val="minor"/>
      </rPr>
      <t xml:space="preserve"> </t>
    </r>
  </si>
  <si>
    <t xml:space="preserve">Tear Resistant Twill Sheets 60" x 90" Unbleached 12 ea/cs         </t>
  </si>
  <si>
    <r>
      <t xml:space="preserve">Hospital Hamper Bags, </t>
    </r>
    <r>
      <rPr>
        <b/>
        <u/>
        <sz val="10"/>
        <color theme="1"/>
        <rFont val="Calibri"/>
        <family val="2"/>
        <scheme val="minor"/>
      </rPr>
      <t>Mesh</t>
    </r>
    <r>
      <rPr>
        <sz val="10"/>
        <color theme="1"/>
        <rFont val="Calibri"/>
        <family val="2"/>
        <scheme val="minor"/>
      </rPr>
      <t xml:space="preserve"> 24x36, 1 ea                  </t>
    </r>
  </si>
  <si>
    <r>
      <t xml:space="preserve">Steele Canvas Maxi - </t>
    </r>
    <r>
      <rPr>
        <b/>
        <strike/>
        <sz val="10"/>
        <color theme="1"/>
        <rFont val="Calibri"/>
        <family val="2"/>
        <scheme val="minor"/>
      </rPr>
      <t>Orange</t>
    </r>
    <r>
      <rPr>
        <sz val="10"/>
        <color theme="1"/>
        <rFont val="Calibri"/>
        <family val="2"/>
        <scheme val="minor"/>
      </rPr>
      <t xml:space="preserve"> External Dimension 38" x  29"x 34", 1 ea  </t>
    </r>
    <r>
      <rPr>
        <b/>
        <u/>
        <sz val="10"/>
        <color theme="1"/>
        <rFont val="Calibri"/>
        <family val="2"/>
        <scheme val="minor"/>
      </rPr>
      <t>Any color will suffice.</t>
    </r>
    <r>
      <rPr>
        <sz val="10"/>
        <color theme="1"/>
        <rFont val="Calibri"/>
        <family val="2"/>
        <scheme val="minor"/>
      </rPr>
      <t xml:space="preserve">    </t>
    </r>
    <r>
      <rPr>
        <b/>
        <sz val="10"/>
        <color theme="1"/>
        <rFont val="Calibri"/>
        <family val="2"/>
        <scheme val="minor"/>
      </rPr>
      <t xml:space="preserve">  </t>
    </r>
  </si>
  <si>
    <t xml:space="preserve">Powdered Latex Gloves, Sz L, 100 ea/bx              </t>
  </si>
  <si>
    <r>
      <t>Nitrile Gloves, Sz L, 100 ea/bx</t>
    </r>
    <r>
      <rPr>
        <b/>
        <strike/>
        <sz val="10"/>
        <color rgb="FF000000"/>
        <rFont val="Calibri"/>
        <family val="2"/>
        <scheme val="minor"/>
      </rPr>
      <t xml:space="preserve">            </t>
    </r>
  </si>
  <si>
    <r>
      <t>Latex gloves, Sz L, 100 ea/bx</t>
    </r>
    <r>
      <rPr>
        <b/>
        <strike/>
        <sz val="10"/>
        <color rgb="FF000000"/>
        <rFont val="Calibri"/>
        <family val="2"/>
        <scheme val="minor"/>
      </rPr>
      <t xml:space="preserve">              </t>
    </r>
  </si>
  <si>
    <r>
      <t>Flexible</t>
    </r>
    <r>
      <rPr>
        <b/>
        <sz val="10"/>
        <rFont val="Calibri"/>
        <family val="2"/>
        <scheme val="minor"/>
      </rPr>
      <t xml:space="preserve"> </t>
    </r>
    <r>
      <rPr>
        <b/>
        <strike/>
        <sz val="10"/>
        <rFont val="Calibri"/>
        <family val="2"/>
        <scheme val="minor"/>
      </rPr>
      <t>Silicone</t>
    </r>
    <r>
      <rPr>
        <sz val="10"/>
        <rFont val="Calibri"/>
        <family val="2"/>
        <scheme val="minor"/>
      </rPr>
      <t xml:space="preserve"> Clear tray Lid 12 ea/cs</t>
    </r>
  </si>
  <si>
    <t>YES</t>
  </si>
  <si>
    <t>BOB BARKER COMPANY, INC.</t>
  </si>
  <si>
    <t>SB5480</t>
  </si>
  <si>
    <t>BBSSB</t>
  </si>
  <si>
    <t>RS01-BB-RB</t>
  </si>
  <si>
    <t>RS01-SB</t>
  </si>
  <si>
    <t>RS01-FB</t>
  </si>
  <si>
    <t>RS01-BB-SL</t>
  </si>
  <si>
    <t>Spring 2024</t>
  </si>
  <si>
    <t>Maximum Security Clear Sealed Mattress (SSPM25754FCLP, SSPM30754FCLP, SSPM25754FCL, SSPM30754FCL)</t>
  </si>
  <si>
    <t>Maximum Security Scrim Sealed Mattress (SSPM25754CLSP, SSPM30754CLSP, SSPM25754CLS, SSPM30754CLS)</t>
  </si>
  <si>
    <t>Spartan Ripstop Mattress (SS257545RSP, SS307545RSP, SS257545RS, SS307545RS)</t>
  </si>
  <si>
    <t>SUOM 100/Box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</si>
</sst>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quot;$&quot;#,##0.00"/>
  </numFmts>
  <fonts count="49"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u/>
      <sz val="9"/>
      <color theme="1"/>
      <name val="Calibri"/>
      <family val="2"/>
      <scheme val="minor"/>
    </font>
    <font>
      <sz val="10"/>
      <color theme="1"/>
      <name val="Calibri"/>
      <family val="2"/>
      <scheme val="minor"/>
    </font>
    <font>
      <b/>
      <sz val="10"/>
      <color theme="1"/>
      <name val="Calibri"/>
      <family val="2"/>
      <scheme val="minor"/>
    </font>
    <font>
      <b/>
      <u/>
      <sz val="10"/>
      <color theme="1"/>
      <name val="Calibri"/>
      <family val="2"/>
      <scheme val="minor"/>
    </font>
    <font>
      <b/>
      <sz val="11"/>
      <name val="Calibri"/>
      <family val="2"/>
      <scheme val="minor"/>
    </font>
    <font>
      <b/>
      <u/>
      <sz val="11"/>
      <color theme="1"/>
      <name val="Calibri"/>
      <family val="2"/>
      <scheme val="minor"/>
    </font>
    <font>
      <sz val="8"/>
      <color theme="1"/>
      <name val="Calibri"/>
      <family val="2"/>
      <scheme val="minor"/>
    </font>
    <font>
      <b/>
      <sz val="11"/>
      <color rgb="FFFF0000"/>
      <name val="Calibri"/>
      <family val="2"/>
      <scheme val="minor"/>
    </font>
    <font>
      <b/>
      <sz val="8"/>
      <color theme="1"/>
      <name val="Calibri"/>
      <family val="2"/>
      <scheme val="minor"/>
    </font>
    <font>
      <b/>
      <u/>
      <sz val="8"/>
      <color theme="1"/>
      <name val="Calibri"/>
      <family val="2"/>
      <scheme val="minor"/>
    </font>
    <font>
      <sz val="7"/>
      <color theme="1"/>
      <name val="Arial"/>
      <family val="2"/>
    </font>
    <font>
      <sz val="14"/>
      <color theme="1"/>
      <name val="Calibri"/>
      <family val="2"/>
      <scheme val="minor"/>
    </font>
    <font>
      <b/>
      <sz val="14"/>
      <color theme="1"/>
      <name val="Calibri"/>
      <family val="2"/>
      <scheme val="minor"/>
    </font>
    <font>
      <sz val="10"/>
      <color theme="1"/>
      <name val="Times New Roman"/>
      <family val="1"/>
    </font>
    <font>
      <b/>
      <sz val="11"/>
      <color theme="1"/>
      <name val="Calibri"/>
      <family val="2"/>
      <scheme val="minor"/>
    </font>
    <font>
      <b/>
      <sz val="9"/>
      <color rgb="FF000000"/>
      <name val="Calibri"/>
      <family val="2"/>
      <scheme val="minor"/>
    </font>
    <font>
      <b/>
      <u/>
      <sz val="9"/>
      <color rgb="FF000000"/>
      <name val="Calibri"/>
      <family val="2"/>
      <scheme val="minor"/>
    </font>
    <font>
      <b/>
      <sz val="12"/>
      <color theme="1"/>
      <name val="Calibri"/>
      <family val="2"/>
      <scheme val="minor"/>
    </font>
    <font>
      <sz val="10"/>
      <name val="Calibri"/>
      <family val="2"/>
      <scheme val="minor"/>
    </font>
    <font>
      <b/>
      <sz val="10"/>
      <name val="Calibri"/>
      <family val="2"/>
      <scheme val="minor"/>
    </font>
    <font>
      <sz val="10"/>
      <color theme="1"/>
      <name val="Calibri"/>
      <family val="2"/>
      <scheme val="minor"/>
    </font>
    <font>
      <b/>
      <sz val="12"/>
      <color rgb="FF000000"/>
      <name val="Calibri"/>
      <family val="2"/>
      <scheme val="minor"/>
    </font>
    <font>
      <b/>
      <sz val="11"/>
      <color rgb="FF000000"/>
      <name val="Calibri"/>
      <family val="2"/>
      <scheme val="minor"/>
    </font>
    <font>
      <sz val="10"/>
      <color rgb="FF000000"/>
      <name val="Calibri"/>
      <family val="2"/>
      <scheme val="minor"/>
    </font>
    <font>
      <b/>
      <sz val="12"/>
      <color theme="1"/>
      <name val="Calibri"/>
      <family val="2"/>
      <scheme val="minor"/>
    </font>
    <font>
      <sz val="10"/>
      <name val="Calibri"/>
      <family val="2"/>
      <scheme val="minor"/>
    </font>
    <font>
      <sz val="10"/>
      <color rgb="FF000000"/>
      <name val="Calibri"/>
      <family val="2"/>
    </font>
    <font>
      <sz val="10"/>
      <color rgb="FF000000"/>
      <name val="Calibri"/>
      <family val="2"/>
      <scheme val="minor"/>
    </font>
    <font>
      <b/>
      <sz val="12"/>
      <name val="Calibri"/>
      <family val="2"/>
      <scheme val="minor"/>
    </font>
    <font>
      <b/>
      <sz val="10"/>
      <color theme="1"/>
      <name val="Times New Roman"/>
      <family val="1"/>
    </font>
    <font>
      <b/>
      <sz val="10"/>
      <name val="Calibri"/>
      <family val="2"/>
      <scheme val="minor"/>
    </font>
    <font>
      <b/>
      <u/>
      <sz val="12"/>
      <color theme="1"/>
      <name val="Calibri"/>
      <family val="2"/>
      <scheme val="minor"/>
    </font>
    <font>
      <sz val="10"/>
      <color rgb="FF222222"/>
      <name val="Calibri"/>
      <family val="2"/>
      <scheme val="minor"/>
    </font>
    <font>
      <strike/>
      <sz val="10"/>
      <name val="Calibri"/>
      <family val="2"/>
      <scheme val="minor"/>
    </font>
    <font>
      <b/>
      <u/>
      <sz val="10"/>
      <name val="Calibri"/>
      <family val="2"/>
      <scheme val="minor"/>
    </font>
    <font>
      <strike/>
      <sz val="11"/>
      <color theme="1"/>
      <name val="Calibri"/>
      <family val="2"/>
      <scheme val="minor"/>
    </font>
    <font>
      <b/>
      <strike/>
      <sz val="11"/>
      <color theme="1"/>
      <name val="Calibri"/>
      <family val="2"/>
      <scheme val="minor"/>
    </font>
    <font>
      <strike/>
      <sz val="10"/>
      <color theme="1"/>
      <name val="Calibri"/>
      <family val="2"/>
      <scheme val="minor"/>
    </font>
    <font>
      <b/>
      <strike/>
      <sz val="10"/>
      <color theme="1"/>
      <name val="Calibri"/>
      <family val="2"/>
      <scheme val="minor"/>
    </font>
    <font>
      <strike/>
      <sz val="10"/>
      <color rgb="FF000000"/>
      <name val="Calibri"/>
      <family val="2"/>
      <scheme val="minor"/>
    </font>
    <font>
      <b/>
      <strike/>
      <sz val="10"/>
      <color rgb="FF000000"/>
      <name val="Calibri"/>
      <family val="2"/>
      <scheme val="minor"/>
    </font>
    <font>
      <b/>
      <strike/>
      <sz val="12"/>
      <color rgb="FF000000"/>
      <name val="Calibri"/>
      <family val="2"/>
      <scheme val="minor"/>
    </font>
    <font>
      <b/>
      <strike/>
      <sz val="12"/>
      <color theme="1"/>
      <name val="Calibri"/>
      <family val="2"/>
      <scheme val="minor"/>
    </font>
    <font>
      <b/>
      <strike/>
      <sz val="10"/>
      <name val="Calibri"/>
      <family val="2"/>
      <scheme val="minor"/>
    </font>
    <font>
      <sz val="11"/>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FFCC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3">
    <xf numFmtId="0" fontId="0" fillId="0" borderId="0"/>
    <xf numFmtId="44" fontId="48" fillId="0" borderId="0" applyFont="0" applyFill="0" applyBorder="0" applyAlignment="0" applyProtection="0"/>
    <xf numFmtId="9" fontId="48" fillId="0" borderId="0" applyFont="0" applyFill="0" applyBorder="0" applyAlignment="0" applyProtection="0"/>
  </cellStyleXfs>
  <cellXfs count="231">
    <xf numFmtId="0" fontId="0" fillId="0" borderId="0" xfId="0"/>
    <xf numFmtId="0" fontId="1" fillId="0" borderId="0" xfId="0" applyFont="1" applyAlignment="1">
      <alignment horizontal="center"/>
    </xf>
    <xf numFmtId="0" fontId="0" fillId="0" borderId="8" xfId="0" applyBorder="1"/>
    <xf numFmtId="0" fontId="0" fillId="0" borderId="9" xfId="0" applyBorder="1"/>
    <xf numFmtId="0" fontId="2" fillId="0" borderId="0" xfId="0" applyFont="1"/>
    <xf numFmtId="0" fontId="0" fillId="0" borderId="1" xfId="0" applyBorder="1"/>
    <xf numFmtId="0" fontId="0" fillId="0" borderId="1" xfId="0" applyBorder="1" applyAlignment="1">
      <alignment horizontal="center"/>
    </xf>
    <xf numFmtId="0" fontId="0" fillId="0" borderId="7" xfId="0" applyBorder="1"/>
    <xf numFmtId="0" fontId="5" fillId="0" borderId="5" xfId="0" applyFont="1" applyBorder="1"/>
    <xf numFmtId="0" fontId="5" fillId="0" borderId="6" xfId="0" applyFont="1" applyBorder="1"/>
    <xf numFmtId="0" fontId="5" fillId="0" borderId="7" xfId="0" applyFont="1" applyBorder="1"/>
    <xf numFmtId="0" fontId="5" fillId="0" borderId="8" xfId="0" applyFont="1" applyBorder="1"/>
    <xf numFmtId="0" fontId="5" fillId="0" borderId="9" xfId="0" applyFont="1" applyBorder="1"/>
    <xf numFmtId="0" fontId="5" fillId="0" borderId="0" xfId="0" applyFont="1"/>
    <xf numFmtId="0" fontId="5" fillId="0" borderId="2" xfId="0" applyFont="1" applyBorder="1"/>
    <xf numFmtId="0" fontId="5" fillId="0" borderId="3" xfId="0" applyFont="1" applyBorder="1"/>
    <xf numFmtId="0" fontId="5" fillId="0" borderId="4" xfId="0" applyFont="1" applyBorder="1"/>
    <xf numFmtId="0" fontId="1" fillId="0" borderId="0" xfId="0" applyFont="1"/>
    <xf numFmtId="0" fontId="1" fillId="0" borderId="8" xfId="0" applyFont="1" applyBorder="1"/>
    <xf numFmtId="0" fontId="6" fillId="2" borderId="11" xfId="0" applyFont="1" applyFill="1" applyBorder="1"/>
    <xf numFmtId="0" fontId="6" fillId="2" borderId="12" xfId="0" applyFont="1" applyFill="1" applyBorder="1"/>
    <xf numFmtId="0" fontId="7" fillId="2" borderId="2" xfId="0" applyFont="1" applyFill="1" applyBorder="1"/>
    <xf numFmtId="0" fontId="6" fillId="0" borderId="0" xfId="0" applyFont="1"/>
    <xf numFmtId="0" fontId="1" fillId="4" borderId="1" xfId="0" applyFont="1" applyFill="1" applyBorder="1" applyAlignment="1">
      <alignment horizontal="center"/>
    </xf>
    <xf numFmtId="0" fontId="8" fillId="4" borderId="1" xfId="0" applyFont="1" applyFill="1" applyBorder="1" applyAlignment="1">
      <alignment horizontal="center"/>
    </xf>
    <xf numFmtId="0" fontId="0" fillId="4" borderId="1" xfId="0" applyFill="1" applyBorder="1"/>
    <xf numFmtId="0" fontId="9" fillId="0" borderId="0" xfId="0" applyFont="1"/>
    <xf numFmtId="0" fontId="11" fillId="0" borderId="0" xfId="0" applyFont="1"/>
    <xf numFmtId="3" fontId="0" fillId="4" borderId="1" xfId="0" applyNumberFormat="1" applyFill="1" applyBorder="1"/>
    <xf numFmtId="164" fontId="0" fillId="4" borderId="1" xfId="0" applyNumberFormat="1" applyFill="1" applyBorder="1"/>
    <xf numFmtId="0" fontId="0" fillId="4" borderId="1" xfId="0" applyFill="1" applyBorder="1" applyAlignment="1">
      <alignment wrapText="1"/>
    </xf>
    <xf numFmtId="0" fontId="2" fillId="4" borderId="1" xfId="0" applyFont="1" applyFill="1" applyBorder="1"/>
    <xf numFmtId="0" fontId="10" fillId="4" borderId="1" xfId="0" applyFont="1" applyFill="1" applyBorder="1"/>
    <xf numFmtId="0" fontId="5" fillId="6" borderId="1" xfId="0" applyFont="1" applyFill="1" applyBorder="1" applyAlignment="1">
      <alignment vertical="center"/>
    </xf>
    <xf numFmtId="0" fontId="10" fillId="6" borderId="1" xfId="0" applyFont="1" applyFill="1" applyBorder="1" applyAlignment="1">
      <alignment wrapText="1"/>
    </xf>
    <xf numFmtId="0" fontId="0" fillId="6" borderId="1" xfId="0" applyFill="1" applyBorder="1"/>
    <xf numFmtId="0" fontId="5" fillId="6" borderId="1" xfId="0" applyFont="1" applyFill="1" applyBorder="1" applyAlignment="1">
      <alignment horizontal="center" vertical="center" wrapText="1"/>
    </xf>
    <xf numFmtId="0" fontId="10" fillId="0" borderId="0" xfId="0" applyFont="1" applyAlignment="1">
      <alignment horizontal="left"/>
    </xf>
    <xf numFmtId="0" fontId="10" fillId="0" borderId="0" xfId="0" applyFont="1"/>
    <xf numFmtId="0" fontId="15" fillId="0" borderId="0" xfId="0" applyFont="1"/>
    <xf numFmtId="0" fontId="16" fillId="0" borderId="0" xfId="0" applyFont="1"/>
    <xf numFmtId="0" fontId="1" fillId="0" borderId="1" xfId="0" applyFont="1" applyBorder="1" applyAlignment="1">
      <alignment horizontal="center"/>
    </xf>
    <xf numFmtId="0" fontId="17" fillId="0" borderId="1" xfId="0" applyFont="1" applyBorder="1"/>
    <xf numFmtId="0" fontId="17" fillId="0" borderId="0" xfId="0" applyFont="1"/>
    <xf numFmtId="0" fontId="1" fillId="7" borderId="1" xfId="0" applyFont="1" applyFill="1" applyBorder="1" applyAlignment="1">
      <alignment horizontal="center"/>
    </xf>
    <xf numFmtId="0" fontId="0" fillId="7" borderId="0" xfId="0" applyFill="1"/>
    <xf numFmtId="0" fontId="1" fillId="0" borderId="10" xfId="0" applyFont="1" applyBorder="1" applyAlignment="1">
      <alignment horizontal="center"/>
    </xf>
    <xf numFmtId="0" fontId="2" fillId="0" borderId="7" xfId="0" applyFont="1" applyBorder="1"/>
    <xf numFmtId="0" fontId="2" fillId="0" borderId="8" xfId="0" applyFont="1" applyBorder="1"/>
    <xf numFmtId="0" fontId="2" fillId="0" borderId="9" xfId="0" applyFont="1" applyBorder="1"/>
    <xf numFmtId="0" fontId="2" fillId="0" borderId="2" xfId="0" applyFont="1" applyBorder="1"/>
    <xf numFmtId="0" fontId="2" fillId="0" borderId="3" xfId="0" applyFont="1" applyBorder="1"/>
    <xf numFmtId="0" fontId="2" fillId="0" borderId="4" xfId="0" applyFont="1" applyBorder="1"/>
    <xf numFmtId="0" fontId="21" fillId="0" borderId="1" xfId="0" applyFont="1" applyBorder="1"/>
    <xf numFmtId="0" fontId="22" fillId="0" borderId="1" xfId="0" applyFont="1" applyBorder="1" applyAlignment="1">
      <alignment horizontal="left"/>
    </xf>
    <xf numFmtId="0" fontId="24" fillId="0" borderId="1" xfId="0" applyFont="1" applyBorder="1"/>
    <xf numFmtId="0" fontId="18" fillId="4" borderId="1" xfId="0" applyFont="1" applyFill="1" applyBorder="1" applyAlignment="1">
      <alignment horizontal="center"/>
    </xf>
    <xf numFmtId="0" fontId="25" fillId="0" borderId="1" xfId="0" applyFont="1" applyBorder="1"/>
    <xf numFmtId="0" fontId="26" fillId="0" borderId="1" xfId="0" applyFont="1" applyBorder="1" applyAlignment="1">
      <alignment horizontal="left"/>
    </xf>
    <xf numFmtId="0" fontId="27" fillId="0" borderId="1" xfId="0" applyFont="1" applyBorder="1" applyAlignment="1">
      <alignment horizontal="left"/>
    </xf>
    <xf numFmtId="0" fontId="21" fillId="0" borderId="14" xfId="0" applyFont="1" applyBorder="1" applyAlignment="1">
      <alignment horizontal="left"/>
    </xf>
    <xf numFmtId="0" fontId="22" fillId="0" borderId="13" xfId="0" applyFont="1" applyBorder="1" applyAlignment="1">
      <alignment horizontal="left"/>
    </xf>
    <xf numFmtId="0" fontId="21" fillId="0" borderId="15" xfId="0" applyFont="1" applyBorder="1" applyAlignment="1">
      <alignment horizontal="left"/>
    </xf>
    <xf numFmtId="0" fontId="21" fillId="0" borderId="16" xfId="0" applyFont="1" applyBorder="1" applyAlignment="1">
      <alignment horizontal="left"/>
    </xf>
    <xf numFmtId="0" fontId="21" fillId="0" borderId="16" xfId="0" applyFont="1" applyBorder="1"/>
    <xf numFmtId="0" fontId="22" fillId="0" borderId="0" xfId="0" applyFont="1" applyAlignment="1">
      <alignment horizontal="left"/>
    </xf>
    <xf numFmtId="0" fontId="21" fillId="0" borderId="1" xfId="0" applyFont="1" applyBorder="1" applyAlignment="1">
      <alignment horizontal="left"/>
    </xf>
    <xf numFmtId="0" fontId="21" fillId="0" borderId="1" xfId="0" applyFont="1" applyBorder="1" applyAlignment="1">
      <alignment wrapText="1"/>
    </xf>
    <xf numFmtId="0" fontId="5" fillId="6" borderId="1" xfId="0" applyFont="1" applyFill="1" applyBorder="1" applyAlignment="1">
      <alignment vertical="center" wrapText="1"/>
    </xf>
    <xf numFmtId="0" fontId="10" fillId="4" borderId="0" xfId="0" applyFont="1" applyFill="1"/>
    <xf numFmtId="0" fontId="0" fillId="4" borderId="0" xfId="0" applyFill="1"/>
    <xf numFmtId="0" fontId="0" fillId="0" borderId="10" xfId="0" applyBorder="1"/>
    <xf numFmtId="0" fontId="22" fillId="0" borderId="14" xfId="0" applyFont="1" applyBorder="1" applyAlignment="1">
      <alignment horizontal="left"/>
    </xf>
    <xf numFmtId="0" fontId="28" fillId="0" borderId="1" xfId="0" applyFont="1" applyBorder="1"/>
    <xf numFmtId="0" fontId="29" fillId="0" borderId="1" xfId="0" applyFont="1" applyBorder="1" applyAlignment="1">
      <alignment horizontal="left"/>
    </xf>
    <xf numFmtId="0" fontId="1" fillId="7" borderId="0" xfId="0" applyFont="1" applyFill="1"/>
    <xf numFmtId="0" fontId="21" fillId="0" borderId="15" xfId="0" applyFont="1" applyBorder="1"/>
    <xf numFmtId="0" fontId="30" fillId="0" borderId="0" xfId="0" applyFont="1" applyAlignment="1">
      <alignment wrapText="1"/>
    </xf>
    <xf numFmtId="0" fontId="30" fillId="0" borderId="13" xfId="0" applyFont="1" applyBorder="1" applyAlignment="1">
      <alignment wrapText="1"/>
    </xf>
    <xf numFmtId="0" fontId="29" fillId="0" borderId="14" xfId="0" applyFont="1" applyBorder="1" applyAlignment="1">
      <alignment horizontal="left"/>
    </xf>
    <xf numFmtId="0" fontId="31" fillId="0" borderId="1" xfId="0" applyFont="1" applyBorder="1" applyAlignment="1">
      <alignment horizontal="left"/>
    </xf>
    <xf numFmtId="0" fontId="5" fillId="0" borderId="1" xfId="0" applyFont="1" applyBorder="1"/>
    <xf numFmtId="0" fontId="31" fillId="0" borderId="1" xfId="0" applyFont="1" applyBorder="1"/>
    <xf numFmtId="0" fontId="5" fillId="0" borderId="10" xfId="0" applyFont="1" applyBorder="1"/>
    <xf numFmtId="0" fontId="5" fillId="0" borderId="11" xfId="0" applyFont="1" applyBorder="1"/>
    <xf numFmtId="0" fontId="5" fillId="0" borderId="12" xfId="0" applyFont="1" applyBorder="1"/>
    <xf numFmtId="0" fontId="0" fillId="2" borderId="1" xfId="0" applyFill="1" applyBorder="1"/>
    <xf numFmtId="0" fontId="32" fillId="8" borderId="1" xfId="0" applyFont="1" applyFill="1" applyBorder="1" applyAlignment="1">
      <alignment horizontal="right"/>
    </xf>
    <xf numFmtId="0" fontId="1" fillId="4" borderId="1" xfId="0" applyFont="1" applyFill="1" applyBorder="1"/>
    <xf numFmtId="0" fontId="1" fillId="2" borderId="1" xfId="0" applyFont="1" applyFill="1" applyBorder="1"/>
    <xf numFmtId="165" fontId="1" fillId="8" borderId="1" xfId="0" applyNumberFormat="1" applyFont="1" applyFill="1" applyBorder="1"/>
    <xf numFmtId="10" fontId="0" fillId="5" borderId="1" xfId="0" applyNumberFormat="1" applyFill="1" applyBorder="1"/>
    <xf numFmtId="10" fontId="0" fillId="2" borderId="1" xfId="0" applyNumberFormat="1" applyFill="1" applyBorder="1"/>
    <xf numFmtId="10" fontId="0" fillId="8" borderId="1" xfId="0" applyNumberFormat="1" applyFill="1" applyBorder="1"/>
    <xf numFmtId="10" fontId="0" fillId="4" borderId="1" xfId="0" applyNumberFormat="1" applyFill="1" applyBorder="1"/>
    <xf numFmtId="165" fontId="1" fillId="5" borderId="1" xfId="0" applyNumberFormat="1" applyFont="1" applyFill="1" applyBorder="1"/>
    <xf numFmtId="165" fontId="1" fillId="2" borderId="1" xfId="0" applyNumberFormat="1" applyFont="1" applyFill="1" applyBorder="1"/>
    <xf numFmtId="165" fontId="1" fillId="4" borderId="1" xfId="0" applyNumberFormat="1" applyFont="1" applyFill="1" applyBorder="1"/>
    <xf numFmtId="0" fontId="30" fillId="0" borderId="1" xfId="0" applyFont="1" applyBorder="1" applyAlignment="1">
      <alignment wrapText="1"/>
    </xf>
    <xf numFmtId="10" fontId="17" fillId="2" borderId="1" xfId="0" applyNumberFormat="1" applyFont="1" applyFill="1" applyBorder="1"/>
    <xf numFmtId="165" fontId="33" fillId="2" borderId="1" xfId="0" applyNumberFormat="1" applyFont="1" applyFill="1" applyBorder="1"/>
    <xf numFmtId="0" fontId="29" fillId="0" borderId="1" xfId="0" applyFont="1" applyBorder="1"/>
    <xf numFmtId="0" fontId="29" fillId="0" borderId="13" xfId="0" applyFont="1" applyBorder="1" applyAlignment="1">
      <alignment horizontal="left"/>
    </xf>
    <xf numFmtId="0" fontId="5" fillId="0" borderId="0" xfId="0" applyFont="1" applyAlignment="1">
      <alignment horizontal="left"/>
    </xf>
    <xf numFmtId="0" fontId="35" fillId="2" borderId="1" xfId="0" applyFont="1" applyFill="1" applyBorder="1"/>
    <xf numFmtId="0" fontId="35" fillId="2" borderId="1" xfId="0" applyFont="1" applyFill="1" applyBorder="1" applyAlignment="1">
      <alignment horizontal="center"/>
    </xf>
    <xf numFmtId="0" fontId="35" fillId="2" borderId="1" xfId="0" applyFont="1" applyFill="1" applyBorder="1" applyAlignment="1">
      <alignment horizontal="center" wrapText="1"/>
    </xf>
    <xf numFmtId="0" fontId="29" fillId="0" borderId="0" xfId="0" applyFont="1" applyAlignment="1">
      <alignment horizontal="left"/>
    </xf>
    <xf numFmtId="0" fontId="36" fillId="0" borderId="1" xfId="0" applyFont="1" applyBorder="1" applyAlignment="1">
      <alignment vertical="top" wrapText="1"/>
    </xf>
    <xf numFmtId="0" fontId="29" fillId="0" borderId="1" xfId="0" applyFont="1" applyBorder="1" applyAlignment="1">
      <alignment vertical="top" wrapText="1"/>
    </xf>
    <xf numFmtId="0" fontId="0" fillId="0" borderId="10" xfId="0" applyBorder="1" applyAlignment="1">
      <alignment horizontal="right"/>
    </xf>
    <xf numFmtId="0" fontId="0" fillId="0" borderId="1" xfId="0" applyBorder="1" applyAlignment="1">
      <alignment horizontal="right"/>
    </xf>
    <xf numFmtId="0" fontId="29" fillId="0" borderId="17" xfId="0" applyFont="1" applyBorder="1" applyAlignment="1">
      <alignment horizontal="left"/>
    </xf>
    <xf numFmtId="0" fontId="29" fillId="0" borderId="18" xfId="0" applyFont="1" applyBorder="1" applyAlignment="1">
      <alignment horizontal="left"/>
    </xf>
    <xf numFmtId="0" fontId="29" fillId="8" borderId="13" xfId="0" applyFont="1" applyFill="1" applyBorder="1" applyAlignment="1">
      <alignment horizontal="left"/>
    </xf>
    <xf numFmtId="0" fontId="29" fillId="8" borderId="1" xfId="0" applyFont="1" applyFill="1" applyBorder="1" applyAlignment="1">
      <alignment horizontal="left"/>
    </xf>
    <xf numFmtId="0" fontId="5" fillId="8" borderId="1" xfId="0" applyFont="1" applyFill="1" applyBorder="1"/>
    <xf numFmtId="0" fontId="1" fillId="8" borderId="0" xfId="0" applyFont="1" applyFill="1" applyAlignment="1">
      <alignment horizontal="center"/>
    </xf>
    <xf numFmtId="10" fontId="0" fillId="9" borderId="1" xfId="0" applyNumberFormat="1" applyFill="1" applyBorder="1"/>
    <xf numFmtId="165" fontId="1" fillId="9" borderId="1" xfId="0" applyNumberFormat="1" applyFont="1" applyFill="1" applyBorder="1"/>
    <xf numFmtId="10" fontId="39" fillId="9" borderId="1" xfId="0" applyNumberFormat="1" applyFont="1" applyFill="1" applyBorder="1"/>
    <xf numFmtId="165" fontId="40" fillId="9" borderId="1" xfId="0" applyNumberFormat="1" applyFont="1" applyFill="1" applyBorder="1"/>
    <xf numFmtId="0" fontId="37" fillId="9" borderId="1" xfId="0" applyFont="1" applyFill="1" applyBorder="1" applyAlignment="1">
      <alignment horizontal="left"/>
    </xf>
    <xf numFmtId="0" fontId="43" fillId="9" borderId="1" xfId="0" applyFont="1" applyFill="1" applyBorder="1" applyAlignment="1">
      <alignment horizontal="left"/>
    </xf>
    <xf numFmtId="0" fontId="45" fillId="9" borderId="1" xfId="0" applyFont="1" applyFill="1" applyBorder="1" applyAlignment="1">
      <alignment horizontal="left"/>
    </xf>
    <xf numFmtId="0" fontId="46" fillId="9" borderId="1" xfId="0" applyFont="1" applyFill="1" applyBorder="1"/>
    <xf numFmtId="0" fontId="41" fillId="9" borderId="1" xfId="0" applyFont="1" applyFill="1" applyBorder="1"/>
    <xf numFmtId="0" fontId="37" fillId="9" borderId="1" xfId="0" applyFont="1" applyFill="1" applyBorder="1" applyAlignment="1">
      <alignment wrapText="1"/>
    </xf>
    <xf numFmtId="44" fontId="0" fillId="0" borderId="0" xfId="1" applyFont="1"/>
    <xf numFmtId="44" fontId="1" fillId="0" borderId="0" xfId="1" applyFont="1" applyAlignment="1">
      <alignment horizontal="center"/>
    </xf>
    <xf numFmtId="44" fontId="1" fillId="0" borderId="8" xfId="1" applyFont="1" applyBorder="1"/>
    <xf numFmtId="44" fontId="6" fillId="2" borderId="11" xfId="1" applyFont="1" applyFill="1" applyBorder="1"/>
    <xf numFmtId="44" fontId="5" fillId="0" borderId="3" xfId="1" applyFont="1" applyBorder="1"/>
    <xf numFmtId="44" fontId="5" fillId="0" borderId="0" xfId="1" applyFont="1"/>
    <xf numFmtId="44" fontId="5" fillId="0" borderId="8" xfId="1" applyFont="1" applyBorder="1"/>
    <xf numFmtId="44" fontId="5" fillId="0" borderId="11" xfId="1" applyFont="1" applyBorder="1"/>
    <xf numFmtId="44" fontId="35" fillId="2" borderId="1" xfId="1" applyFont="1" applyFill="1" applyBorder="1" applyAlignment="1">
      <alignment horizontal="center"/>
    </xf>
    <xf numFmtId="44" fontId="0" fillId="4" borderId="1" xfId="1" applyFont="1" applyFill="1" applyBorder="1"/>
    <xf numFmtId="44" fontId="0" fillId="2" borderId="1" xfId="1" applyFont="1" applyFill="1" applyBorder="1"/>
    <xf numFmtId="44" fontId="0" fillId="5" borderId="1" xfId="1" applyFont="1" applyFill="1" applyBorder="1"/>
    <xf numFmtId="44" fontId="39" fillId="9" borderId="1" xfId="1" applyFont="1" applyFill="1" applyBorder="1"/>
    <xf numFmtId="44" fontId="0" fillId="8" borderId="1" xfId="1" applyFont="1" applyFill="1" applyBorder="1"/>
    <xf numFmtId="44" fontId="0" fillId="5" borderId="12" xfId="1" applyFont="1" applyFill="1" applyBorder="1"/>
    <xf numFmtId="44" fontId="0" fillId="9" borderId="12" xfId="1" applyFont="1" applyFill="1" applyBorder="1"/>
    <xf numFmtId="44" fontId="0" fillId="9" borderId="1" xfId="1" applyFont="1" applyFill="1" applyBorder="1"/>
    <xf numFmtId="44" fontId="17" fillId="2" borderId="1" xfId="1" applyFont="1" applyFill="1" applyBorder="1"/>
    <xf numFmtId="0" fontId="0" fillId="0" borderId="0" xfId="0" applyAlignment="1">
      <alignment horizontal="center"/>
    </xf>
    <xf numFmtId="9" fontId="2" fillId="6" borderId="1" xfId="2" applyFont="1" applyFill="1" applyBorder="1" applyAlignment="1">
      <alignment horizontal="center" vertical="center" wrapText="1"/>
    </xf>
    <xf numFmtId="9" fontId="0" fillId="4" borderId="1" xfId="2" applyFont="1" applyFill="1" applyBorder="1" applyAlignment="1">
      <alignment wrapText="1"/>
    </xf>
    <xf numFmtId="9" fontId="10" fillId="0" borderId="0" xfId="2" applyFont="1" applyAlignment="1">
      <alignment horizontal="center"/>
    </xf>
    <xf numFmtId="9" fontId="0" fillId="0" borderId="0" xfId="2" applyFont="1" applyAlignment="1">
      <alignment horizontal="center"/>
    </xf>
    <xf numFmtId="9" fontId="0" fillId="4" borderId="1" xfId="2" applyFont="1" applyFill="1" applyBorder="1" applyAlignment="1">
      <alignment horizontal="center" wrapText="1"/>
    </xf>
    <xf numFmtId="0" fontId="10" fillId="0" borderId="0" xfId="0" applyFont="1" applyAlignment="1">
      <alignment horizontal="center"/>
    </xf>
    <xf numFmtId="0" fontId="0" fillId="6" borderId="1" xfId="0" applyFill="1" applyBorder="1" applyAlignment="1">
      <alignment horizontal="center" wrapText="1"/>
    </xf>
    <xf numFmtId="3" fontId="0" fillId="4" borderId="1" xfId="0" applyNumberFormat="1" applyFill="1" applyBorder="1" applyAlignment="1">
      <alignment horizontal="center"/>
    </xf>
    <xf numFmtId="0" fontId="0" fillId="4" borderId="1" xfId="0" applyFill="1" applyBorder="1" applyAlignment="1">
      <alignment horizontal="center"/>
    </xf>
    <xf numFmtId="9" fontId="12" fillId="0" borderId="0" xfId="2" applyFont="1" applyAlignment="1">
      <alignment horizontal="center" wrapText="1"/>
    </xf>
    <xf numFmtId="9" fontId="0" fillId="3" borderId="0" xfId="2" applyFont="1" applyFill="1" applyAlignment="1">
      <alignment wrapText="1"/>
    </xf>
    <xf numFmtId="9" fontId="0" fillId="4" borderId="0" xfId="2" applyFont="1" applyFill="1" applyAlignment="1">
      <alignment wrapText="1"/>
    </xf>
    <xf numFmtId="9" fontId="0" fillId="0" borderId="0" xfId="2" applyFont="1" applyAlignment="1">
      <alignment wrapText="1"/>
    </xf>
    <xf numFmtId="10" fontId="0" fillId="10" borderId="1" xfId="0" applyNumberFormat="1" applyFill="1" applyBorder="1"/>
    <xf numFmtId="165" fontId="1" fillId="10" borderId="1" xfId="0" applyNumberFormat="1" applyFont="1" applyFill="1" applyBorder="1"/>
    <xf numFmtId="0" fontId="9" fillId="10" borderId="0" xfId="0" applyFont="1" applyFill="1" applyAlignment="1">
      <alignment horizontal="center"/>
    </xf>
    <xf numFmtId="0" fontId="1" fillId="8" borderId="0" xfId="0" applyFont="1" applyFill="1" applyAlignment="1">
      <alignment horizontal="center"/>
    </xf>
    <xf numFmtId="0" fontId="1" fillId="0" borderId="0" xfId="0" applyFont="1" applyAlignment="1">
      <alignment horizontal="center"/>
    </xf>
    <xf numFmtId="0" fontId="9" fillId="6" borderId="10" xfId="0" applyFont="1" applyFill="1" applyBorder="1" applyAlignment="1">
      <alignment horizontal="left"/>
    </xf>
    <xf numFmtId="0" fontId="9" fillId="6" borderId="11" xfId="0" applyFont="1" applyFill="1" applyBorder="1" applyAlignment="1">
      <alignment horizontal="left"/>
    </xf>
    <xf numFmtId="0" fontId="9" fillId="6" borderId="12" xfId="0" applyFont="1" applyFill="1" applyBorder="1" applyAlignment="1">
      <alignment horizontal="left"/>
    </xf>
    <xf numFmtId="0" fontId="10" fillId="0" borderId="2" xfId="0" applyFont="1" applyBorder="1" applyAlignment="1">
      <alignment horizontal="left"/>
    </xf>
    <xf numFmtId="0" fontId="10" fillId="0" borderId="3" xfId="0" applyFont="1" applyBorder="1" applyAlignment="1">
      <alignment horizontal="left"/>
    </xf>
    <xf numFmtId="0" fontId="10" fillId="0" borderId="4" xfId="0" applyFont="1" applyBorder="1" applyAlignment="1">
      <alignment horizontal="left"/>
    </xf>
    <xf numFmtId="0" fontId="10" fillId="0" borderId="7" xfId="0" applyFont="1" applyBorder="1" applyAlignment="1">
      <alignment horizontal="left"/>
    </xf>
    <xf numFmtId="0" fontId="10" fillId="0" borderId="8" xfId="0" applyFont="1" applyBorder="1" applyAlignment="1">
      <alignment horizontal="left"/>
    </xf>
    <xf numFmtId="0" fontId="10" fillId="0" borderId="9" xfId="0" applyFont="1" applyBorder="1" applyAlignment="1">
      <alignment horizontal="left"/>
    </xf>
    <xf numFmtId="0" fontId="10" fillId="0" borderId="0" xfId="0" applyFont="1" applyAlignment="1">
      <alignment horizontal="left"/>
    </xf>
    <xf numFmtId="0" fontId="10" fillId="0" borderId="5" xfId="0" applyFont="1" applyBorder="1" applyAlignment="1">
      <alignment horizontal="left"/>
    </xf>
    <xf numFmtId="0" fontId="10" fillId="0" borderId="6" xfId="0" applyFont="1" applyBorder="1" applyAlignment="1">
      <alignment horizontal="left"/>
    </xf>
    <xf numFmtId="0" fontId="3" fillId="8" borderId="0" xfId="0" applyFont="1" applyFill="1" applyAlignment="1">
      <alignment horizontal="center"/>
    </xf>
    <xf numFmtId="0" fontId="3" fillId="0" borderId="0" xfId="0" applyFont="1" applyAlignment="1">
      <alignment horizontal="center"/>
    </xf>
    <xf numFmtId="0" fontId="2" fillId="0" borderId="0" xfId="0" applyFont="1" applyAlignment="1">
      <alignment horizontal="center"/>
    </xf>
    <xf numFmtId="0" fontId="4" fillId="2" borderId="2" xfId="0" applyFont="1" applyFill="1" applyBorder="1" applyAlignment="1">
      <alignment horizontal="left"/>
    </xf>
    <xf numFmtId="0" fontId="4" fillId="2" borderId="3" xfId="0" applyFont="1" applyFill="1" applyBorder="1" applyAlignment="1">
      <alignment horizontal="left"/>
    </xf>
    <xf numFmtId="0" fontId="4" fillId="2" borderId="4" xfId="0" applyFont="1" applyFill="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12"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5" xfId="0" applyFont="1" applyBorder="1" applyAlignment="1">
      <alignment horizontal="left" vertical="top"/>
    </xf>
    <xf numFmtId="0" fontId="2" fillId="0" borderId="0" xfId="0" applyFont="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1" fillId="0" borderId="1" xfId="0" applyFont="1" applyBorder="1" applyAlignment="1">
      <alignment horizontal="center"/>
    </xf>
    <xf numFmtId="0" fontId="0" fillId="3" borderId="1" xfId="0" applyFill="1" applyBorder="1" applyAlignment="1">
      <alignment horizontal="center"/>
    </xf>
    <xf numFmtId="0" fontId="6" fillId="0" borderId="1" xfId="0" applyFont="1" applyBorder="1" applyAlignment="1">
      <alignment horizontal="left"/>
    </xf>
    <xf numFmtId="0" fontId="5" fillId="0" borderId="7" xfId="0" applyFont="1" applyBorder="1" applyAlignment="1">
      <alignment horizontal="left"/>
    </xf>
    <xf numFmtId="0" fontId="5" fillId="0" borderId="8" xfId="0" applyFont="1" applyBorder="1" applyAlignment="1">
      <alignment horizontal="left"/>
    </xf>
    <xf numFmtId="0" fontId="5" fillId="0" borderId="9" xfId="0" applyFont="1" applyBorder="1" applyAlignment="1">
      <alignment horizontal="left"/>
    </xf>
    <xf numFmtId="0" fontId="0" fillId="0" borderId="0" xfId="0" applyAlignment="1">
      <alignment horizontal="center"/>
    </xf>
    <xf numFmtId="0" fontId="7" fillId="2" borderId="10" xfId="0" applyFont="1" applyFill="1" applyBorder="1" applyAlignment="1">
      <alignment horizontal="left"/>
    </xf>
    <xf numFmtId="0" fontId="6" fillId="2" borderId="11" xfId="0" applyFont="1" applyFill="1" applyBorder="1" applyAlignment="1">
      <alignment horizontal="left"/>
    </xf>
    <xf numFmtId="0" fontId="6" fillId="2" borderId="12" xfId="0" applyFont="1" applyFill="1" applyBorder="1" applyAlignment="1">
      <alignment horizontal="left"/>
    </xf>
    <xf numFmtId="0" fontId="5" fillId="0" borderId="2" xfId="0" applyFont="1" applyBorder="1" applyAlignment="1">
      <alignment horizontal="left"/>
    </xf>
    <xf numFmtId="0" fontId="5" fillId="0" borderId="3" xfId="0" applyFont="1" applyBorder="1" applyAlignment="1">
      <alignment horizontal="left"/>
    </xf>
    <xf numFmtId="0" fontId="5" fillId="0" borderId="4" xfId="0" applyFont="1" applyBorder="1" applyAlignment="1">
      <alignment horizontal="left"/>
    </xf>
    <xf numFmtId="0" fontId="5" fillId="0" borderId="5" xfId="0" applyFont="1" applyBorder="1" applyAlignment="1">
      <alignment horizontal="left"/>
    </xf>
    <xf numFmtId="0" fontId="5" fillId="0" borderId="0" xfId="0" applyFont="1" applyAlignment="1">
      <alignment horizontal="left"/>
    </xf>
    <xf numFmtId="0" fontId="5" fillId="0" borderId="6" xfId="0" applyFont="1" applyBorder="1" applyAlignment="1">
      <alignment horizontal="left"/>
    </xf>
    <xf numFmtId="0" fontId="34" fillId="0" borderId="0" xfId="0" applyFont="1" applyAlignment="1">
      <alignment horizontal="center"/>
    </xf>
    <xf numFmtId="0" fontId="14" fillId="0" borderId="5" xfId="0" applyFont="1" applyBorder="1" applyAlignment="1">
      <alignment horizontal="left"/>
    </xf>
    <xf numFmtId="0" fontId="14" fillId="0" borderId="0" xfId="0" applyFont="1" applyAlignment="1">
      <alignment horizontal="left"/>
    </xf>
    <xf numFmtId="0" fontId="10" fillId="6" borderId="10" xfId="0" applyFont="1" applyFill="1" applyBorder="1" applyAlignment="1">
      <alignment horizontal="left"/>
    </xf>
    <xf numFmtId="0" fontId="10" fillId="6" borderId="11" xfId="0" applyFont="1" applyFill="1" applyBorder="1" applyAlignment="1">
      <alignment horizontal="left"/>
    </xf>
    <xf numFmtId="0" fontId="14" fillId="0" borderId="2" xfId="0" applyFont="1" applyBorder="1" applyAlignment="1">
      <alignment horizontal="left"/>
    </xf>
    <xf numFmtId="0" fontId="14" fillId="0" borderId="3" xfId="0" applyFont="1" applyBorder="1" applyAlignment="1">
      <alignment horizontal="left"/>
    </xf>
    <xf numFmtId="0" fontId="19" fillId="0" borderId="0" xfId="0" applyFont="1" applyAlignment="1">
      <alignment horizontal="center"/>
    </xf>
    <xf numFmtId="0" fontId="1" fillId="0" borderId="0" xfId="0" applyFont="1" applyFill="1" applyAlignment="1">
      <alignment horizontal="center"/>
    </xf>
    <xf numFmtId="0" fontId="11" fillId="0" borderId="0" xfId="0" applyFont="1" applyFill="1"/>
    <xf numFmtId="0" fontId="0" fillId="0" borderId="0" xfId="0" applyFill="1"/>
    <xf numFmtId="0" fontId="5" fillId="0" borderId="1" xfId="0" applyFont="1" applyFill="1" applyBorder="1" applyAlignment="1">
      <alignment vertical="center"/>
    </xf>
    <xf numFmtId="0" fontId="0" fillId="0" borderId="1" xfId="0" applyFill="1" applyBorder="1"/>
    <xf numFmtId="0" fontId="10" fillId="0" borderId="1" xfId="0" applyFont="1" applyFill="1" applyBorder="1"/>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CCFF"/>
      <color rgb="FFC9A6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E43C6-0DBC-4222-8C6F-F4920CDAF272}">
  <sheetPr>
    <pageSetUpPr fitToPage="1"/>
  </sheetPr>
  <dimension ref="A1:N22"/>
  <sheetViews>
    <sheetView zoomScaleNormal="100" workbookViewId="0">
      <selection activeCell="A5" sqref="A5:N6"/>
    </sheetView>
  </sheetViews>
  <sheetFormatPr defaultRowHeight="14.5" x14ac:dyDescent="0.35"/>
  <cols>
    <col min="1" max="13" width="9.1796875" style="4"/>
    <col min="14" max="14" width="9.1796875" style="4" customWidth="1"/>
  </cols>
  <sheetData>
    <row r="1" spans="1:14" ht="18.5" x14ac:dyDescent="0.45">
      <c r="A1" s="40" t="s">
        <v>0</v>
      </c>
    </row>
    <row r="2" spans="1:14" ht="18.5" x14ac:dyDescent="0.45">
      <c r="A2" s="40" t="s">
        <v>1</v>
      </c>
    </row>
    <row r="3" spans="1:14" ht="18.5" x14ac:dyDescent="0.45">
      <c r="A3" s="39" t="s">
        <v>2</v>
      </c>
    </row>
    <row r="4" spans="1:14" ht="18.5" x14ac:dyDescent="0.45">
      <c r="A4" s="39" t="s">
        <v>3</v>
      </c>
    </row>
    <row r="5" spans="1:14" x14ac:dyDescent="0.35">
      <c r="A5" s="177" t="s">
        <v>366</v>
      </c>
      <c r="B5" s="177"/>
      <c r="C5" s="177"/>
      <c r="D5" s="177"/>
      <c r="E5" s="177"/>
      <c r="F5" s="177"/>
      <c r="G5" s="177"/>
      <c r="H5" s="177"/>
      <c r="I5" s="177"/>
      <c r="J5" s="177"/>
      <c r="K5" s="177"/>
      <c r="L5" s="177"/>
      <c r="M5" s="177"/>
      <c r="N5" s="177"/>
    </row>
    <row r="6" spans="1:14" x14ac:dyDescent="0.35">
      <c r="A6" s="177"/>
      <c r="B6" s="177"/>
      <c r="C6" s="177"/>
      <c r="D6" s="177"/>
      <c r="E6" s="177"/>
      <c r="F6" s="177"/>
      <c r="G6" s="177"/>
      <c r="H6" s="177"/>
      <c r="I6" s="177"/>
      <c r="J6" s="177"/>
      <c r="K6" s="177"/>
      <c r="L6" s="177"/>
      <c r="M6" s="177"/>
      <c r="N6" s="177"/>
    </row>
    <row r="7" spans="1:14" x14ac:dyDescent="0.35">
      <c r="A7" s="178" t="s">
        <v>4</v>
      </c>
      <c r="B7" s="179"/>
      <c r="C7" s="179"/>
      <c r="D7" s="179"/>
      <c r="E7" s="179"/>
      <c r="F7" s="179"/>
      <c r="G7" s="179"/>
      <c r="H7" s="179"/>
      <c r="I7" s="179"/>
      <c r="J7" s="179"/>
      <c r="K7" s="179"/>
      <c r="L7" s="179"/>
      <c r="M7" s="179"/>
      <c r="N7" s="179"/>
    </row>
    <row r="8" spans="1:14" x14ac:dyDescent="0.35">
      <c r="A8" s="180" t="s">
        <v>5</v>
      </c>
      <c r="B8" s="181"/>
      <c r="C8" s="181"/>
      <c r="D8" s="181"/>
      <c r="E8" s="181"/>
      <c r="F8" s="181"/>
      <c r="G8" s="181"/>
      <c r="H8" s="181"/>
      <c r="I8" s="181"/>
      <c r="J8" s="181"/>
      <c r="K8" s="181"/>
      <c r="L8" s="181"/>
      <c r="M8" s="181"/>
      <c r="N8" s="182"/>
    </row>
    <row r="9" spans="1:14" x14ac:dyDescent="0.35">
      <c r="A9" s="192" t="s">
        <v>6</v>
      </c>
      <c r="B9" s="193"/>
      <c r="C9" s="193"/>
      <c r="D9" s="193"/>
      <c r="E9" s="193"/>
      <c r="F9" s="193"/>
      <c r="G9" s="193"/>
      <c r="H9" s="193"/>
      <c r="I9" s="193"/>
      <c r="J9" s="193"/>
      <c r="K9" s="193"/>
      <c r="L9" s="193"/>
      <c r="M9" s="193"/>
      <c r="N9" s="194"/>
    </row>
    <row r="10" spans="1:14" x14ac:dyDescent="0.35">
      <c r="A10" s="195" t="s">
        <v>7</v>
      </c>
      <c r="B10" s="196"/>
      <c r="C10" s="196"/>
      <c r="D10" s="196"/>
      <c r="E10" s="196"/>
      <c r="F10" s="196"/>
      <c r="G10" s="196"/>
      <c r="H10" s="196"/>
      <c r="I10" s="196"/>
      <c r="J10" s="196"/>
      <c r="K10" s="196"/>
      <c r="L10" s="196"/>
      <c r="M10" s="196"/>
      <c r="N10" s="197"/>
    </row>
    <row r="11" spans="1:14" x14ac:dyDescent="0.35">
      <c r="A11" s="195" t="s">
        <v>8</v>
      </c>
      <c r="B11" s="196"/>
      <c r="C11" s="196"/>
      <c r="D11" s="196"/>
      <c r="E11" s="196"/>
      <c r="F11" s="196"/>
      <c r="G11" s="196"/>
      <c r="H11" s="196"/>
      <c r="I11" s="196"/>
      <c r="J11" s="196"/>
      <c r="K11" s="196"/>
      <c r="L11" s="196"/>
      <c r="M11" s="196"/>
      <c r="N11" s="197"/>
    </row>
    <row r="12" spans="1:14" x14ac:dyDescent="0.35">
      <c r="A12" s="195" t="s">
        <v>9</v>
      </c>
      <c r="B12" s="196"/>
      <c r="C12" s="196"/>
      <c r="D12" s="196"/>
      <c r="E12" s="196"/>
      <c r="F12" s="196"/>
      <c r="G12" s="196"/>
      <c r="H12" s="196"/>
      <c r="I12" s="196"/>
      <c r="J12" s="196"/>
      <c r="K12" s="196"/>
      <c r="L12" s="196"/>
      <c r="M12" s="196"/>
      <c r="N12" s="197"/>
    </row>
    <row r="13" spans="1:14" x14ac:dyDescent="0.35">
      <c r="A13" s="198" t="s">
        <v>10</v>
      </c>
      <c r="B13" s="199"/>
      <c r="C13" s="199"/>
      <c r="D13" s="199"/>
      <c r="E13" s="199"/>
      <c r="F13" s="199"/>
      <c r="G13" s="199"/>
      <c r="H13" s="199"/>
      <c r="I13" s="199"/>
      <c r="J13" s="199"/>
      <c r="K13" s="199"/>
      <c r="L13" s="199"/>
      <c r="M13" s="199"/>
      <c r="N13" s="200"/>
    </row>
    <row r="14" spans="1:14" x14ac:dyDescent="0.35">
      <c r="A14" s="50" t="s">
        <v>11</v>
      </c>
      <c r="B14" s="51"/>
      <c r="C14" s="51"/>
      <c r="D14" s="51"/>
      <c r="E14" s="51"/>
      <c r="F14" s="51"/>
      <c r="G14" s="51"/>
      <c r="H14" s="51"/>
      <c r="I14" s="51"/>
      <c r="J14" s="51"/>
      <c r="K14" s="51"/>
      <c r="L14" s="51"/>
      <c r="M14" s="51"/>
      <c r="N14" s="52"/>
    </row>
    <row r="15" spans="1:14" x14ac:dyDescent="0.35">
      <c r="A15" s="47" t="s">
        <v>12</v>
      </c>
      <c r="B15" s="48"/>
      <c r="C15" s="48"/>
      <c r="D15" s="48"/>
      <c r="E15" s="48"/>
      <c r="F15" s="48"/>
      <c r="G15" s="48"/>
      <c r="H15" s="48"/>
      <c r="I15" s="48"/>
      <c r="J15" s="48"/>
      <c r="K15" s="48"/>
      <c r="L15" s="48"/>
      <c r="M15" s="48"/>
      <c r="N15" s="49"/>
    </row>
    <row r="16" spans="1:14" x14ac:dyDescent="0.35">
      <c r="A16" s="186" t="s">
        <v>13</v>
      </c>
      <c r="B16" s="187"/>
      <c r="C16" s="187"/>
      <c r="D16" s="187"/>
      <c r="E16" s="187"/>
      <c r="F16" s="187"/>
      <c r="G16" s="187"/>
      <c r="H16" s="187"/>
      <c r="I16" s="187"/>
      <c r="J16" s="187"/>
      <c r="K16" s="187"/>
      <c r="L16" s="187"/>
      <c r="M16" s="187"/>
      <c r="N16" s="188"/>
    </row>
    <row r="17" spans="1:14" x14ac:dyDescent="0.35">
      <c r="A17" s="189" t="s">
        <v>14</v>
      </c>
      <c r="B17" s="190"/>
      <c r="C17" s="190"/>
      <c r="D17" s="190"/>
      <c r="E17" s="190"/>
      <c r="F17" s="190"/>
      <c r="G17" s="190"/>
      <c r="H17" s="190"/>
      <c r="I17" s="190"/>
      <c r="J17" s="190"/>
      <c r="K17" s="190"/>
      <c r="L17" s="190"/>
      <c r="M17" s="190"/>
      <c r="N17" s="191"/>
    </row>
    <row r="18" spans="1:14" x14ac:dyDescent="0.35">
      <c r="A18" s="183" t="s">
        <v>15</v>
      </c>
      <c r="B18" s="184"/>
      <c r="C18" s="184"/>
      <c r="D18" s="184"/>
      <c r="E18" s="184"/>
      <c r="F18" s="184"/>
      <c r="G18" s="184"/>
      <c r="H18" s="184"/>
      <c r="I18" s="184"/>
      <c r="J18" s="184"/>
      <c r="K18" s="184"/>
      <c r="L18" s="184"/>
      <c r="M18" s="184"/>
      <c r="N18" s="185"/>
    </row>
    <row r="19" spans="1:14" x14ac:dyDescent="0.35">
      <c r="A19" s="183" t="s">
        <v>16</v>
      </c>
      <c r="B19" s="184"/>
      <c r="C19" s="184"/>
      <c r="D19" s="184"/>
      <c r="E19" s="184"/>
      <c r="F19" s="184"/>
      <c r="G19" s="184"/>
      <c r="H19" s="184"/>
      <c r="I19" s="184"/>
      <c r="J19" s="184"/>
      <c r="K19" s="184"/>
      <c r="L19" s="184"/>
      <c r="M19" s="184"/>
      <c r="N19" s="185"/>
    </row>
    <row r="20" spans="1:14" x14ac:dyDescent="0.35">
      <c r="A20" s="186" t="s">
        <v>17</v>
      </c>
      <c r="B20" s="187"/>
      <c r="C20" s="187"/>
      <c r="D20" s="187"/>
      <c r="E20" s="187"/>
      <c r="F20" s="187"/>
      <c r="G20" s="187"/>
      <c r="H20" s="187"/>
      <c r="I20" s="187"/>
      <c r="J20" s="187"/>
      <c r="K20" s="187"/>
      <c r="L20" s="187"/>
      <c r="M20" s="187"/>
      <c r="N20" s="188"/>
    </row>
    <row r="21" spans="1:14" x14ac:dyDescent="0.35">
      <c r="A21" s="189" t="s">
        <v>18</v>
      </c>
      <c r="B21" s="190"/>
      <c r="C21" s="190"/>
      <c r="D21" s="190"/>
      <c r="E21" s="190"/>
      <c r="F21" s="190"/>
      <c r="G21" s="190"/>
      <c r="H21" s="190"/>
      <c r="I21" s="190"/>
      <c r="J21" s="190"/>
      <c r="K21" s="190"/>
      <c r="L21" s="190"/>
      <c r="M21" s="190"/>
      <c r="N21" s="191"/>
    </row>
    <row r="22" spans="1:14" x14ac:dyDescent="0.35">
      <c r="A22" s="183" t="s">
        <v>19</v>
      </c>
      <c r="B22" s="184"/>
      <c r="C22" s="184"/>
      <c r="D22" s="184"/>
      <c r="E22" s="184"/>
      <c r="F22" s="184"/>
      <c r="G22" s="184"/>
      <c r="H22" s="184"/>
      <c r="I22" s="184"/>
      <c r="J22" s="184"/>
      <c r="K22" s="184"/>
      <c r="L22" s="184"/>
      <c r="M22" s="184"/>
      <c r="N22" s="185"/>
    </row>
  </sheetData>
  <mergeCells count="15">
    <mergeCell ref="A5:N6"/>
    <mergeCell ref="A7:N7"/>
    <mergeCell ref="A8:N8"/>
    <mergeCell ref="A22:N22"/>
    <mergeCell ref="A16:N16"/>
    <mergeCell ref="A17:N17"/>
    <mergeCell ref="A18:N18"/>
    <mergeCell ref="A19:N19"/>
    <mergeCell ref="A20:N20"/>
    <mergeCell ref="A21:N21"/>
    <mergeCell ref="A9:N9"/>
    <mergeCell ref="A10:N10"/>
    <mergeCell ref="A11:N11"/>
    <mergeCell ref="A12:N12"/>
    <mergeCell ref="A13:N13"/>
  </mergeCells>
  <pageMargins left="0.7" right="0.7" top="0.75" bottom="0.75" header="0.3" footer="0.3"/>
  <pageSetup scale="71"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FC44C-22C1-4241-A5EB-6B9C715242DA}">
  <sheetPr>
    <tabColor theme="9" tint="0.59999389629810485"/>
  </sheetPr>
  <dimension ref="A1:G28"/>
  <sheetViews>
    <sheetView zoomScaleNormal="100" workbookViewId="0">
      <selection activeCell="C30" sqref="C30"/>
    </sheetView>
  </sheetViews>
  <sheetFormatPr defaultRowHeight="14.5" x14ac:dyDescent="0.35"/>
  <cols>
    <col min="1" max="1" width="12.54296875" customWidth="1"/>
    <col min="2" max="2" width="43.453125" customWidth="1"/>
    <col min="7" max="7" width="12" customWidth="1"/>
  </cols>
  <sheetData>
    <row r="1" spans="1:7" x14ac:dyDescent="0.35">
      <c r="A1" s="163" t="s">
        <v>366</v>
      </c>
      <c r="B1" s="163"/>
      <c r="C1" s="163"/>
      <c r="D1" s="163"/>
      <c r="E1" s="163"/>
      <c r="F1" s="163"/>
      <c r="G1" s="163"/>
    </row>
    <row r="2" spans="1:7" x14ac:dyDescent="0.35">
      <c r="A2" s="164" t="s">
        <v>178</v>
      </c>
      <c r="B2" s="164"/>
      <c r="C2" s="164"/>
      <c r="D2" s="164"/>
      <c r="E2" s="164"/>
      <c r="F2" s="164"/>
      <c r="G2" s="164"/>
    </row>
    <row r="3" spans="1:7" x14ac:dyDescent="0.35">
      <c r="A3" s="164" t="s">
        <v>20</v>
      </c>
      <c r="B3" s="207"/>
      <c r="C3" s="207"/>
      <c r="D3" s="207"/>
      <c r="E3" s="207"/>
      <c r="F3" s="207"/>
      <c r="G3" s="207"/>
    </row>
    <row r="4" spans="1:7" x14ac:dyDescent="0.35">
      <c r="A4" s="164" t="s">
        <v>21</v>
      </c>
      <c r="B4" s="164"/>
      <c r="C4" s="164"/>
      <c r="D4" s="164"/>
      <c r="E4" s="164"/>
      <c r="F4" s="164"/>
    </row>
    <row r="6" spans="1:7" x14ac:dyDescent="0.35">
      <c r="A6" s="208" t="s">
        <v>22</v>
      </c>
      <c r="B6" s="209"/>
      <c r="C6" s="209"/>
      <c r="D6" s="209"/>
      <c r="E6" s="209"/>
      <c r="F6" s="209"/>
      <c r="G6" s="210"/>
    </row>
    <row r="7" spans="1:7" x14ac:dyDescent="0.35">
      <c r="A7" s="211" t="s">
        <v>23</v>
      </c>
      <c r="B7" s="212"/>
      <c r="C7" s="212"/>
      <c r="D7" s="212"/>
      <c r="E7" s="212"/>
      <c r="F7" s="212"/>
      <c r="G7" s="213"/>
    </row>
    <row r="8" spans="1:7" x14ac:dyDescent="0.35">
      <c r="A8" s="204" t="s">
        <v>24</v>
      </c>
      <c r="B8" s="205"/>
      <c r="C8" s="205"/>
      <c r="D8" s="205"/>
      <c r="E8" s="205"/>
      <c r="F8" s="205"/>
      <c r="G8" s="206"/>
    </row>
    <row r="9" spans="1:7" x14ac:dyDescent="0.35">
      <c r="A9" s="211" t="s">
        <v>25</v>
      </c>
      <c r="B9" s="212"/>
      <c r="C9" s="212"/>
      <c r="D9" s="212"/>
      <c r="E9" s="212"/>
      <c r="F9" s="212"/>
      <c r="G9" s="213"/>
    </row>
    <row r="10" spans="1:7" x14ac:dyDescent="0.35">
      <c r="A10" s="204" t="s">
        <v>26</v>
      </c>
      <c r="B10" s="205"/>
      <c r="C10" s="205"/>
      <c r="D10" s="205"/>
      <c r="E10" s="205"/>
      <c r="F10" s="205"/>
      <c r="G10" s="206"/>
    </row>
    <row r="11" spans="1:7" x14ac:dyDescent="0.35">
      <c r="A11" s="211" t="s">
        <v>27</v>
      </c>
      <c r="B11" s="212"/>
      <c r="C11" s="212"/>
      <c r="D11" s="212"/>
      <c r="E11" s="212"/>
      <c r="F11" s="212"/>
      <c r="G11" s="213"/>
    </row>
    <row r="12" spans="1:7" x14ac:dyDescent="0.35">
      <c r="A12" s="214" t="s">
        <v>28</v>
      </c>
      <c r="B12" s="215"/>
      <c r="C12" s="215"/>
      <c r="D12" s="215"/>
      <c r="E12" s="215"/>
      <c r="F12" s="215"/>
      <c r="G12" s="216"/>
    </row>
    <row r="13" spans="1:7" x14ac:dyDescent="0.35">
      <c r="A13" s="214" t="s">
        <v>29</v>
      </c>
      <c r="B13" s="215"/>
      <c r="C13" s="215"/>
      <c r="D13" s="215"/>
      <c r="E13" s="215"/>
      <c r="F13" s="215"/>
      <c r="G13" s="216"/>
    </row>
    <row r="14" spans="1:7" x14ac:dyDescent="0.35">
      <c r="A14" s="204" t="s">
        <v>30</v>
      </c>
      <c r="B14" s="205"/>
      <c r="C14" s="205"/>
      <c r="D14" s="205"/>
      <c r="E14" s="205"/>
      <c r="F14" s="205"/>
      <c r="G14" s="206"/>
    </row>
    <row r="15" spans="1:7" x14ac:dyDescent="0.35">
      <c r="A15" s="7"/>
      <c r="B15" s="2"/>
      <c r="C15" s="2"/>
      <c r="D15" s="2"/>
      <c r="E15" s="2"/>
      <c r="F15" s="2"/>
      <c r="G15" s="3"/>
    </row>
    <row r="16" spans="1:7" x14ac:dyDescent="0.35">
      <c r="A16" s="201" t="s">
        <v>31</v>
      </c>
      <c r="B16" s="201" t="s">
        <v>32</v>
      </c>
      <c r="C16" s="203" t="s">
        <v>33</v>
      </c>
      <c r="D16" s="203"/>
      <c r="E16" s="203"/>
      <c r="F16" s="203"/>
      <c r="G16" s="203"/>
    </row>
    <row r="17" spans="1:7" x14ac:dyDescent="0.35">
      <c r="A17" s="201"/>
      <c r="B17" s="201"/>
      <c r="C17" s="203"/>
      <c r="D17" s="203"/>
      <c r="E17" s="203"/>
      <c r="F17" s="203"/>
      <c r="G17" s="203"/>
    </row>
    <row r="18" spans="1:7" x14ac:dyDescent="0.35">
      <c r="A18" s="6">
        <v>1</v>
      </c>
      <c r="B18" s="5" t="s">
        <v>34</v>
      </c>
      <c r="C18" s="202" t="s">
        <v>376</v>
      </c>
      <c r="D18" s="202"/>
      <c r="E18" s="202"/>
      <c r="F18" s="202"/>
      <c r="G18" s="202"/>
    </row>
    <row r="19" spans="1:7" x14ac:dyDescent="0.35">
      <c r="A19" s="6">
        <v>2</v>
      </c>
      <c r="B19" s="5" t="s">
        <v>35</v>
      </c>
      <c r="C19" s="202" t="s">
        <v>376</v>
      </c>
      <c r="D19" s="202"/>
      <c r="E19" s="202"/>
      <c r="F19" s="202"/>
      <c r="G19" s="202"/>
    </row>
    <row r="20" spans="1:7" x14ac:dyDescent="0.35">
      <c r="A20" s="6">
        <v>3</v>
      </c>
      <c r="B20" s="5" t="s">
        <v>36</v>
      </c>
      <c r="C20" s="202" t="s">
        <v>376</v>
      </c>
      <c r="D20" s="202"/>
      <c r="E20" s="202"/>
      <c r="F20" s="202"/>
      <c r="G20" s="202"/>
    </row>
    <row r="21" spans="1:7" x14ac:dyDescent="0.35">
      <c r="A21" s="6">
        <v>4</v>
      </c>
      <c r="B21" s="5" t="s">
        <v>37</v>
      </c>
      <c r="C21" s="202" t="s">
        <v>376</v>
      </c>
      <c r="D21" s="202"/>
      <c r="E21" s="202"/>
      <c r="F21" s="202"/>
      <c r="G21" s="202"/>
    </row>
    <row r="22" spans="1:7" x14ac:dyDescent="0.35">
      <c r="A22" s="6">
        <v>5</v>
      </c>
      <c r="B22" s="5" t="s">
        <v>38</v>
      </c>
      <c r="C22" s="202" t="s">
        <v>376</v>
      </c>
      <c r="D22" s="202"/>
      <c r="E22" s="202"/>
      <c r="F22" s="202"/>
      <c r="G22" s="202"/>
    </row>
    <row r="23" spans="1:7" x14ac:dyDescent="0.35">
      <c r="A23" s="6">
        <v>6</v>
      </c>
      <c r="B23" s="5" t="s">
        <v>39</v>
      </c>
      <c r="C23" s="202" t="s">
        <v>376</v>
      </c>
      <c r="D23" s="202"/>
      <c r="E23" s="202"/>
      <c r="F23" s="202"/>
      <c r="G23" s="202"/>
    </row>
    <row r="24" spans="1:7" x14ac:dyDescent="0.35">
      <c r="A24" s="6">
        <v>7</v>
      </c>
      <c r="B24" s="5" t="s">
        <v>40</v>
      </c>
      <c r="C24" s="202" t="s">
        <v>376</v>
      </c>
      <c r="D24" s="202"/>
      <c r="E24" s="202"/>
      <c r="F24" s="202"/>
      <c r="G24" s="202"/>
    </row>
    <row r="25" spans="1:7" x14ac:dyDescent="0.35">
      <c r="A25" s="6">
        <v>8</v>
      </c>
      <c r="B25" s="5" t="s">
        <v>41</v>
      </c>
      <c r="C25" s="202" t="s">
        <v>376</v>
      </c>
      <c r="D25" s="202"/>
      <c r="E25" s="202"/>
      <c r="F25" s="202"/>
      <c r="G25" s="202"/>
    </row>
    <row r="26" spans="1:7" x14ac:dyDescent="0.35">
      <c r="A26" s="6">
        <v>9</v>
      </c>
      <c r="B26" s="5" t="s">
        <v>42</v>
      </c>
      <c r="C26" s="202" t="s">
        <v>376</v>
      </c>
      <c r="D26" s="202"/>
      <c r="E26" s="202"/>
      <c r="F26" s="202"/>
      <c r="G26" s="202"/>
    </row>
    <row r="28" spans="1:7" x14ac:dyDescent="0.35">
      <c r="A28" s="164" t="s">
        <v>377</v>
      </c>
      <c r="B28" s="164"/>
      <c r="C28" s="164"/>
      <c r="D28" s="164"/>
      <c r="E28" s="164"/>
      <c r="F28" s="164"/>
      <c r="G28" s="164"/>
    </row>
  </sheetData>
  <mergeCells count="26">
    <mergeCell ref="A28:G28"/>
    <mergeCell ref="C26:G26"/>
    <mergeCell ref="C22:G22"/>
    <mergeCell ref="A14:G14"/>
    <mergeCell ref="A1:G1"/>
    <mergeCell ref="A2:G2"/>
    <mergeCell ref="A3:G3"/>
    <mergeCell ref="A6:G6"/>
    <mergeCell ref="A7:G7"/>
    <mergeCell ref="A8:G8"/>
    <mergeCell ref="A9:G9"/>
    <mergeCell ref="A10:G10"/>
    <mergeCell ref="A11:G11"/>
    <mergeCell ref="A12:G12"/>
    <mergeCell ref="A13:G13"/>
    <mergeCell ref="A4:F4"/>
    <mergeCell ref="A16:A17"/>
    <mergeCell ref="C25:G25"/>
    <mergeCell ref="C20:G20"/>
    <mergeCell ref="C21:G21"/>
    <mergeCell ref="C23:G23"/>
    <mergeCell ref="B16:B17"/>
    <mergeCell ref="C16:G17"/>
    <mergeCell ref="C18:G18"/>
    <mergeCell ref="C19:G19"/>
    <mergeCell ref="C24:G24"/>
  </mergeCells>
  <pageMargins left="0.7" right="0.7" top="0.75" bottom="0.75" header="0.3" footer="0.3"/>
  <pageSetup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36F81-AC5E-4A57-8D33-0B3B436C9A75}">
  <sheetPr>
    <tabColor theme="5" tint="0.59999389629810485"/>
  </sheetPr>
  <dimension ref="A1:G313"/>
  <sheetViews>
    <sheetView topLeftCell="A249" zoomScale="110" zoomScaleNormal="110" workbookViewId="0">
      <selection activeCell="E10" sqref="E10"/>
    </sheetView>
  </sheetViews>
  <sheetFormatPr defaultRowHeight="14.5" x14ac:dyDescent="0.35"/>
  <cols>
    <col min="1" max="1" width="10.26953125" customWidth="1"/>
    <col min="2" max="2" width="89.54296875" customWidth="1"/>
    <col min="3" max="3" width="10.453125" style="128" bestFit="1" customWidth="1"/>
    <col min="4" max="4" width="24.26953125" bestFit="1" customWidth="1"/>
    <col min="5" max="5" width="31.26953125" style="17" customWidth="1"/>
    <col min="6" max="6" width="16.453125" customWidth="1"/>
    <col min="7" max="7" width="13.26953125" customWidth="1"/>
  </cols>
  <sheetData>
    <row r="1" spans="1:7" x14ac:dyDescent="0.35">
      <c r="B1" s="117" t="s">
        <v>366</v>
      </c>
      <c r="D1" s="17"/>
      <c r="F1" s="17"/>
      <c r="G1" s="17"/>
    </row>
    <row r="2" spans="1:7" x14ac:dyDescent="0.35">
      <c r="B2" s="1" t="s">
        <v>178</v>
      </c>
      <c r="D2" s="17"/>
      <c r="F2" s="17"/>
      <c r="G2" s="17"/>
    </row>
    <row r="3" spans="1:7" x14ac:dyDescent="0.35">
      <c r="B3" s="1" t="s">
        <v>43</v>
      </c>
      <c r="D3" s="17"/>
    </row>
    <row r="4" spans="1:7" x14ac:dyDescent="0.35">
      <c r="B4" s="1" t="s">
        <v>21</v>
      </c>
      <c r="C4" s="129"/>
      <c r="D4" s="1"/>
      <c r="E4" s="1"/>
      <c r="F4" s="1"/>
      <c r="G4" s="1"/>
    </row>
    <row r="5" spans="1:7" x14ac:dyDescent="0.35">
      <c r="B5" s="18"/>
      <c r="C5" s="130"/>
      <c r="D5" s="18"/>
    </row>
    <row r="6" spans="1:7" x14ac:dyDescent="0.35">
      <c r="A6" s="21" t="s">
        <v>22</v>
      </c>
      <c r="B6" s="19"/>
      <c r="C6" s="131"/>
      <c r="D6" s="20"/>
      <c r="E6" s="22"/>
      <c r="F6" s="22"/>
      <c r="G6" s="22"/>
    </row>
    <row r="7" spans="1:7" x14ac:dyDescent="0.35">
      <c r="A7" s="14" t="s">
        <v>44</v>
      </c>
      <c r="B7" s="15"/>
      <c r="C7" s="132"/>
      <c r="D7" s="16"/>
      <c r="E7" s="22"/>
      <c r="F7" s="13"/>
      <c r="G7" s="13"/>
    </row>
    <row r="8" spans="1:7" x14ac:dyDescent="0.35">
      <c r="A8" s="8" t="s">
        <v>45</v>
      </c>
      <c r="B8" s="13"/>
      <c r="C8" s="133"/>
      <c r="D8" s="9"/>
      <c r="E8" s="22"/>
      <c r="F8" s="13"/>
      <c r="G8" s="13"/>
    </row>
    <row r="9" spans="1:7" x14ac:dyDescent="0.35">
      <c r="A9" s="8" t="s">
        <v>46</v>
      </c>
      <c r="B9" s="13"/>
      <c r="C9" s="133"/>
      <c r="D9" s="9"/>
      <c r="E9" s="22"/>
      <c r="F9" s="13"/>
      <c r="G9" s="13"/>
    </row>
    <row r="10" spans="1:7" x14ac:dyDescent="0.35">
      <c r="A10" s="10" t="s">
        <v>47</v>
      </c>
      <c r="B10" s="11"/>
      <c r="C10" s="134"/>
      <c r="D10" s="12"/>
      <c r="E10" s="22"/>
      <c r="F10" s="13"/>
      <c r="G10" s="13"/>
    </row>
    <row r="11" spans="1:7" x14ac:dyDescent="0.35">
      <c r="A11" s="8" t="s">
        <v>48</v>
      </c>
      <c r="B11" s="13"/>
      <c r="C11" s="133"/>
      <c r="D11" s="9"/>
      <c r="E11" s="22"/>
      <c r="F11" s="13"/>
      <c r="G11" s="13"/>
    </row>
    <row r="12" spans="1:7" x14ac:dyDescent="0.35">
      <c r="A12" s="8" t="s">
        <v>49</v>
      </c>
      <c r="B12" s="13"/>
      <c r="C12" s="133"/>
      <c r="D12" s="9"/>
      <c r="E12" s="22"/>
      <c r="F12" s="13"/>
      <c r="G12" s="13"/>
    </row>
    <row r="13" spans="1:7" x14ac:dyDescent="0.35">
      <c r="A13" s="14" t="s">
        <v>159</v>
      </c>
      <c r="B13" s="15"/>
      <c r="C13" s="132"/>
      <c r="D13" s="16"/>
      <c r="E13" s="22"/>
      <c r="F13" s="13"/>
      <c r="G13" s="13"/>
    </row>
    <row r="14" spans="1:7" x14ac:dyDescent="0.35">
      <c r="A14" s="10" t="s">
        <v>168</v>
      </c>
      <c r="B14" s="11"/>
      <c r="C14" s="134"/>
      <c r="D14" s="12"/>
      <c r="E14" s="22"/>
      <c r="F14" s="13"/>
      <c r="G14" s="13"/>
    </row>
    <row r="15" spans="1:7" x14ac:dyDescent="0.35">
      <c r="A15" s="83" t="s">
        <v>169</v>
      </c>
      <c r="B15" s="84"/>
      <c r="C15" s="135"/>
      <c r="D15" s="85"/>
      <c r="E15" s="22"/>
      <c r="F15" s="13"/>
      <c r="G15" s="13"/>
    </row>
    <row r="16" spans="1:7" x14ac:dyDescent="0.35">
      <c r="A16" s="13"/>
      <c r="B16" s="13"/>
      <c r="C16" s="133"/>
      <c r="D16" s="13"/>
      <c r="E16" s="22"/>
      <c r="F16" s="13"/>
      <c r="G16" s="13"/>
    </row>
    <row r="17" spans="1:7" ht="32.25" customHeight="1" x14ac:dyDescent="0.35">
      <c r="A17" s="104" t="s">
        <v>50</v>
      </c>
      <c r="B17" s="105" t="s">
        <v>51</v>
      </c>
      <c r="C17" s="136" t="s">
        <v>52</v>
      </c>
      <c r="D17" s="106" t="s">
        <v>53</v>
      </c>
      <c r="E17" s="105" t="s">
        <v>54</v>
      </c>
    </row>
    <row r="18" spans="1:7" x14ac:dyDescent="0.35">
      <c r="A18" s="23">
        <v>1</v>
      </c>
      <c r="B18" s="24" t="s">
        <v>55</v>
      </c>
      <c r="C18" s="137"/>
      <c r="D18" s="25"/>
      <c r="E18" s="88"/>
      <c r="G18" s="17"/>
    </row>
    <row r="19" spans="1:7" ht="15.5" x14ac:dyDescent="0.35">
      <c r="A19" s="6"/>
      <c r="B19" s="53" t="s">
        <v>56</v>
      </c>
      <c r="C19" s="138"/>
      <c r="D19" s="86"/>
      <c r="E19" s="89"/>
    </row>
    <row r="20" spans="1:7" x14ac:dyDescent="0.35">
      <c r="A20" s="6"/>
      <c r="B20" s="74" t="s">
        <v>262</v>
      </c>
      <c r="C20" s="139">
        <v>26</v>
      </c>
      <c r="D20" s="91">
        <v>0.32</v>
      </c>
      <c r="E20" s="95">
        <f>C20*0.68</f>
        <v>17.68</v>
      </c>
    </row>
    <row r="21" spans="1:7" x14ac:dyDescent="0.35">
      <c r="A21" s="6"/>
      <c r="B21" s="54" t="s">
        <v>263</v>
      </c>
      <c r="C21" s="139">
        <v>30.81</v>
      </c>
      <c r="D21" s="91">
        <v>0.32</v>
      </c>
      <c r="E21" s="95">
        <f t="shared" ref="E21:E27" si="0">C21*0.68</f>
        <v>20.950800000000001</v>
      </c>
    </row>
    <row r="22" spans="1:7" x14ac:dyDescent="0.35">
      <c r="A22" s="6"/>
      <c r="B22" s="74" t="s">
        <v>268</v>
      </c>
      <c r="C22" s="139">
        <v>26</v>
      </c>
      <c r="D22" s="91">
        <v>0.32</v>
      </c>
      <c r="E22" s="95">
        <f t="shared" si="0"/>
        <v>17.68</v>
      </c>
    </row>
    <row r="23" spans="1:7" x14ac:dyDescent="0.35">
      <c r="A23" s="6"/>
      <c r="B23" s="54" t="s">
        <v>264</v>
      </c>
      <c r="C23" s="139">
        <v>26</v>
      </c>
      <c r="D23" s="91">
        <v>0.32</v>
      </c>
      <c r="E23" s="95">
        <f t="shared" si="0"/>
        <v>17.68</v>
      </c>
    </row>
    <row r="24" spans="1:7" x14ac:dyDescent="0.35">
      <c r="A24" s="6"/>
      <c r="B24" s="74" t="s">
        <v>269</v>
      </c>
      <c r="C24" s="139">
        <v>26</v>
      </c>
      <c r="D24" s="91">
        <v>0.32</v>
      </c>
      <c r="E24" s="95">
        <f t="shared" si="0"/>
        <v>17.68</v>
      </c>
    </row>
    <row r="25" spans="1:7" x14ac:dyDescent="0.35">
      <c r="A25" s="6"/>
      <c r="B25" s="54" t="s">
        <v>179</v>
      </c>
      <c r="C25" s="139">
        <v>10.83</v>
      </c>
      <c r="D25" s="91">
        <v>0.32</v>
      </c>
      <c r="E25" s="95">
        <f t="shared" si="0"/>
        <v>7.3644000000000007</v>
      </c>
    </row>
    <row r="26" spans="1:7" x14ac:dyDescent="0.35">
      <c r="A26" s="6"/>
      <c r="B26" s="54" t="s">
        <v>183</v>
      </c>
      <c r="C26" s="139">
        <v>14.1</v>
      </c>
      <c r="D26" s="91">
        <v>0.32</v>
      </c>
      <c r="E26" s="95">
        <f t="shared" si="0"/>
        <v>9.588000000000001</v>
      </c>
    </row>
    <row r="27" spans="1:7" x14ac:dyDescent="0.35">
      <c r="A27" s="6"/>
      <c r="B27" s="54" t="s">
        <v>180</v>
      </c>
      <c r="C27" s="139">
        <v>12.88</v>
      </c>
      <c r="D27" s="91">
        <v>0.32</v>
      </c>
      <c r="E27" s="95">
        <f t="shared" si="0"/>
        <v>8.7584000000000017</v>
      </c>
    </row>
    <row r="28" spans="1:7" ht="15.5" x14ac:dyDescent="0.35">
      <c r="A28" s="5"/>
      <c r="B28" s="53" t="s">
        <v>57</v>
      </c>
      <c r="C28" s="138"/>
      <c r="D28" s="92"/>
      <c r="E28" s="96"/>
    </row>
    <row r="29" spans="1:7" x14ac:dyDescent="0.35">
      <c r="A29" s="5"/>
      <c r="B29" s="54" t="s">
        <v>182</v>
      </c>
      <c r="C29" s="139">
        <v>37.630000000000003</v>
      </c>
      <c r="D29" s="91">
        <v>0.42</v>
      </c>
      <c r="E29" s="95">
        <f>C29*0.58</f>
        <v>21.825399999999998</v>
      </c>
    </row>
    <row r="30" spans="1:7" x14ac:dyDescent="0.35">
      <c r="A30" s="5"/>
      <c r="B30" s="122" t="s">
        <v>181</v>
      </c>
      <c r="C30" s="140"/>
      <c r="D30" s="120"/>
      <c r="E30" s="121"/>
    </row>
    <row r="31" spans="1:7" ht="15.5" x14ac:dyDescent="0.35">
      <c r="A31" s="5"/>
      <c r="B31" s="53" t="s">
        <v>58</v>
      </c>
      <c r="C31" s="138"/>
      <c r="D31" s="92"/>
      <c r="E31" s="96"/>
    </row>
    <row r="32" spans="1:7" x14ac:dyDescent="0.35">
      <c r="A32" s="5"/>
      <c r="B32" s="54" t="s">
        <v>184</v>
      </c>
      <c r="C32" s="139">
        <v>11.34</v>
      </c>
      <c r="D32" s="91">
        <v>0.44</v>
      </c>
      <c r="E32" s="95">
        <f>C32*0.56</f>
        <v>6.3504000000000005</v>
      </c>
    </row>
    <row r="33" spans="1:5" x14ac:dyDescent="0.35">
      <c r="A33" s="5"/>
      <c r="B33" s="54" t="s">
        <v>185</v>
      </c>
      <c r="C33" s="139">
        <v>11.34</v>
      </c>
      <c r="D33" s="91">
        <v>0.44</v>
      </c>
      <c r="E33" s="95">
        <f>C33*0.56</f>
        <v>6.3504000000000005</v>
      </c>
    </row>
    <row r="34" spans="1:5" x14ac:dyDescent="0.35">
      <c r="A34" s="5"/>
      <c r="B34" s="77" t="s">
        <v>186</v>
      </c>
      <c r="C34" s="139">
        <v>14.84</v>
      </c>
      <c r="D34" s="91">
        <v>0.59</v>
      </c>
      <c r="E34" s="95">
        <f>C34*0.41</f>
        <v>6.0843999999999996</v>
      </c>
    </row>
    <row r="35" spans="1:5" x14ac:dyDescent="0.35">
      <c r="A35" s="5"/>
      <c r="B35" s="77" t="s">
        <v>187</v>
      </c>
      <c r="C35" s="139">
        <v>14.84</v>
      </c>
      <c r="D35" s="91">
        <v>0.59</v>
      </c>
      <c r="E35" s="95">
        <f>C35*0.41</f>
        <v>6.0843999999999996</v>
      </c>
    </row>
    <row r="36" spans="1:5" ht="15.5" x14ac:dyDescent="0.35">
      <c r="A36" s="5"/>
      <c r="B36" s="53" t="s">
        <v>59</v>
      </c>
      <c r="C36" s="138"/>
      <c r="D36" s="92"/>
      <c r="E36" s="96"/>
    </row>
    <row r="37" spans="1:5" x14ac:dyDescent="0.35">
      <c r="A37" s="5"/>
      <c r="B37" s="55" t="s">
        <v>265</v>
      </c>
      <c r="C37" s="139">
        <v>116.28</v>
      </c>
      <c r="D37" s="91">
        <v>0.38</v>
      </c>
      <c r="E37" s="95">
        <f>C37*0.62</f>
        <v>72.093599999999995</v>
      </c>
    </row>
    <row r="38" spans="1:5" ht="15.5" x14ac:dyDescent="0.35">
      <c r="A38" s="5"/>
      <c r="B38" s="53" t="s">
        <v>60</v>
      </c>
      <c r="C38" s="138"/>
      <c r="D38" s="92"/>
      <c r="E38" s="96"/>
    </row>
    <row r="39" spans="1:5" x14ac:dyDescent="0.35">
      <c r="A39" s="5"/>
      <c r="B39" s="54" t="s">
        <v>188</v>
      </c>
      <c r="C39" s="139">
        <v>19.510000000000002</v>
      </c>
      <c r="D39" s="91">
        <v>0.36</v>
      </c>
      <c r="E39" s="95">
        <f>C39*0.64</f>
        <v>12.486400000000001</v>
      </c>
    </row>
    <row r="40" spans="1:5" x14ac:dyDescent="0.35">
      <c r="A40" s="5"/>
      <c r="B40" s="54" t="s">
        <v>189</v>
      </c>
      <c r="C40" s="139">
        <v>16</v>
      </c>
      <c r="D40" s="91">
        <v>0.38</v>
      </c>
      <c r="E40" s="95">
        <f>C40*0.62</f>
        <v>9.92</v>
      </c>
    </row>
    <row r="41" spans="1:5" ht="15.5" x14ac:dyDescent="0.35">
      <c r="A41" s="5"/>
      <c r="B41" s="53" t="s">
        <v>61</v>
      </c>
      <c r="C41" s="138"/>
      <c r="D41" s="92"/>
      <c r="E41" s="96"/>
    </row>
    <row r="42" spans="1:5" x14ac:dyDescent="0.35">
      <c r="A42" s="5"/>
      <c r="B42" s="54" t="s">
        <v>190</v>
      </c>
      <c r="C42" s="139">
        <v>102.19</v>
      </c>
      <c r="D42" s="91">
        <v>0.15</v>
      </c>
      <c r="E42" s="95">
        <f>C42*0.85</f>
        <v>86.861499999999992</v>
      </c>
    </row>
    <row r="43" spans="1:5" x14ac:dyDescent="0.35">
      <c r="A43" s="5"/>
      <c r="B43" s="54" t="s">
        <v>191</v>
      </c>
      <c r="C43" s="139">
        <v>63.86</v>
      </c>
      <c r="D43" s="91">
        <v>0.42</v>
      </c>
      <c r="E43" s="95">
        <f>C43*0.58</f>
        <v>37.038799999999995</v>
      </c>
    </row>
    <row r="44" spans="1:5" ht="15.5" x14ac:dyDescent="0.35">
      <c r="A44" s="5"/>
      <c r="B44" s="53" t="s">
        <v>62</v>
      </c>
      <c r="C44" s="138"/>
      <c r="D44" s="92"/>
      <c r="E44" s="96"/>
    </row>
    <row r="45" spans="1:5" x14ac:dyDescent="0.35">
      <c r="A45" s="5"/>
      <c r="B45" s="55" t="s">
        <v>192</v>
      </c>
      <c r="C45" s="139">
        <v>27.13</v>
      </c>
      <c r="D45" s="91">
        <v>0.05</v>
      </c>
      <c r="E45" s="95">
        <f>C45*0.95</f>
        <v>25.773499999999999</v>
      </c>
    </row>
    <row r="46" spans="1:5" x14ac:dyDescent="0.35">
      <c r="A46" s="5"/>
      <c r="B46" s="55" t="s">
        <v>266</v>
      </c>
      <c r="C46" s="139">
        <v>27.25</v>
      </c>
      <c r="D46" s="91">
        <v>0.23</v>
      </c>
      <c r="E46" s="95">
        <f>C46*0.77</f>
        <v>20.982500000000002</v>
      </c>
    </row>
    <row r="47" spans="1:5" x14ac:dyDescent="0.35">
      <c r="A47" s="5"/>
      <c r="B47" s="55" t="s">
        <v>193</v>
      </c>
      <c r="C47" s="139">
        <v>17.77</v>
      </c>
      <c r="D47" s="91">
        <v>0.38</v>
      </c>
      <c r="E47" s="95">
        <f>C47*0.62</f>
        <v>11.0174</v>
      </c>
    </row>
    <row r="48" spans="1:5" x14ac:dyDescent="0.35">
      <c r="A48" s="5"/>
      <c r="B48" s="81" t="s">
        <v>267</v>
      </c>
      <c r="C48" s="139">
        <v>12.84</v>
      </c>
      <c r="D48" s="91">
        <v>0.35</v>
      </c>
      <c r="E48" s="95">
        <f>C48*0.65</f>
        <v>8.3460000000000001</v>
      </c>
    </row>
    <row r="49" spans="1:7" x14ac:dyDescent="0.35">
      <c r="A49" s="5"/>
      <c r="B49" s="81" t="s">
        <v>194</v>
      </c>
      <c r="C49" s="139">
        <v>42.33</v>
      </c>
      <c r="D49" s="91">
        <v>0.53</v>
      </c>
      <c r="E49" s="95">
        <f>C49*0.47</f>
        <v>19.895099999999999</v>
      </c>
    </row>
    <row r="50" spans="1:7" ht="15.5" x14ac:dyDescent="0.35">
      <c r="A50" s="5"/>
      <c r="B50" s="53" t="s">
        <v>63</v>
      </c>
      <c r="C50" s="138"/>
      <c r="D50" s="92"/>
      <c r="E50" s="96"/>
    </row>
    <row r="51" spans="1:7" x14ac:dyDescent="0.35">
      <c r="A51" s="5"/>
      <c r="B51" s="54" t="s">
        <v>195</v>
      </c>
      <c r="C51" s="139">
        <v>47.28</v>
      </c>
      <c r="D51" s="91">
        <v>0.15</v>
      </c>
      <c r="E51" s="95">
        <f>C51*0.85</f>
        <v>40.188000000000002</v>
      </c>
    </row>
    <row r="52" spans="1:7" x14ac:dyDescent="0.35">
      <c r="A52" s="5"/>
      <c r="B52" s="54" t="s">
        <v>64</v>
      </c>
      <c r="C52" s="139">
        <v>34.28</v>
      </c>
      <c r="D52" s="91">
        <v>0.05</v>
      </c>
      <c r="E52" s="95">
        <f>C52*0.95</f>
        <v>32.566000000000003</v>
      </c>
    </row>
    <row r="53" spans="1:7" x14ac:dyDescent="0.35">
      <c r="A53" s="5"/>
      <c r="B53" s="54" t="s">
        <v>196</v>
      </c>
      <c r="C53" s="139">
        <v>35.549999999999997</v>
      </c>
      <c r="D53" s="91">
        <v>0.51</v>
      </c>
      <c r="E53" s="95">
        <f>C53*0.49</f>
        <v>17.419499999999999</v>
      </c>
    </row>
    <row r="54" spans="1:7" x14ac:dyDescent="0.35">
      <c r="A54" s="5"/>
      <c r="B54" s="54" t="s">
        <v>197</v>
      </c>
      <c r="C54" s="139">
        <v>349.99</v>
      </c>
      <c r="D54" s="91">
        <v>0.49</v>
      </c>
      <c r="E54" s="95">
        <f>C54*0.51</f>
        <v>178.4949</v>
      </c>
    </row>
    <row r="55" spans="1:7" x14ac:dyDescent="0.35">
      <c r="A55" s="5"/>
      <c r="B55" s="54" t="s">
        <v>198</v>
      </c>
      <c r="C55" s="139">
        <v>167.17</v>
      </c>
      <c r="D55" s="91">
        <v>0.49</v>
      </c>
      <c r="E55" s="95">
        <f>C55*0.51</f>
        <v>85.256699999999995</v>
      </c>
    </row>
    <row r="56" spans="1:7" x14ac:dyDescent="0.35">
      <c r="A56" s="5"/>
      <c r="B56" s="54" t="s">
        <v>199</v>
      </c>
      <c r="C56" s="139">
        <v>139.13</v>
      </c>
      <c r="D56" s="91">
        <v>0.49</v>
      </c>
      <c r="E56" s="95">
        <f>C56*0.51</f>
        <v>70.956299999999999</v>
      </c>
    </row>
    <row r="57" spans="1:7" x14ac:dyDescent="0.35">
      <c r="A57" s="5"/>
      <c r="B57" s="54" t="s">
        <v>200</v>
      </c>
      <c r="C57" s="139">
        <v>348.75</v>
      </c>
      <c r="D57" s="91">
        <v>0.05</v>
      </c>
      <c r="E57" s="95">
        <f>C57*0.95</f>
        <v>331.3125</v>
      </c>
    </row>
    <row r="58" spans="1:7" ht="15.5" x14ac:dyDescent="0.35">
      <c r="A58" s="5"/>
      <c r="B58" s="87" t="s">
        <v>167</v>
      </c>
      <c r="C58" s="141"/>
      <c r="D58" s="93"/>
      <c r="E58" s="90">
        <f>SUM(E19:E57)</f>
        <v>1224.6853000000001</v>
      </c>
    </row>
    <row r="59" spans="1:7" x14ac:dyDescent="0.35">
      <c r="A59" s="23">
        <v>2</v>
      </c>
      <c r="B59" s="56" t="s">
        <v>65</v>
      </c>
      <c r="C59" s="137"/>
      <c r="D59" s="94"/>
      <c r="E59" s="88"/>
      <c r="G59" s="17"/>
    </row>
    <row r="60" spans="1:7" ht="15.5" x14ac:dyDescent="0.35">
      <c r="A60" s="5"/>
      <c r="B60" s="53" t="s">
        <v>66</v>
      </c>
      <c r="C60" s="138"/>
      <c r="D60" s="92"/>
      <c r="E60" s="96"/>
    </row>
    <row r="61" spans="1:7" x14ac:dyDescent="0.35">
      <c r="A61" s="5"/>
      <c r="B61" s="54" t="s">
        <v>201</v>
      </c>
      <c r="C61" s="139">
        <v>20.6</v>
      </c>
      <c r="D61" s="91">
        <v>0.35</v>
      </c>
      <c r="E61" s="95">
        <f>C61*0.65</f>
        <v>13.39</v>
      </c>
    </row>
    <row r="62" spans="1:7" x14ac:dyDescent="0.35">
      <c r="A62" s="5"/>
      <c r="B62" s="74" t="s">
        <v>202</v>
      </c>
      <c r="C62" s="139">
        <v>78.03</v>
      </c>
      <c r="D62" s="91">
        <v>0.43</v>
      </c>
      <c r="E62" s="95">
        <f>C62*0.57</f>
        <v>44.4771</v>
      </c>
    </row>
    <row r="63" spans="1:7" x14ac:dyDescent="0.35">
      <c r="A63" s="5"/>
      <c r="B63" s="74" t="s">
        <v>203</v>
      </c>
      <c r="C63" s="139">
        <v>78.03</v>
      </c>
      <c r="D63" s="91">
        <v>0.43</v>
      </c>
      <c r="E63" s="95">
        <f>C63*0.57</f>
        <v>44.4771</v>
      </c>
    </row>
    <row r="64" spans="1:7" ht="15.5" x14ac:dyDescent="0.35">
      <c r="A64" s="5"/>
      <c r="B64" s="53" t="s">
        <v>67</v>
      </c>
      <c r="C64" s="138"/>
      <c r="D64" s="92"/>
      <c r="E64" s="96"/>
    </row>
    <row r="65" spans="1:5" x14ac:dyDescent="0.35">
      <c r="A65" s="5"/>
      <c r="B65" s="54" t="s">
        <v>204</v>
      </c>
      <c r="C65" s="139">
        <v>21.74</v>
      </c>
      <c r="D65" s="91">
        <v>0.55000000000000004</v>
      </c>
      <c r="E65" s="95">
        <f>C65*0.45</f>
        <v>9.7829999999999995</v>
      </c>
    </row>
    <row r="66" spans="1:5" x14ac:dyDescent="0.35">
      <c r="A66" s="5"/>
      <c r="B66" s="54" t="s">
        <v>205</v>
      </c>
      <c r="C66" s="139">
        <v>81.3</v>
      </c>
      <c r="D66" s="91">
        <v>0.76</v>
      </c>
      <c r="E66" s="95">
        <f>C66*0.24</f>
        <v>19.511999999999997</v>
      </c>
    </row>
    <row r="67" spans="1:5" x14ac:dyDescent="0.35">
      <c r="A67" s="5"/>
      <c r="B67" s="54" t="s">
        <v>68</v>
      </c>
      <c r="C67" s="139">
        <v>33.26</v>
      </c>
      <c r="D67" s="91">
        <v>0.34</v>
      </c>
      <c r="E67" s="95">
        <f>C67*0.66</f>
        <v>21.951599999999999</v>
      </c>
    </row>
    <row r="68" spans="1:5" x14ac:dyDescent="0.35">
      <c r="A68" s="5"/>
      <c r="B68" s="54" t="s">
        <v>206</v>
      </c>
      <c r="C68" s="139">
        <v>14.47</v>
      </c>
      <c r="D68" s="91">
        <v>0.66</v>
      </c>
      <c r="E68" s="95">
        <f>C68*0.34</f>
        <v>4.9198000000000004</v>
      </c>
    </row>
    <row r="69" spans="1:5" ht="15.5" x14ac:dyDescent="0.35">
      <c r="A69" s="5"/>
      <c r="B69" s="57" t="s">
        <v>69</v>
      </c>
      <c r="C69" s="138"/>
      <c r="D69" s="92"/>
      <c r="E69" s="96"/>
    </row>
    <row r="70" spans="1:5" x14ac:dyDescent="0.35">
      <c r="A70" s="5"/>
      <c r="B70" s="54" t="s">
        <v>207</v>
      </c>
      <c r="C70" s="139">
        <v>13.35</v>
      </c>
      <c r="D70" s="91">
        <v>0.43</v>
      </c>
      <c r="E70" s="95">
        <f>C70*0.57</f>
        <v>7.6094999999999988</v>
      </c>
    </row>
    <row r="71" spans="1:5" x14ac:dyDescent="0.35">
      <c r="A71" s="5"/>
      <c r="B71" s="54" t="s">
        <v>208</v>
      </c>
      <c r="C71" s="139">
        <v>15.72</v>
      </c>
      <c r="D71" s="91">
        <v>0.43</v>
      </c>
      <c r="E71" s="95">
        <f>C71*0.57</f>
        <v>8.9603999999999999</v>
      </c>
    </row>
    <row r="72" spans="1:5" x14ac:dyDescent="0.35">
      <c r="A72" s="5"/>
      <c r="B72" s="54" t="s">
        <v>209</v>
      </c>
      <c r="C72" s="139">
        <v>22.38</v>
      </c>
      <c r="D72" s="91">
        <v>0.38</v>
      </c>
      <c r="E72" s="95">
        <f>C72*0.62</f>
        <v>13.875599999999999</v>
      </c>
    </row>
    <row r="73" spans="1:5" x14ac:dyDescent="0.35">
      <c r="A73" s="5"/>
      <c r="B73" s="58" t="s">
        <v>70</v>
      </c>
      <c r="C73" s="138"/>
      <c r="D73" s="92"/>
      <c r="E73" s="96"/>
    </row>
    <row r="74" spans="1:5" x14ac:dyDescent="0.35">
      <c r="A74" s="5"/>
      <c r="B74" s="59" t="s">
        <v>211</v>
      </c>
      <c r="C74" s="139">
        <v>162</v>
      </c>
      <c r="D74" s="91">
        <v>0.43</v>
      </c>
      <c r="E74" s="95">
        <f>C74*0.57</f>
        <v>92.339999999999989</v>
      </c>
    </row>
    <row r="75" spans="1:5" x14ac:dyDescent="0.35">
      <c r="A75" s="5"/>
      <c r="B75" s="59" t="s">
        <v>210</v>
      </c>
      <c r="C75" s="139">
        <v>73.040000000000006</v>
      </c>
      <c r="D75" s="91">
        <v>0.43</v>
      </c>
      <c r="E75" s="95">
        <f>C75*0.57</f>
        <v>41.632800000000003</v>
      </c>
    </row>
    <row r="76" spans="1:5" ht="15.5" x14ac:dyDescent="0.35">
      <c r="A76" s="5"/>
      <c r="B76" s="53" t="s">
        <v>71</v>
      </c>
      <c r="C76" s="138"/>
      <c r="D76" s="92"/>
      <c r="E76" s="96"/>
    </row>
    <row r="77" spans="1:5" x14ac:dyDescent="0.35">
      <c r="A77" s="5"/>
      <c r="B77" s="72" t="s">
        <v>212</v>
      </c>
      <c r="C77" s="139">
        <v>124.76</v>
      </c>
      <c r="D77" s="91">
        <v>0.3</v>
      </c>
      <c r="E77" s="95">
        <f>C77*0.7</f>
        <v>87.331999999999994</v>
      </c>
    </row>
    <row r="78" spans="1:5" x14ac:dyDescent="0.35">
      <c r="A78" s="71"/>
      <c r="B78" s="78" t="s">
        <v>270</v>
      </c>
      <c r="C78" s="142">
        <v>305.07</v>
      </c>
      <c r="D78" s="91">
        <v>0.51</v>
      </c>
      <c r="E78" s="95">
        <f>C78*0.49</f>
        <v>149.48429999999999</v>
      </c>
    </row>
    <row r="79" spans="1:5" x14ac:dyDescent="0.35">
      <c r="A79" s="71"/>
      <c r="B79" s="78" t="s">
        <v>213</v>
      </c>
      <c r="C79" s="142">
        <v>314.08</v>
      </c>
      <c r="D79" s="91">
        <v>0.51</v>
      </c>
      <c r="E79" s="95">
        <f>C79*0.49</f>
        <v>153.89919999999998</v>
      </c>
    </row>
    <row r="80" spans="1:5" ht="15.5" x14ac:dyDescent="0.35">
      <c r="A80" s="5"/>
      <c r="B80" s="76" t="s">
        <v>63</v>
      </c>
      <c r="C80" s="138"/>
      <c r="D80" s="92"/>
      <c r="E80" s="96"/>
    </row>
    <row r="81" spans="1:7" x14ac:dyDescent="0.35">
      <c r="A81" s="5"/>
      <c r="B81" s="79" t="s">
        <v>215</v>
      </c>
      <c r="C81" s="139">
        <v>90.03</v>
      </c>
      <c r="D81" s="91">
        <v>0.3</v>
      </c>
      <c r="E81" s="95">
        <f>C81*0.7</f>
        <v>63.020999999999994</v>
      </c>
    </row>
    <row r="82" spans="1:7" x14ac:dyDescent="0.35">
      <c r="A82" s="5"/>
      <c r="B82" s="79" t="s">
        <v>214</v>
      </c>
      <c r="C82" s="139">
        <v>78.13</v>
      </c>
      <c r="D82" s="91">
        <v>0.3</v>
      </c>
      <c r="E82" s="95">
        <f>C82*0.7</f>
        <v>54.690999999999995</v>
      </c>
    </row>
    <row r="83" spans="1:7" x14ac:dyDescent="0.35">
      <c r="A83" s="5"/>
      <c r="B83" s="79" t="s">
        <v>216</v>
      </c>
      <c r="C83" s="139">
        <v>64.98</v>
      </c>
      <c r="D83" s="91">
        <v>0.3</v>
      </c>
      <c r="E83" s="95">
        <f>C83*0.7</f>
        <v>45.485999999999997</v>
      </c>
    </row>
    <row r="84" spans="1:7" x14ac:dyDescent="0.35">
      <c r="A84" s="5"/>
      <c r="B84" s="79" t="s">
        <v>217</v>
      </c>
      <c r="C84" s="139">
        <v>59.98</v>
      </c>
      <c r="D84" s="91">
        <v>0.3</v>
      </c>
      <c r="E84" s="95">
        <f>C84*0.7</f>
        <v>41.985999999999997</v>
      </c>
    </row>
    <row r="85" spans="1:7" x14ac:dyDescent="0.35">
      <c r="A85" s="5"/>
      <c r="B85" s="79" t="s">
        <v>218</v>
      </c>
      <c r="C85" s="139">
        <v>59.11</v>
      </c>
      <c r="D85" s="91">
        <v>0.43</v>
      </c>
      <c r="E85" s="95">
        <f>C85*0.57</f>
        <v>33.692699999999995</v>
      </c>
    </row>
    <row r="86" spans="1:7" x14ac:dyDescent="0.35">
      <c r="A86" s="5"/>
      <c r="B86" s="79" t="s">
        <v>219</v>
      </c>
      <c r="C86" s="139">
        <v>67.47</v>
      </c>
      <c r="D86" s="91">
        <v>0.36</v>
      </c>
      <c r="E86" s="95">
        <f>C86*0.64</f>
        <v>43.180799999999998</v>
      </c>
    </row>
    <row r="87" spans="1:7" x14ac:dyDescent="0.35">
      <c r="A87" s="5"/>
      <c r="B87" s="79" t="s">
        <v>220</v>
      </c>
      <c r="C87" s="139">
        <v>37.5</v>
      </c>
      <c r="D87" s="91">
        <v>0.42</v>
      </c>
      <c r="E87" s="95">
        <f>C87*0.58</f>
        <v>21.75</v>
      </c>
    </row>
    <row r="88" spans="1:7" x14ac:dyDescent="0.35">
      <c r="A88" s="5"/>
      <c r="B88" s="79" t="s">
        <v>271</v>
      </c>
      <c r="C88" s="139">
        <v>42.33</v>
      </c>
      <c r="D88" s="91">
        <v>0.53</v>
      </c>
      <c r="E88" s="95">
        <f>C88*0.47</f>
        <v>19.895099999999999</v>
      </c>
    </row>
    <row r="89" spans="1:7" ht="15.5" x14ac:dyDescent="0.35">
      <c r="A89" s="5"/>
      <c r="B89" s="87" t="s">
        <v>170</v>
      </c>
      <c r="C89" s="141"/>
      <c r="D89" s="93"/>
      <c r="E89" s="90">
        <f>SUM(E60:E88)</f>
        <v>1037.3469999999998</v>
      </c>
    </row>
    <row r="90" spans="1:7" x14ac:dyDescent="0.35">
      <c r="A90" s="23">
        <v>3</v>
      </c>
      <c r="B90" s="56" t="s">
        <v>72</v>
      </c>
      <c r="C90" s="137"/>
      <c r="D90" s="94"/>
      <c r="E90" s="88"/>
      <c r="G90" s="17"/>
    </row>
    <row r="91" spans="1:7" ht="15.5" x14ac:dyDescent="0.35">
      <c r="A91" s="5"/>
      <c r="B91" s="53" t="s">
        <v>73</v>
      </c>
      <c r="C91" s="138"/>
      <c r="D91" s="92"/>
      <c r="E91" s="96"/>
    </row>
    <row r="92" spans="1:7" x14ac:dyDescent="0.35">
      <c r="A92" s="5"/>
      <c r="B92" s="74" t="s">
        <v>221</v>
      </c>
      <c r="C92" s="139">
        <v>4.82</v>
      </c>
      <c r="D92" s="91">
        <v>0.34</v>
      </c>
      <c r="E92" s="95">
        <f>C92*0.66</f>
        <v>3.1812000000000005</v>
      </c>
    </row>
    <row r="93" spans="1:7" x14ac:dyDescent="0.35">
      <c r="A93" s="5"/>
      <c r="B93" s="74" t="s">
        <v>222</v>
      </c>
      <c r="C93" s="139">
        <v>6.15</v>
      </c>
      <c r="D93" s="91">
        <v>0.49</v>
      </c>
      <c r="E93" s="95">
        <f>C93*0.51</f>
        <v>3.1365000000000003</v>
      </c>
    </row>
    <row r="94" spans="1:7" x14ac:dyDescent="0.35">
      <c r="A94" s="5"/>
      <c r="B94" s="77" t="s">
        <v>225</v>
      </c>
      <c r="C94" s="139">
        <v>121.79</v>
      </c>
      <c r="D94" s="91">
        <v>0.59</v>
      </c>
      <c r="E94" s="95">
        <f>C94*0.41</f>
        <v>49.933900000000001</v>
      </c>
    </row>
    <row r="95" spans="1:7" x14ac:dyDescent="0.35">
      <c r="A95" s="5"/>
      <c r="B95" s="74" t="s">
        <v>223</v>
      </c>
      <c r="C95" s="139">
        <v>16.93</v>
      </c>
      <c r="D95" s="91">
        <v>0.4</v>
      </c>
      <c r="E95" s="95">
        <f>C95*0.6</f>
        <v>10.157999999999999</v>
      </c>
    </row>
    <row r="96" spans="1:7" ht="15.5" x14ac:dyDescent="0.35">
      <c r="A96" s="5"/>
      <c r="B96" s="53" t="s">
        <v>74</v>
      </c>
      <c r="C96" s="138"/>
      <c r="D96" s="92"/>
      <c r="E96" s="96"/>
    </row>
    <row r="97" spans="1:5" x14ac:dyDescent="0.35">
      <c r="A97" s="5"/>
      <c r="B97" s="74" t="s">
        <v>224</v>
      </c>
      <c r="C97" s="139">
        <v>8.3699999999999992</v>
      </c>
      <c r="D97" s="91">
        <v>0.36</v>
      </c>
      <c r="E97" s="95">
        <f>C97*0.64</f>
        <v>5.3567999999999998</v>
      </c>
    </row>
    <row r="98" spans="1:5" x14ac:dyDescent="0.35">
      <c r="A98" s="5"/>
      <c r="B98" s="74" t="s">
        <v>272</v>
      </c>
      <c r="C98" s="139">
        <v>121.79</v>
      </c>
      <c r="D98" s="91">
        <v>0.59</v>
      </c>
      <c r="E98" s="95">
        <f>C98*0.41</f>
        <v>49.933900000000001</v>
      </c>
    </row>
    <row r="99" spans="1:5" x14ac:dyDescent="0.35">
      <c r="A99" s="5"/>
      <c r="B99" s="74" t="s">
        <v>226</v>
      </c>
      <c r="C99" s="139">
        <v>9.67</v>
      </c>
      <c r="D99" s="91">
        <v>0.59</v>
      </c>
      <c r="E99" s="95">
        <f>C99*0.41</f>
        <v>3.9646999999999997</v>
      </c>
    </row>
    <row r="100" spans="1:5" x14ac:dyDescent="0.35">
      <c r="A100" s="5"/>
      <c r="B100" s="74" t="s">
        <v>273</v>
      </c>
      <c r="C100" s="139">
        <v>174.24</v>
      </c>
      <c r="D100" s="91">
        <v>0.26</v>
      </c>
      <c r="E100" s="95">
        <f>C100*0.74</f>
        <v>128.9376</v>
      </c>
    </row>
    <row r="101" spans="1:5" x14ac:dyDescent="0.35">
      <c r="A101" s="5"/>
      <c r="B101" s="74" t="s">
        <v>274</v>
      </c>
      <c r="C101" s="139">
        <v>174.24</v>
      </c>
      <c r="D101" s="91">
        <v>0.26</v>
      </c>
      <c r="E101" s="95">
        <f>C101*0.74</f>
        <v>128.9376</v>
      </c>
    </row>
    <row r="102" spans="1:5" x14ac:dyDescent="0.35">
      <c r="A102" s="5"/>
      <c r="B102" s="74" t="s">
        <v>275</v>
      </c>
      <c r="C102" s="139">
        <v>350.2</v>
      </c>
      <c r="D102" s="91">
        <v>0.31</v>
      </c>
      <c r="E102" s="95">
        <f>C102*0.69</f>
        <v>241.63799999999998</v>
      </c>
    </row>
    <row r="103" spans="1:5" x14ac:dyDescent="0.35">
      <c r="A103" s="5"/>
      <c r="B103" s="74" t="s">
        <v>227</v>
      </c>
      <c r="C103" s="139">
        <v>9.67</v>
      </c>
      <c r="D103" s="91">
        <v>0.59</v>
      </c>
      <c r="E103" s="95">
        <f>C103*0.41</f>
        <v>3.9646999999999997</v>
      </c>
    </row>
    <row r="104" spans="1:5" ht="15.5" x14ac:dyDescent="0.35">
      <c r="A104" s="5"/>
      <c r="B104" s="53" t="s">
        <v>75</v>
      </c>
      <c r="C104" s="138"/>
      <c r="D104" s="92"/>
      <c r="E104" s="96"/>
    </row>
    <row r="105" spans="1:5" x14ac:dyDescent="0.35">
      <c r="A105" s="5"/>
      <c r="B105" s="74" t="s">
        <v>160</v>
      </c>
      <c r="C105" s="139">
        <v>100.44</v>
      </c>
      <c r="D105" s="91">
        <v>0.36</v>
      </c>
      <c r="E105" s="95">
        <f>C105*0.64</f>
        <v>64.281599999999997</v>
      </c>
    </row>
    <row r="106" spans="1:5" x14ac:dyDescent="0.35">
      <c r="A106" s="5"/>
      <c r="B106" s="74" t="s">
        <v>232</v>
      </c>
      <c r="C106" s="139">
        <v>36.9</v>
      </c>
      <c r="D106" s="91">
        <v>0.51</v>
      </c>
      <c r="E106" s="95">
        <f>C106*0.49</f>
        <v>18.081</v>
      </c>
    </row>
    <row r="107" spans="1:5" x14ac:dyDescent="0.35">
      <c r="A107" s="5"/>
      <c r="B107" s="74" t="s">
        <v>228</v>
      </c>
      <c r="C107" s="139">
        <v>38.31</v>
      </c>
      <c r="D107" s="91">
        <v>0.42</v>
      </c>
      <c r="E107" s="95">
        <f>C107*0.58</f>
        <v>22.219799999999999</v>
      </c>
    </row>
    <row r="108" spans="1:5" x14ac:dyDescent="0.35">
      <c r="A108" s="5"/>
      <c r="B108" s="74" t="s">
        <v>276</v>
      </c>
      <c r="C108" s="139">
        <v>148.91999999999999</v>
      </c>
      <c r="D108" s="91">
        <v>0.34</v>
      </c>
      <c r="E108" s="95">
        <f>C108*0.66</f>
        <v>98.287199999999999</v>
      </c>
    </row>
    <row r="109" spans="1:5" x14ac:dyDescent="0.35">
      <c r="A109" s="5"/>
      <c r="B109" s="74" t="s">
        <v>277</v>
      </c>
      <c r="C109" s="139">
        <v>188.76</v>
      </c>
      <c r="D109" s="91">
        <v>0.4</v>
      </c>
      <c r="E109" s="95">
        <f>C109*0.6</f>
        <v>113.25599999999999</v>
      </c>
    </row>
    <row r="110" spans="1:5" ht="15.5" x14ac:dyDescent="0.35">
      <c r="A110" s="5"/>
      <c r="B110" s="53" t="s">
        <v>76</v>
      </c>
      <c r="C110" s="138"/>
      <c r="D110" s="92"/>
      <c r="E110" s="96"/>
    </row>
    <row r="111" spans="1:5" x14ac:dyDescent="0.35">
      <c r="A111" s="5"/>
      <c r="B111" s="80" t="s">
        <v>229</v>
      </c>
      <c r="C111" s="139">
        <v>89.1</v>
      </c>
      <c r="D111" s="91">
        <v>0.4</v>
      </c>
      <c r="E111" s="95">
        <f>C111*0.6</f>
        <v>53.459999999999994</v>
      </c>
    </row>
    <row r="112" spans="1:5" x14ac:dyDescent="0.35">
      <c r="A112" s="5"/>
      <c r="B112" s="80" t="s">
        <v>230</v>
      </c>
      <c r="C112" s="139">
        <v>52.2</v>
      </c>
      <c r="D112" s="91">
        <v>0.44</v>
      </c>
      <c r="E112" s="95">
        <f>C112*0.56</f>
        <v>29.232000000000003</v>
      </c>
    </row>
    <row r="113" spans="1:7" x14ac:dyDescent="0.35">
      <c r="A113" s="5"/>
      <c r="B113" s="80" t="s">
        <v>233</v>
      </c>
      <c r="C113" s="139">
        <v>49.6</v>
      </c>
      <c r="D113" s="91">
        <v>0.44</v>
      </c>
      <c r="E113" s="95">
        <f>C113*0.56</f>
        <v>27.776000000000003</v>
      </c>
    </row>
    <row r="114" spans="1:7" x14ac:dyDescent="0.35">
      <c r="A114" s="5"/>
      <c r="B114" s="80" t="s">
        <v>231</v>
      </c>
      <c r="C114" s="139">
        <v>52.95</v>
      </c>
      <c r="D114" s="91">
        <v>0.44</v>
      </c>
      <c r="E114" s="95">
        <f>C114*0.56</f>
        <v>29.652000000000005</v>
      </c>
    </row>
    <row r="115" spans="1:7" ht="15.5" x14ac:dyDescent="0.35">
      <c r="A115" s="5"/>
      <c r="B115" s="53" t="s">
        <v>77</v>
      </c>
      <c r="C115" s="138"/>
      <c r="D115" s="92"/>
      <c r="E115" s="96"/>
    </row>
    <row r="116" spans="1:7" x14ac:dyDescent="0.35">
      <c r="A116" s="5"/>
      <c r="B116" s="82" t="s">
        <v>234</v>
      </c>
      <c r="C116" s="139">
        <v>100.5</v>
      </c>
      <c r="D116" s="91">
        <v>0.27</v>
      </c>
      <c r="E116" s="95">
        <f>C116*0.73</f>
        <v>73.364999999999995</v>
      </c>
    </row>
    <row r="117" spans="1:7" ht="15.5" x14ac:dyDescent="0.35">
      <c r="A117" s="5"/>
      <c r="B117" s="87" t="s">
        <v>171</v>
      </c>
      <c r="C117" s="141"/>
      <c r="D117" s="93"/>
      <c r="E117" s="90">
        <f>SUM(E91:E116)</f>
        <v>1158.7535000000003</v>
      </c>
    </row>
    <row r="118" spans="1:7" x14ac:dyDescent="0.35">
      <c r="A118" s="23">
        <v>4</v>
      </c>
      <c r="B118" s="56" t="s">
        <v>78</v>
      </c>
      <c r="C118" s="137"/>
      <c r="D118" s="94"/>
      <c r="E118" s="97"/>
      <c r="G118" s="17"/>
    </row>
    <row r="119" spans="1:7" ht="15.5" x14ac:dyDescent="0.35">
      <c r="A119" s="5"/>
      <c r="B119" s="53" t="s">
        <v>79</v>
      </c>
      <c r="C119" s="138"/>
      <c r="D119" s="92"/>
      <c r="E119" s="96"/>
    </row>
    <row r="120" spans="1:7" x14ac:dyDescent="0.35">
      <c r="A120" s="5"/>
      <c r="B120" s="74" t="s">
        <v>235</v>
      </c>
      <c r="C120" s="139">
        <v>5.33</v>
      </c>
      <c r="D120" s="91">
        <v>0.28999999999999998</v>
      </c>
      <c r="E120" s="95">
        <f>C120*0.71</f>
        <v>3.7843</v>
      </c>
    </row>
    <row r="121" spans="1:7" x14ac:dyDescent="0.35">
      <c r="A121" s="5"/>
      <c r="B121" s="74" t="s">
        <v>162</v>
      </c>
      <c r="C121" s="139">
        <v>18.87</v>
      </c>
      <c r="D121" s="91">
        <v>0.34</v>
      </c>
      <c r="E121" s="95">
        <f>C121*0.66</f>
        <v>12.454200000000002</v>
      </c>
    </row>
    <row r="122" spans="1:7" ht="15.5" x14ac:dyDescent="0.35">
      <c r="A122" s="5"/>
      <c r="B122" s="53" t="s">
        <v>80</v>
      </c>
      <c r="C122" s="138"/>
      <c r="D122" s="92"/>
      <c r="E122" s="96"/>
    </row>
    <row r="123" spans="1:7" x14ac:dyDescent="0.35">
      <c r="A123" s="5"/>
      <c r="B123" s="74" t="s">
        <v>236</v>
      </c>
      <c r="C123" s="139">
        <v>91.92</v>
      </c>
      <c r="D123" s="91">
        <v>0.32</v>
      </c>
      <c r="E123" s="95">
        <f>C123*0.68</f>
        <v>62.505600000000008</v>
      </c>
    </row>
    <row r="124" spans="1:7" x14ac:dyDescent="0.35">
      <c r="A124" s="5"/>
      <c r="B124" s="74" t="s">
        <v>237</v>
      </c>
      <c r="C124" s="139">
        <v>91.92</v>
      </c>
      <c r="D124" s="91">
        <v>0.32</v>
      </c>
      <c r="E124" s="95">
        <f>C124*0.68</f>
        <v>62.505600000000008</v>
      </c>
    </row>
    <row r="125" spans="1:7" x14ac:dyDescent="0.35">
      <c r="A125" s="5"/>
      <c r="B125" s="54" t="s">
        <v>81</v>
      </c>
      <c r="C125" s="139">
        <v>65.010000000000005</v>
      </c>
      <c r="D125" s="91">
        <v>0.47</v>
      </c>
      <c r="E125" s="95">
        <f>C125*0.53</f>
        <v>34.455300000000001</v>
      </c>
    </row>
    <row r="126" spans="1:7" ht="15.5" x14ac:dyDescent="0.35">
      <c r="A126" s="5"/>
      <c r="B126" s="53" t="s">
        <v>82</v>
      </c>
      <c r="C126" s="138"/>
      <c r="D126" s="92"/>
      <c r="E126" s="96"/>
    </row>
    <row r="127" spans="1:7" x14ac:dyDescent="0.35">
      <c r="A127" s="5"/>
      <c r="B127" s="81" t="s">
        <v>278</v>
      </c>
      <c r="C127" s="139">
        <v>175.78</v>
      </c>
      <c r="D127" s="91">
        <v>0.26</v>
      </c>
      <c r="E127" s="95">
        <f>C127*0.74</f>
        <v>130.0772</v>
      </c>
    </row>
    <row r="128" spans="1:7" x14ac:dyDescent="0.35">
      <c r="A128" s="5"/>
      <c r="B128" s="81" t="s">
        <v>279</v>
      </c>
      <c r="C128" s="139">
        <v>44.48</v>
      </c>
      <c r="D128" s="91">
        <v>7.0000000000000007E-2</v>
      </c>
      <c r="E128" s="95">
        <f>C128*0.93</f>
        <v>41.366399999999999</v>
      </c>
    </row>
    <row r="129" spans="1:5" ht="15.5" x14ac:dyDescent="0.35">
      <c r="A129" s="5"/>
      <c r="B129" s="53" t="s">
        <v>83</v>
      </c>
      <c r="C129" s="138"/>
      <c r="D129" s="92"/>
      <c r="E129" s="96"/>
    </row>
    <row r="130" spans="1:5" x14ac:dyDescent="0.35">
      <c r="A130" s="5"/>
      <c r="B130" s="74" t="s">
        <v>238</v>
      </c>
      <c r="C130" s="139">
        <v>51.26</v>
      </c>
      <c r="D130" s="91">
        <v>0.2</v>
      </c>
      <c r="E130" s="95">
        <f>C130*0.8</f>
        <v>41.008000000000003</v>
      </c>
    </row>
    <row r="131" spans="1:5" x14ac:dyDescent="0.35">
      <c r="A131" s="5"/>
      <c r="B131" s="74" t="s">
        <v>239</v>
      </c>
      <c r="C131" s="139">
        <v>53.91</v>
      </c>
      <c r="D131" s="91">
        <v>0.33</v>
      </c>
      <c r="E131" s="95">
        <f>C131*0.67</f>
        <v>36.119700000000002</v>
      </c>
    </row>
    <row r="132" spans="1:5" x14ac:dyDescent="0.35">
      <c r="A132" s="5"/>
      <c r="B132" s="54" t="s">
        <v>84</v>
      </c>
      <c r="C132" s="139">
        <v>7.03</v>
      </c>
      <c r="D132" s="91">
        <v>0.02</v>
      </c>
      <c r="E132" s="95">
        <f>C132*0.98</f>
        <v>6.8894000000000002</v>
      </c>
    </row>
    <row r="133" spans="1:5" ht="15.5" x14ac:dyDescent="0.35">
      <c r="A133" s="5"/>
      <c r="B133" s="53" t="s">
        <v>85</v>
      </c>
      <c r="C133" s="138"/>
      <c r="D133" s="92"/>
      <c r="E133" s="96"/>
    </row>
    <row r="134" spans="1:5" x14ac:dyDescent="0.35">
      <c r="A134" s="5"/>
      <c r="B134" s="74" t="s">
        <v>280</v>
      </c>
      <c r="C134" s="139">
        <v>264.48</v>
      </c>
      <c r="D134" s="91">
        <v>0.63</v>
      </c>
      <c r="E134" s="95">
        <f>C134*0.37</f>
        <v>97.857600000000005</v>
      </c>
    </row>
    <row r="135" spans="1:5" x14ac:dyDescent="0.35">
      <c r="A135" s="5"/>
      <c r="B135" s="74" t="s">
        <v>281</v>
      </c>
      <c r="C135" s="139">
        <v>102.56</v>
      </c>
      <c r="D135" s="91">
        <v>0.4</v>
      </c>
      <c r="E135" s="95">
        <f>C135*0.6</f>
        <v>61.536000000000001</v>
      </c>
    </row>
    <row r="136" spans="1:5" x14ac:dyDescent="0.35">
      <c r="A136" s="5"/>
      <c r="B136" s="74" t="s">
        <v>282</v>
      </c>
      <c r="C136" s="139">
        <v>90.59</v>
      </c>
      <c r="D136" s="91">
        <v>0.3</v>
      </c>
      <c r="E136" s="95">
        <f>C136*0.7</f>
        <v>63.412999999999997</v>
      </c>
    </row>
    <row r="137" spans="1:5" ht="15.5" x14ac:dyDescent="0.35">
      <c r="A137" s="5"/>
      <c r="B137" s="53" t="s">
        <v>86</v>
      </c>
      <c r="C137" s="138"/>
      <c r="D137" s="92"/>
      <c r="E137" s="96"/>
    </row>
    <row r="138" spans="1:5" x14ac:dyDescent="0.35">
      <c r="A138" s="5"/>
      <c r="B138" s="74" t="s">
        <v>240</v>
      </c>
      <c r="C138" s="139">
        <v>77.44</v>
      </c>
      <c r="D138" s="91">
        <v>0.67</v>
      </c>
      <c r="E138" s="95">
        <f>C138*0.33</f>
        <v>25.555199999999999</v>
      </c>
    </row>
    <row r="139" spans="1:5" x14ac:dyDescent="0.35">
      <c r="A139" s="5"/>
      <c r="B139" s="74" t="s">
        <v>241</v>
      </c>
      <c r="C139" s="139">
        <v>77.77</v>
      </c>
      <c r="D139" s="91">
        <v>0.54</v>
      </c>
      <c r="E139" s="95">
        <f>C139*0.46</f>
        <v>35.7742</v>
      </c>
    </row>
    <row r="140" spans="1:5" ht="15.5" x14ac:dyDescent="0.35">
      <c r="A140" s="5"/>
      <c r="B140" s="53" t="s">
        <v>87</v>
      </c>
      <c r="C140" s="138"/>
      <c r="D140" s="92"/>
      <c r="E140" s="96"/>
    </row>
    <row r="141" spans="1:5" x14ac:dyDescent="0.35">
      <c r="A141" s="5"/>
      <c r="B141" s="122" t="s">
        <v>283</v>
      </c>
      <c r="C141" s="140"/>
      <c r="D141" s="120"/>
      <c r="E141" s="121"/>
    </row>
    <row r="142" spans="1:5" x14ac:dyDescent="0.35">
      <c r="A142" s="5"/>
      <c r="B142" s="101" t="s">
        <v>242</v>
      </c>
      <c r="C142" s="139">
        <v>16.29</v>
      </c>
      <c r="D142" s="91">
        <v>0.57999999999999996</v>
      </c>
      <c r="E142" s="95">
        <f>C142*0.42</f>
        <v>6.8417999999999992</v>
      </c>
    </row>
    <row r="143" spans="1:5" x14ac:dyDescent="0.35">
      <c r="A143" s="5"/>
      <c r="B143" s="101" t="s">
        <v>284</v>
      </c>
      <c r="C143" s="139">
        <v>173.77</v>
      </c>
      <c r="D143" s="91">
        <v>0.42</v>
      </c>
      <c r="E143" s="95">
        <f>C143*0.58</f>
        <v>100.78659999999999</v>
      </c>
    </row>
    <row r="144" spans="1:5" ht="15.5" x14ac:dyDescent="0.35">
      <c r="A144" s="5"/>
      <c r="B144" s="53" t="s">
        <v>88</v>
      </c>
      <c r="C144" s="138"/>
      <c r="D144" s="92"/>
      <c r="E144" s="96"/>
    </row>
    <row r="145" spans="1:7" x14ac:dyDescent="0.35">
      <c r="A145" s="5"/>
      <c r="B145" s="74" t="s">
        <v>243</v>
      </c>
      <c r="C145" s="139">
        <v>170.33</v>
      </c>
      <c r="D145" s="91">
        <v>0.6</v>
      </c>
      <c r="E145" s="95">
        <f>C145*0.4</f>
        <v>68.132000000000005</v>
      </c>
    </row>
    <row r="146" spans="1:7" x14ac:dyDescent="0.35">
      <c r="A146" s="5"/>
      <c r="B146" s="74" t="s">
        <v>244</v>
      </c>
      <c r="C146" s="139">
        <v>242.51</v>
      </c>
      <c r="D146" s="91">
        <v>0.64</v>
      </c>
      <c r="E146" s="95">
        <f>C146*0.36</f>
        <v>87.303599999999989</v>
      </c>
    </row>
    <row r="147" spans="1:7" x14ac:dyDescent="0.35">
      <c r="A147" s="5"/>
      <c r="B147" s="74" t="s">
        <v>89</v>
      </c>
      <c r="C147" s="139">
        <v>72.599999999999994</v>
      </c>
      <c r="D147" s="91">
        <v>0.5</v>
      </c>
      <c r="E147" s="95">
        <f>C147*0.5</f>
        <v>36.299999999999997</v>
      </c>
    </row>
    <row r="148" spans="1:7" x14ac:dyDescent="0.35">
      <c r="A148" s="5"/>
      <c r="B148" s="54" t="s">
        <v>90</v>
      </c>
      <c r="C148" s="139">
        <v>34.1</v>
      </c>
      <c r="D148" s="91">
        <v>0.15</v>
      </c>
      <c r="E148" s="95">
        <f>C148*0.85</f>
        <v>28.984999999999999</v>
      </c>
    </row>
    <row r="149" spans="1:7" ht="15.5" x14ac:dyDescent="0.35">
      <c r="A149" s="5"/>
      <c r="B149" s="53" t="s">
        <v>63</v>
      </c>
      <c r="C149" s="138"/>
      <c r="D149" s="92"/>
      <c r="E149" s="96"/>
    </row>
    <row r="150" spans="1:7" x14ac:dyDescent="0.35">
      <c r="A150" s="5"/>
      <c r="B150" s="74" t="s">
        <v>245</v>
      </c>
      <c r="C150" s="139">
        <v>10.16</v>
      </c>
      <c r="D150" s="91">
        <v>0.22</v>
      </c>
      <c r="E150" s="95">
        <f>C150*0.78</f>
        <v>7.9248000000000003</v>
      </c>
    </row>
    <row r="151" spans="1:7" x14ac:dyDescent="0.35">
      <c r="A151" s="5"/>
      <c r="B151" s="54" t="s">
        <v>91</v>
      </c>
      <c r="C151" s="139">
        <v>18.899999999999999</v>
      </c>
      <c r="D151" s="91">
        <v>0.52</v>
      </c>
      <c r="E151" s="95">
        <f>C151*0.48</f>
        <v>9.0719999999999992</v>
      </c>
    </row>
    <row r="152" spans="1:7" x14ac:dyDescent="0.35">
      <c r="A152" s="5"/>
      <c r="B152" s="74" t="s">
        <v>285</v>
      </c>
      <c r="C152" s="139">
        <v>8.75</v>
      </c>
      <c r="D152" s="91">
        <v>0.4</v>
      </c>
      <c r="E152" s="95">
        <f>C152*0.6</f>
        <v>5.25</v>
      </c>
      <c r="F152" t="s">
        <v>388</v>
      </c>
    </row>
    <row r="153" spans="1:7" x14ac:dyDescent="0.35">
      <c r="A153" s="5"/>
      <c r="B153" s="74" t="s">
        <v>286</v>
      </c>
      <c r="C153" s="139">
        <f>104.15/2</f>
        <v>52.075000000000003</v>
      </c>
      <c r="D153" s="91">
        <v>0.2</v>
      </c>
      <c r="E153" s="95">
        <f>C153*0.8</f>
        <v>41.660000000000004</v>
      </c>
    </row>
    <row r="154" spans="1:7" x14ac:dyDescent="0.35">
      <c r="A154" s="5"/>
      <c r="B154" s="101" t="s">
        <v>287</v>
      </c>
      <c r="C154" s="139">
        <v>108.88</v>
      </c>
      <c r="D154" s="91">
        <v>0.19</v>
      </c>
      <c r="E154" s="95">
        <f>C154*0.81</f>
        <v>88.192800000000005</v>
      </c>
    </row>
    <row r="155" spans="1:7" x14ac:dyDescent="0.35">
      <c r="A155" s="5"/>
      <c r="B155" s="101" t="s">
        <v>246</v>
      </c>
      <c r="C155" s="139">
        <v>136.18</v>
      </c>
      <c r="D155" s="91">
        <v>0.33</v>
      </c>
      <c r="E155" s="95">
        <f>C155*0.67</f>
        <v>91.240600000000015</v>
      </c>
    </row>
    <row r="156" spans="1:7" x14ac:dyDescent="0.35">
      <c r="A156" s="5"/>
      <c r="B156" s="101" t="s">
        <v>288</v>
      </c>
      <c r="C156" s="139">
        <v>166.17</v>
      </c>
      <c r="D156" s="91">
        <v>0.59</v>
      </c>
      <c r="E156" s="95">
        <f>C156*0.41</f>
        <v>68.129699999999985</v>
      </c>
    </row>
    <row r="157" spans="1:7" ht="15.5" x14ac:dyDescent="0.35">
      <c r="A157" s="5"/>
      <c r="B157" s="87" t="s">
        <v>172</v>
      </c>
      <c r="C157" s="141"/>
      <c r="D157" s="93"/>
      <c r="E157" s="90">
        <f>SUM(E119:E156)</f>
        <v>1355.1206</v>
      </c>
    </row>
    <row r="158" spans="1:7" x14ac:dyDescent="0.35">
      <c r="A158" s="23">
        <v>5</v>
      </c>
      <c r="B158" s="56" t="s">
        <v>92</v>
      </c>
      <c r="C158" s="137"/>
      <c r="D158" s="94"/>
      <c r="E158" s="97"/>
      <c r="G158" s="17"/>
    </row>
    <row r="159" spans="1:7" ht="15.5" x14ac:dyDescent="0.35">
      <c r="A159" s="41"/>
      <c r="B159" s="60" t="s">
        <v>93</v>
      </c>
      <c r="C159" s="138"/>
      <c r="D159" s="92"/>
      <c r="E159" s="96"/>
    </row>
    <row r="160" spans="1:7" x14ac:dyDescent="0.35">
      <c r="A160" s="46"/>
      <c r="B160" s="102" t="s">
        <v>247</v>
      </c>
      <c r="C160" s="142">
        <v>157.66999999999999</v>
      </c>
      <c r="D160" s="160">
        <v>0.5</v>
      </c>
      <c r="E160" s="161">
        <f>C160*0.5</f>
        <v>78.834999999999994</v>
      </c>
    </row>
    <row r="161" spans="1:5" x14ac:dyDescent="0.35">
      <c r="A161" s="46"/>
      <c r="B161" s="61" t="s">
        <v>94</v>
      </c>
      <c r="C161" s="142">
        <v>230.57</v>
      </c>
      <c r="D161" s="160">
        <v>0.5</v>
      </c>
      <c r="E161" s="161">
        <f>C161*0.5</f>
        <v>115.285</v>
      </c>
    </row>
    <row r="162" spans="1:5" x14ac:dyDescent="0.35">
      <c r="A162" s="46"/>
      <c r="B162" s="102" t="s">
        <v>248</v>
      </c>
      <c r="C162" s="142">
        <v>229.02</v>
      </c>
      <c r="D162" s="160">
        <v>0.5</v>
      </c>
      <c r="E162" s="161">
        <f>C162*0.5</f>
        <v>114.51</v>
      </c>
    </row>
    <row r="163" spans="1:5" ht="15.5" x14ac:dyDescent="0.35">
      <c r="A163" s="41"/>
      <c r="B163" s="62" t="s">
        <v>95</v>
      </c>
      <c r="C163" s="138"/>
      <c r="D163" s="92"/>
      <c r="E163" s="96"/>
    </row>
    <row r="164" spans="1:5" x14ac:dyDescent="0.35">
      <c r="A164" s="41"/>
      <c r="B164" s="80" t="s">
        <v>249</v>
      </c>
      <c r="C164" s="139">
        <v>369.12</v>
      </c>
      <c r="D164" s="91">
        <v>0.37</v>
      </c>
      <c r="E164" s="95">
        <f>C164*0.63</f>
        <v>232.54560000000001</v>
      </c>
    </row>
    <row r="165" spans="1:5" ht="15.5" x14ac:dyDescent="0.35">
      <c r="A165" s="41"/>
      <c r="B165" s="60" t="s">
        <v>96</v>
      </c>
      <c r="C165" s="138"/>
      <c r="D165" s="92"/>
      <c r="E165" s="96"/>
    </row>
    <row r="166" spans="1:5" x14ac:dyDescent="0.35">
      <c r="A166" s="46"/>
      <c r="B166" s="102" t="s">
        <v>289</v>
      </c>
      <c r="C166" s="142">
        <v>194.64</v>
      </c>
      <c r="D166" s="91">
        <v>0.16</v>
      </c>
      <c r="E166" s="95">
        <f>C166*0.84</f>
        <v>163.49759999999998</v>
      </c>
    </row>
    <row r="167" spans="1:5" x14ac:dyDescent="0.35">
      <c r="A167" s="46"/>
      <c r="B167" s="102" t="s">
        <v>290</v>
      </c>
      <c r="C167" s="142">
        <f>11.36*12</f>
        <v>136.32</v>
      </c>
      <c r="D167" s="91">
        <v>0.17</v>
      </c>
      <c r="E167" s="95">
        <f>C167*0.83</f>
        <v>113.14559999999999</v>
      </c>
    </row>
    <row r="168" spans="1:5" x14ac:dyDescent="0.35">
      <c r="A168" s="46"/>
      <c r="B168" s="61" t="s">
        <v>250</v>
      </c>
      <c r="C168" s="142">
        <v>16.04</v>
      </c>
      <c r="D168" s="91">
        <v>0.32</v>
      </c>
      <c r="E168" s="95">
        <f>C168*0.68</f>
        <v>10.9072</v>
      </c>
    </row>
    <row r="169" spans="1:5" x14ac:dyDescent="0.35">
      <c r="A169" s="46"/>
      <c r="B169" s="61" t="s">
        <v>251</v>
      </c>
      <c r="C169" s="142">
        <v>15.5</v>
      </c>
      <c r="D169" s="91">
        <v>0.31</v>
      </c>
      <c r="E169" s="95">
        <f>C169*0.69</f>
        <v>10.694999999999999</v>
      </c>
    </row>
    <row r="170" spans="1:5" ht="15.5" x14ac:dyDescent="0.35">
      <c r="A170" s="41"/>
      <c r="B170" s="63" t="s">
        <v>97</v>
      </c>
      <c r="C170" s="138"/>
      <c r="D170" s="92"/>
      <c r="E170" s="96"/>
    </row>
    <row r="171" spans="1:5" x14ac:dyDescent="0.35">
      <c r="A171" s="110"/>
      <c r="B171" s="114" t="s">
        <v>368</v>
      </c>
      <c r="C171" s="142">
        <f>27.55*12</f>
        <v>330.6</v>
      </c>
      <c r="D171" s="91">
        <v>0.2</v>
      </c>
      <c r="E171" s="95">
        <f>C171*0.8</f>
        <v>264.48</v>
      </c>
    </row>
    <row r="172" spans="1:5" x14ac:dyDescent="0.35">
      <c r="A172" s="110"/>
      <c r="B172" s="114" t="s">
        <v>367</v>
      </c>
      <c r="C172" s="142">
        <f>33.07*12</f>
        <v>396.84000000000003</v>
      </c>
      <c r="D172" s="91">
        <v>0.2</v>
      </c>
      <c r="E172" s="95">
        <f>C172*0.8</f>
        <v>317.47200000000004</v>
      </c>
    </row>
    <row r="173" spans="1:5" ht="15.5" x14ac:dyDescent="0.35">
      <c r="A173" s="111"/>
      <c r="B173" s="64" t="s">
        <v>98</v>
      </c>
      <c r="C173" s="138"/>
      <c r="D173" s="92"/>
      <c r="E173" s="96"/>
    </row>
    <row r="174" spans="1:5" x14ac:dyDescent="0.35">
      <c r="A174" s="110"/>
      <c r="B174" s="102" t="s">
        <v>291</v>
      </c>
      <c r="C174" s="142">
        <v>116.2</v>
      </c>
      <c r="D174" s="91">
        <v>0.22</v>
      </c>
      <c r="E174" s="95">
        <f>C174*0.78</f>
        <v>90.63600000000001</v>
      </c>
    </row>
    <row r="175" spans="1:5" x14ac:dyDescent="0.35">
      <c r="A175" s="110"/>
      <c r="B175" s="61" t="s">
        <v>252</v>
      </c>
      <c r="C175" s="142">
        <v>52.9</v>
      </c>
      <c r="D175" s="91">
        <v>0.22</v>
      </c>
      <c r="E175" s="95">
        <f>C175*0.78</f>
        <v>41.262</v>
      </c>
    </row>
    <row r="176" spans="1:5" ht="15.5" x14ac:dyDescent="0.35">
      <c r="A176" s="111"/>
      <c r="B176" s="63" t="s">
        <v>99</v>
      </c>
      <c r="C176" s="138"/>
      <c r="D176" s="92"/>
      <c r="E176" s="96"/>
    </row>
    <row r="177" spans="1:7" x14ac:dyDescent="0.35">
      <c r="A177" s="110"/>
      <c r="B177" s="102" t="s">
        <v>292</v>
      </c>
      <c r="C177" s="142">
        <v>31.93</v>
      </c>
      <c r="D177" s="91">
        <v>0.48</v>
      </c>
      <c r="E177" s="95">
        <f>C177*0.52</f>
        <v>16.6036</v>
      </c>
    </row>
    <row r="178" spans="1:7" x14ac:dyDescent="0.35">
      <c r="A178" s="110"/>
      <c r="B178" s="114" t="s">
        <v>365</v>
      </c>
      <c r="C178" s="142">
        <v>36.44</v>
      </c>
      <c r="D178" s="91">
        <v>0.33</v>
      </c>
      <c r="E178" s="95">
        <f>C178*0.67</f>
        <v>24.4148</v>
      </c>
    </row>
    <row r="179" spans="1:7" ht="15.5" x14ac:dyDescent="0.35">
      <c r="A179" s="111"/>
      <c r="B179" s="63" t="s">
        <v>100</v>
      </c>
      <c r="C179" s="138"/>
      <c r="D179" s="92"/>
      <c r="E179" s="96"/>
    </row>
    <row r="180" spans="1:7" x14ac:dyDescent="0.35">
      <c r="A180" s="110"/>
      <c r="B180" s="61" t="s">
        <v>253</v>
      </c>
      <c r="C180" s="142">
        <v>26.47</v>
      </c>
      <c r="D180" s="91">
        <v>0.21</v>
      </c>
      <c r="E180" s="95">
        <f>C180*0.79</f>
        <v>20.911300000000001</v>
      </c>
    </row>
    <row r="181" spans="1:7" x14ac:dyDescent="0.35">
      <c r="A181" s="110"/>
      <c r="B181" s="113" t="s">
        <v>293</v>
      </c>
      <c r="C181" s="142">
        <v>120.99</v>
      </c>
      <c r="D181" s="91">
        <v>0.17</v>
      </c>
      <c r="E181" s="95">
        <f>C181*0.83</f>
        <v>100.42169999999999</v>
      </c>
    </row>
    <row r="182" spans="1:7" x14ac:dyDescent="0.35">
      <c r="A182" s="110"/>
      <c r="B182" s="98" t="s">
        <v>261</v>
      </c>
      <c r="C182" s="139">
        <v>150.75</v>
      </c>
      <c r="D182" s="91">
        <v>0.23</v>
      </c>
      <c r="E182" s="95">
        <f>C182*0.77</f>
        <v>116.0775</v>
      </c>
    </row>
    <row r="183" spans="1:7" x14ac:dyDescent="0.35">
      <c r="A183" s="110"/>
      <c r="B183" s="122" t="s">
        <v>369</v>
      </c>
      <c r="C183" s="143"/>
      <c r="D183" s="118"/>
      <c r="E183" s="119"/>
    </row>
    <row r="184" spans="1:7" x14ac:dyDescent="0.35">
      <c r="A184" s="46"/>
      <c r="B184" s="112" t="s">
        <v>294</v>
      </c>
      <c r="C184" s="142">
        <v>88.69</v>
      </c>
      <c r="D184" s="91">
        <v>0.69</v>
      </c>
      <c r="E184" s="95">
        <v>27.49</v>
      </c>
    </row>
    <row r="185" spans="1:7" ht="15.5" x14ac:dyDescent="0.35">
      <c r="A185" s="41"/>
      <c r="B185" s="62" t="s">
        <v>101</v>
      </c>
      <c r="C185" s="138"/>
      <c r="D185" s="92"/>
      <c r="E185" s="96"/>
    </row>
    <row r="186" spans="1:7" x14ac:dyDescent="0.35">
      <c r="A186" s="41"/>
      <c r="B186" s="65" t="s">
        <v>254</v>
      </c>
      <c r="C186" s="139">
        <v>4.76</v>
      </c>
      <c r="D186" s="91">
        <v>0.46</v>
      </c>
      <c r="E186" s="95">
        <f>C186*0.54</f>
        <v>2.5704000000000002</v>
      </c>
    </row>
    <row r="187" spans="1:7" x14ac:dyDescent="0.35">
      <c r="A187" s="41"/>
      <c r="B187" s="65" t="s">
        <v>255</v>
      </c>
      <c r="C187" s="139">
        <v>24.84</v>
      </c>
      <c r="D187" s="91">
        <v>0.45</v>
      </c>
      <c r="E187" s="95">
        <f>C187*0.55</f>
        <v>13.662000000000001</v>
      </c>
    </row>
    <row r="188" spans="1:7" x14ac:dyDescent="0.35">
      <c r="A188" s="41"/>
      <c r="B188" s="107" t="s">
        <v>295</v>
      </c>
      <c r="C188" s="139">
        <v>108.1</v>
      </c>
      <c r="D188" s="91">
        <v>0.15</v>
      </c>
      <c r="E188" s="95">
        <f>C188*0.85</f>
        <v>91.884999999999991</v>
      </c>
    </row>
    <row r="189" spans="1:7" ht="15.5" x14ac:dyDescent="0.35">
      <c r="A189" s="41"/>
      <c r="B189" s="66" t="s">
        <v>63</v>
      </c>
      <c r="C189" s="138"/>
      <c r="D189" s="92"/>
      <c r="E189" s="96"/>
    </row>
    <row r="190" spans="1:7" x14ac:dyDescent="0.35">
      <c r="A190" s="41"/>
      <c r="B190" s="103" t="s">
        <v>296</v>
      </c>
      <c r="C190" s="139">
        <v>156.38</v>
      </c>
      <c r="D190" s="91">
        <v>0.38</v>
      </c>
      <c r="E190" s="95">
        <f>C190*0.62</f>
        <v>96.95559999999999</v>
      </c>
    </row>
    <row r="191" spans="1:7" ht="15.5" x14ac:dyDescent="0.35">
      <c r="A191" s="5"/>
      <c r="B191" s="87" t="s">
        <v>173</v>
      </c>
      <c r="C191" s="141"/>
      <c r="D191" s="93"/>
      <c r="E191" s="90">
        <f>SUM(E159:E190)</f>
        <v>2064.2628999999997</v>
      </c>
    </row>
    <row r="192" spans="1:7" x14ac:dyDescent="0.35">
      <c r="A192" s="23">
        <v>6</v>
      </c>
      <c r="B192" s="56" t="s">
        <v>39</v>
      </c>
      <c r="C192" s="137"/>
      <c r="D192" s="94"/>
      <c r="E192" s="97"/>
      <c r="G192" s="17"/>
    </row>
    <row r="193" spans="1:5" ht="15.5" x14ac:dyDescent="0.35">
      <c r="A193" s="5"/>
      <c r="B193" s="53" t="s">
        <v>102</v>
      </c>
      <c r="C193" s="138"/>
      <c r="D193" s="92"/>
      <c r="E193" s="96"/>
    </row>
    <row r="194" spans="1:5" x14ac:dyDescent="0.35">
      <c r="A194" s="5"/>
      <c r="B194" s="122" t="s">
        <v>297</v>
      </c>
      <c r="C194" s="144"/>
      <c r="D194" s="118"/>
      <c r="E194" s="119"/>
    </row>
    <row r="195" spans="1:5" x14ac:dyDescent="0.35">
      <c r="A195" s="5"/>
      <c r="B195" s="54" t="s">
        <v>103</v>
      </c>
      <c r="C195" s="139">
        <v>105</v>
      </c>
      <c r="D195" s="91">
        <v>0.05</v>
      </c>
      <c r="E195" s="95">
        <f>C195*0.95</f>
        <v>99.75</v>
      </c>
    </row>
    <row r="196" spans="1:5" x14ac:dyDescent="0.35">
      <c r="A196" s="5"/>
      <c r="B196" s="74" t="s">
        <v>298</v>
      </c>
      <c r="C196" s="139">
        <v>1868.02</v>
      </c>
      <c r="D196" s="91">
        <v>0.05</v>
      </c>
      <c r="E196" s="95">
        <f>C196*0.95</f>
        <v>1774.6189999999999</v>
      </c>
    </row>
    <row r="197" spans="1:5" x14ac:dyDescent="0.35">
      <c r="A197" s="5"/>
      <c r="B197" s="74" t="s">
        <v>299</v>
      </c>
      <c r="C197" s="139">
        <v>434.42</v>
      </c>
      <c r="D197" s="91">
        <v>0.05</v>
      </c>
      <c r="E197" s="95">
        <f t="shared" ref="E197:E201" si="1">C197*0.95</f>
        <v>412.69900000000001</v>
      </c>
    </row>
    <row r="198" spans="1:5" x14ac:dyDescent="0.35">
      <c r="A198" s="5"/>
      <c r="B198" s="74" t="s">
        <v>300</v>
      </c>
      <c r="C198" s="139">
        <v>1487</v>
      </c>
      <c r="D198" s="91">
        <v>0.05</v>
      </c>
      <c r="E198" s="95">
        <f t="shared" si="1"/>
        <v>1412.6499999999999</v>
      </c>
    </row>
    <row r="199" spans="1:5" x14ac:dyDescent="0.35">
      <c r="A199" s="5"/>
      <c r="B199" s="74" t="s">
        <v>163</v>
      </c>
      <c r="C199" s="139">
        <v>2006</v>
      </c>
      <c r="D199" s="91">
        <v>0.05</v>
      </c>
      <c r="E199" s="95">
        <f t="shared" si="1"/>
        <v>1905.6999999999998</v>
      </c>
    </row>
    <row r="200" spans="1:5" x14ac:dyDescent="0.35">
      <c r="A200" s="5"/>
      <c r="B200" s="74" t="s">
        <v>164</v>
      </c>
      <c r="C200" s="139">
        <v>540</v>
      </c>
      <c r="D200" s="91">
        <v>0.05</v>
      </c>
      <c r="E200" s="95">
        <f t="shared" si="1"/>
        <v>513</v>
      </c>
    </row>
    <row r="201" spans="1:5" x14ac:dyDescent="0.35">
      <c r="A201" s="5"/>
      <c r="B201" s="74" t="s">
        <v>165</v>
      </c>
      <c r="C201" s="139">
        <v>1657.35</v>
      </c>
      <c r="D201" s="91">
        <v>0.05</v>
      </c>
      <c r="E201" s="95">
        <f t="shared" si="1"/>
        <v>1574.4824999999998</v>
      </c>
    </row>
    <row r="202" spans="1:5" ht="15.5" x14ac:dyDescent="0.35">
      <c r="A202" s="5"/>
      <c r="B202" s="53" t="s">
        <v>104</v>
      </c>
      <c r="C202" s="138"/>
      <c r="D202" s="92"/>
      <c r="E202" s="96"/>
    </row>
    <row r="203" spans="1:5" x14ac:dyDescent="0.35">
      <c r="A203" s="5"/>
      <c r="B203" s="54" t="s">
        <v>256</v>
      </c>
      <c r="C203" s="139">
        <v>29.26</v>
      </c>
      <c r="D203" s="91">
        <v>0.39</v>
      </c>
      <c r="E203" s="95">
        <f>C203*0.61</f>
        <v>17.848600000000001</v>
      </c>
    </row>
    <row r="204" spans="1:5" x14ac:dyDescent="0.35">
      <c r="A204" s="5"/>
      <c r="B204" s="122" t="s">
        <v>257</v>
      </c>
      <c r="C204" s="144"/>
      <c r="D204" s="118"/>
      <c r="E204" s="119"/>
    </row>
    <row r="205" spans="1:5" x14ac:dyDescent="0.35">
      <c r="A205" s="5"/>
      <c r="B205" s="77" t="s">
        <v>105</v>
      </c>
      <c r="C205" s="139">
        <v>26.57</v>
      </c>
      <c r="D205" s="91">
        <v>0.32</v>
      </c>
      <c r="E205" s="95">
        <f>C205*0.68</f>
        <v>18.067600000000002</v>
      </c>
    </row>
    <row r="206" spans="1:5" x14ac:dyDescent="0.35">
      <c r="A206" s="5"/>
      <c r="B206" s="77" t="s">
        <v>301</v>
      </c>
      <c r="C206" s="139">
        <f>22.7*12</f>
        <v>272.39999999999998</v>
      </c>
      <c r="D206" s="91">
        <v>0.45</v>
      </c>
      <c r="E206" s="95">
        <f>C206*0.55</f>
        <v>149.82</v>
      </c>
    </row>
    <row r="207" spans="1:5" ht="15.5" x14ac:dyDescent="0.35">
      <c r="A207" s="5"/>
      <c r="B207" s="53" t="s">
        <v>106</v>
      </c>
      <c r="C207" s="138"/>
      <c r="D207" s="92"/>
      <c r="E207" s="96"/>
    </row>
    <row r="208" spans="1:5" x14ac:dyDescent="0.35">
      <c r="A208" s="5"/>
      <c r="B208" s="81" t="s">
        <v>302</v>
      </c>
      <c r="C208" s="139">
        <v>21.06</v>
      </c>
      <c r="D208" s="91">
        <v>0.25</v>
      </c>
      <c r="E208" s="95">
        <f>C208*0.75</f>
        <v>15.794999999999998</v>
      </c>
    </row>
    <row r="209" spans="1:5" x14ac:dyDescent="0.35">
      <c r="A209" s="5"/>
      <c r="B209" s="74" t="s">
        <v>303</v>
      </c>
      <c r="C209" s="139">
        <v>6.23</v>
      </c>
      <c r="D209" s="91">
        <v>0.37</v>
      </c>
      <c r="E209" s="95">
        <f>C209*0.63</f>
        <v>3.9249000000000005</v>
      </c>
    </row>
    <row r="210" spans="1:5" ht="15.5" x14ac:dyDescent="0.35">
      <c r="A210" s="5"/>
      <c r="B210" s="53" t="s">
        <v>107</v>
      </c>
      <c r="C210" s="138"/>
      <c r="D210" s="92"/>
      <c r="E210" s="96"/>
    </row>
    <row r="211" spans="1:5" x14ac:dyDescent="0.35">
      <c r="A211" s="5"/>
      <c r="B211" s="108" t="s">
        <v>304</v>
      </c>
      <c r="C211" s="139">
        <f>79.99*5</f>
        <v>399.95</v>
      </c>
      <c r="D211" s="91">
        <v>0.24</v>
      </c>
      <c r="E211" s="95">
        <f>C211*0.76</f>
        <v>303.96199999999999</v>
      </c>
    </row>
    <row r="212" spans="1:5" ht="26" x14ac:dyDescent="0.35">
      <c r="A212" s="5"/>
      <c r="B212" s="108" t="s">
        <v>305</v>
      </c>
      <c r="C212" s="139">
        <v>309.98</v>
      </c>
      <c r="D212" s="91">
        <v>0.24</v>
      </c>
      <c r="E212" s="95">
        <f>C212*0.76</f>
        <v>235.58480000000003</v>
      </c>
    </row>
    <row r="213" spans="1:5" ht="15.5" x14ac:dyDescent="0.35">
      <c r="A213" s="5"/>
      <c r="B213" s="124" t="s">
        <v>108</v>
      </c>
      <c r="C213" s="140"/>
      <c r="D213" s="120"/>
      <c r="E213" s="121"/>
    </row>
    <row r="214" spans="1:5" x14ac:dyDescent="0.35">
      <c r="A214" s="5"/>
      <c r="B214" s="123" t="s">
        <v>373</v>
      </c>
      <c r="C214" s="144"/>
      <c r="D214" s="118"/>
      <c r="E214" s="119"/>
    </row>
    <row r="215" spans="1:5" x14ac:dyDescent="0.35">
      <c r="A215" s="5"/>
      <c r="B215" s="123" t="s">
        <v>374</v>
      </c>
      <c r="C215" s="144"/>
      <c r="D215" s="118"/>
      <c r="E215" s="119"/>
    </row>
    <row r="216" spans="1:5" x14ac:dyDescent="0.35">
      <c r="A216" s="5"/>
      <c r="B216" s="123" t="s">
        <v>306</v>
      </c>
      <c r="C216" s="144"/>
      <c r="D216" s="118"/>
      <c r="E216" s="119"/>
    </row>
    <row r="217" spans="1:5" x14ac:dyDescent="0.35">
      <c r="A217" s="5"/>
      <c r="B217" s="123" t="s">
        <v>372</v>
      </c>
      <c r="C217" s="144"/>
      <c r="D217" s="118"/>
      <c r="E217" s="119"/>
    </row>
    <row r="218" spans="1:5" ht="15.5" x14ac:dyDescent="0.35">
      <c r="A218" s="5"/>
      <c r="B218" s="73" t="s">
        <v>161</v>
      </c>
      <c r="C218" s="138"/>
      <c r="D218" s="92"/>
      <c r="E218" s="96"/>
    </row>
    <row r="219" spans="1:5" x14ac:dyDescent="0.35">
      <c r="A219" s="5"/>
      <c r="B219" s="80" t="s">
        <v>307</v>
      </c>
      <c r="C219" s="139">
        <v>33.24</v>
      </c>
      <c r="D219" s="91">
        <v>0.73</v>
      </c>
      <c r="E219" s="95">
        <f>C219*0.27</f>
        <v>8.9748000000000019</v>
      </c>
    </row>
    <row r="220" spans="1:5" x14ac:dyDescent="0.35">
      <c r="A220" s="5"/>
      <c r="B220" s="80" t="s">
        <v>308</v>
      </c>
      <c r="C220" s="139">
        <v>18.46</v>
      </c>
      <c r="D220" s="91">
        <v>0.51</v>
      </c>
      <c r="E220" s="95">
        <f>C220*0.49</f>
        <v>9.0454000000000008</v>
      </c>
    </row>
    <row r="221" spans="1:5" x14ac:dyDescent="0.35">
      <c r="A221" s="5"/>
      <c r="B221" s="80" t="s">
        <v>309</v>
      </c>
      <c r="C221" s="139">
        <v>22.91</v>
      </c>
      <c r="D221" s="91">
        <v>0.6</v>
      </c>
      <c r="E221" s="95">
        <f>C221*0.4</f>
        <v>9.1639999999999997</v>
      </c>
    </row>
    <row r="222" spans="1:5" x14ac:dyDescent="0.35">
      <c r="A222" s="5"/>
      <c r="B222" s="80" t="s">
        <v>310</v>
      </c>
      <c r="C222" s="139">
        <v>68.19</v>
      </c>
      <c r="D222" s="91">
        <v>0.03</v>
      </c>
      <c r="E222" s="95">
        <f>C222*0.97</f>
        <v>66.144300000000001</v>
      </c>
    </row>
    <row r="223" spans="1:5" ht="15.5" x14ac:dyDescent="0.35">
      <c r="A223" s="5"/>
      <c r="B223" s="73" t="s">
        <v>63</v>
      </c>
      <c r="C223" s="138"/>
      <c r="D223" s="92"/>
      <c r="E223" s="96"/>
    </row>
    <row r="224" spans="1:5" x14ac:dyDescent="0.35">
      <c r="A224" s="5"/>
      <c r="B224" s="77" t="s">
        <v>311</v>
      </c>
      <c r="C224" s="139">
        <v>86.88</v>
      </c>
      <c r="D224" s="91">
        <v>0.2</v>
      </c>
      <c r="E224" s="95">
        <f>C224*0.8</f>
        <v>69.504000000000005</v>
      </c>
    </row>
    <row r="225" spans="1:7" ht="15.5" x14ac:dyDescent="0.35">
      <c r="A225" s="5"/>
      <c r="B225" s="87" t="s">
        <v>174</v>
      </c>
      <c r="C225" s="141"/>
      <c r="D225" s="93"/>
      <c r="E225" s="90">
        <f>SUM(E193:E224)</f>
        <v>8600.7359000000033</v>
      </c>
    </row>
    <row r="226" spans="1:7" x14ac:dyDescent="0.35">
      <c r="A226" s="23">
        <v>7</v>
      </c>
      <c r="B226" s="56" t="s">
        <v>40</v>
      </c>
      <c r="C226" s="137"/>
      <c r="D226" s="94"/>
      <c r="E226" s="88"/>
      <c r="G226" s="17"/>
    </row>
    <row r="227" spans="1:7" ht="15.5" x14ac:dyDescent="0.35">
      <c r="A227" s="5"/>
      <c r="B227" s="53" t="s">
        <v>109</v>
      </c>
      <c r="C227" s="138"/>
      <c r="D227" s="92"/>
      <c r="E227" s="96"/>
    </row>
    <row r="228" spans="1:7" x14ac:dyDescent="0.35">
      <c r="A228" s="5"/>
      <c r="B228" s="81" t="s">
        <v>312</v>
      </c>
      <c r="C228" s="139">
        <v>371.9</v>
      </c>
      <c r="D228" s="91">
        <v>0.01</v>
      </c>
      <c r="E228" s="95">
        <f>C228*0.99</f>
        <v>368.18099999999998</v>
      </c>
    </row>
    <row r="229" spans="1:7" x14ac:dyDescent="0.35">
      <c r="A229" s="5"/>
      <c r="B229" s="81" t="s">
        <v>313</v>
      </c>
      <c r="C229" s="139">
        <v>168.05</v>
      </c>
      <c r="D229" s="91">
        <v>0.21</v>
      </c>
      <c r="E229" s="95">
        <f>C229*0.79</f>
        <v>132.7595</v>
      </c>
    </row>
    <row r="230" spans="1:7" x14ac:dyDescent="0.35">
      <c r="A230" s="5"/>
      <c r="B230" s="81" t="s">
        <v>314</v>
      </c>
      <c r="C230" s="139">
        <v>296.10000000000002</v>
      </c>
      <c r="D230" s="91">
        <v>0.21</v>
      </c>
      <c r="E230" s="95">
        <f>C230*0.79</f>
        <v>233.91900000000004</v>
      </c>
    </row>
    <row r="231" spans="1:7" x14ac:dyDescent="0.35">
      <c r="A231" s="5"/>
      <c r="B231" s="81" t="s">
        <v>315</v>
      </c>
      <c r="C231" s="139">
        <v>85.19</v>
      </c>
      <c r="D231" s="91">
        <v>0.21</v>
      </c>
      <c r="E231" s="95">
        <f>C231*0.79</f>
        <v>67.3001</v>
      </c>
    </row>
    <row r="232" spans="1:7" x14ac:dyDescent="0.35">
      <c r="A232" s="5"/>
      <c r="B232" s="81" t="s">
        <v>316</v>
      </c>
      <c r="C232" s="139">
        <v>154.31</v>
      </c>
      <c r="D232" s="91">
        <v>0.21</v>
      </c>
      <c r="E232" s="95">
        <f>C232*0.79</f>
        <v>121.90490000000001</v>
      </c>
    </row>
    <row r="233" spans="1:7" x14ac:dyDescent="0.35">
      <c r="A233" s="5"/>
      <c r="B233" s="127" t="s">
        <v>317</v>
      </c>
      <c r="C233" s="144"/>
      <c r="D233" s="118"/>
      <c r="E233" s="119"/>
    </row>
    <row r="234" spans="1:7" x14ac:dyDescent="0.35">
      <c r="A234" s="5"/>
      <c r="B234" s="74" t="s">
        <v>318</v>
      </c>
      <c r="C234" s="139">
        <v>215.93</v>
      </c>
      <c r="D234" s="91">
        <v>0.15</v>
      </c>
      <c r="E234" s="95">
        <f>C234*0.85</f>
        <v>183.54050000000001</v>
      </c>
    </row>
    <row r="235" spans="1:7" x14ac:dyDescent="0.35">
      <c r="A235" s="5"/>
      <c r="B235" s="74" t="s">
        <v>319</v>
      </c>
      <c r="C235" s="139">
        <v>215.93</v>
      </c>
      <c r="D235" s="91">
        <v>0.13</v>
      </c>
      <c r="E235" s="95">
        <f>C235*0.87</f>
        <v>187.85910000000001</v>
      </c>
    </row>
    <row r="236" spans="1:7" x14ac:dyDescent="0.35">
      <c r="A236" s="5"/>
      <c r="B236" s="115" t="s">
        <v>375</v>
      </c>
      <c r="C236" s="139">
        <v>155</v>
      </c>
      <c r="D236" s="91">
        <v>0.38</v>
      </c>
      <c r="E236" s="95">
        <f>C236*0.62</f>
        <v>96.1</v>
      </c>
    </row>
    <row r="237" spans="1:7" x14ac:dyDescent="0.35">
      <c r="A237" s="5"/>
      <c r="B237" s="74" t="s">
        <v>320</v>
      </c>
      <c r="C237" s="139">
        <v>285</v>
      </c>
      <c r="D237" s="91">
        <v>0.42</v>
      </c>
      <c r="E237" s="95">
        <f>C237*0.58</f>
        <v>165.29999999999998</v>
      </c>
    </row>
    <row r="238" spans="1:7" x14ac:dyDescent="0.35">
      <c r="A238" s="5"/>
      <c r="B238" s="74" t="s">
        <v>321</v>
      </c>
      <c r="C238" s="139">
        <v>27.86</v>
      </c>
      <c r="D238" s="91">
        <v>0.46</v>
      </c>
      <c r="E238" s="95">
        <f>C238*0.54</f>
        <v>15.044400000000001</v>
      </c>
    </row>
    <row r="239" spans="1:7" x14ac:dyDescent="0.35">
      <c r="A239" s="5"/>
      <c r="B239" s="74" t="s">
        <v>322</v>
      </c>
      <c r="C239" s="139">
        <v>27.86</v>
      </c>
      <c r="D239" s="91">
        <v>0.34</v>
      </c>
      <c r="E239" s="95">
        <f>C239*0.66</f>
        <v>18.387599999999999</v>
      </c>
    </row>
    <row r="240" spans="1:7" x14ac:dyDescent="0.35">
      <c r="A240" s="5"/>
      <c r="B240" s="74" t="s">
        <v>323</v>
      </c>
      <c r="C240" s="139">
        <v>28.37</v>
      </c>
      <c r="D240" s="91">
        <v>0.45</v>
      </c>
      <c r="E240" s="95">
        <f>C240*0.55</f>
        <v>15.603500000000002</v>
      </c>
    </row>
    <row r="241" spans="1:7" x14ac:dyDescent="0.35">
      <c r="A241" s="5"/>
      <c r="B241" s="74" t="s">
        <v>324</v>
      </c>
      <c r="C241" s="139">
        <v>28.85</v>
      </c>
      <c r="D241" s="91">
        <v>0.26</v>
      </c>
      <c r="E241" s="95">
        <f>C241*0.74</f>
        <v>21.349</v>
      </c>
    </row>
    <row r="242" spans="1:7" x14ac:dyDescent="0.35">
      <c r="A242" s="5"/>
      <c r="B242" s="74" t="s">
        <v>325</v>
      </c>
      <c r="C242" s="139">
        <v>27.86</v>
      </c>
      <c r="D242" s="91">
        <v>0.38</v>
      </c>
      <c r="E242" s="95">
        <f>C242*0.62</f>
        <v>17.273199999999999</v>
      </c>
    </row>
    <row r="243" spans="1:7" x14ac:dyDescent="0.35">
      <c r="A243" s="5"/>
      <c r="B243" s="54" t="s">
        <v>258</v>
      </c>
      <c r="C243" s="139">
        <v>9.81</v>
      </c>
      <c r="D243" s="91">
        <v>0.23</v>
      </c>
      <c r="E243" s="95">
        <f>C243*0.77</f>
        <v>7.553700000000001</v>
      </c>
    </row>
    <row r="244" spans="1:7" x14ac:dyDescent="0.35">
      <c r="A244" s="5"/>
      <c r="B244" s="74" t="s">
        <v>326</v>
      </c>
      <c r="C244" s="139">
        <v>11.13</v>
      </c>
      <c r="D244" s="91">
        <v>0.28000000000000003</v>
      </c>
      <c r="E244" s="95">
        <f>C244*0.72</f>
        <v>8.0136000000000003</v>
      </c>
    </row>
    <row r="245" spans="1:7" x14ac:dyDescent="0.35">
      <c r="A245" s="5"/>
      <c r="B245" s="81" t="s">
        <v>327</v>
      </c>
      <c r="C245" s="139">
        <v>106.63</v>
      </c>
      <c r="D245" s="91">
        <v>0.03</v>
      </c>
      <c r="E245" s="95">
        <f>C245*0.97</f>
        <v>103.43109999999999</v>
      </c>
    </row>
    <row r="246" spans="1:7" x14ac:dyDescent="0.35">
      <c r="A246" s="5"/>
      <c r="B246" s="81" t="s">
        <v>328</v>
      </c>
      <c r="C246" s="139">
        <v>61.19</v>
      </c>
      <c r="D246" s="91">
        <v>0.45</v>
      </c>
      <c r="E246" s="95">
        <f>C246*0.55</f>
        <v>33.654499999999999</v>
      </c>
    </row>
    <row r="247" spans="1:7" x14ac:dyDescent="0.35">
      <c r="A247" s="44"/>
      <c r="B247" s="81" t="s">
        <v>259</v>
      </c>
      <c r="C247" s="139">
        <v>189.71</v>
      </c>
      <c r="D247" s="91">
        <v>0.61</v>
      </c>
      <c r="E247" s="95">
        <f>C247*0.39</f>
        <v>73.986900000000006</v>
      </c>
    </row>
    <row r="248" spans="1:7" x14ac:dyDescent="0.35">
      <c r="A248" s="44"/>
      <c r="B248" s="80" t="s">
        <v>329</v>
      </c>
      <c r="C248" s="139">
        <v>8.01</v>
      </c>
      <c r="D248" s="91">
        <v>0.39</v>
      </c>
      <c r="E248" s="95">
        <f>C248*0.61</f>
        <v>4.8860999999999999</v>
      </c>
    </row>
    <row r="249" spans="1:7" ht="15.5" x14ac:dyDescent="0.35">
      <c r="A249" s="5"/>
      <c r="B249" s="87" t="s">
        <v>175</v>
      </c>
      <c r="C249" s="141"/>
      <c r="D249" s="93"/>
      <c r="E249" s="90">
        <f>SUM(E227:E248)</f>
        <v>1876.0477000000001</v>
      </c>
    </row>
    <row r="250" spans="1:7" s="45" customFormat="1" x14ac:dyDescent="0.35">
      <c r="A250" s="23">
        <v>8</v>
      </c>
      <c r="B250" s="56" t="s">
        <v>41</v>
      </c>
      <c r="C250" s="137"/>
      <c r="D250" s="94"/>
      <c r="E250" s="97"/>
      <c r="G250" s="75"/>
    </row>
    <row r="251" spans="1:7" ht="15.5" x14ac:dyDescent="0.35">
      <c r="A251" s="5"/>
      <c r="B251" s="53" t="s">
        <v>110</v>
      </c>
      <c r="C251" s="138"/>
      <c r="D251" s="92"/>
      <c r="E251" s="96"/>
    </row>
    <row r="252" spans="1:7" x14ac:dyDescent="0.35">
      <c r="A252" s="5"/>
      <c r="B252" s="82" t="s">
        <v>330</v>
      </c>
      <c r="C252" s="139">
        <v>502</v>
      </c>
      <c r="D252" s="91">
        <v>0.2</v>
      </c>
      <c r="E252" s="95">
        <f>C252*0.8</f>
        <v>401.6</v>
      </c>
    </row>
    <row r="253" spans="1:7" ht="15.5" x14ac:dyDescent="0.35">
      <c r="A253" s="5"/>
      <c r="B253" s="53" t="s">
        <v>111</v>
      </c>
      <c r="C253" s="138"/>
      <c r="D253" s="92"/>
      <c r="E253" s="96"/>
    </row>
    <row r="254" spans="1:7" x14ac:dyDescent="0.35">
      <c r="A254" s="5"/>
      <c r="B254" s="81" t="s">
        <v>331</v>
      </c>
      <c r="C254" s="139">
        <v>761.8</v>
      </c>
      <c r="D254" s="91">
        <v>0.01</v>
      </c>
      <c r="E254" s="95">
        <f>C254*0.99</f>
        <v>754.1819999999999</v>
      </c>
    </row>
    <row r="255" spans="1:7" x14ac:dyDescent="0.35">
      <c r="A255" s="5"/>
      <c r="B255" s="116" t="s">
        <v>371</v>
      </c>
      <c r="C255" s="139">
        <v>616.32000000000005</v>
      </c>
      <c r="D255" s="91">
        <v>0.2</v>
      </c>
      <c r="E255" s="95">
        <f>C255*0.8</f>
        <v>493.05600000000004</v>
      </c>
    </row>
    <row r="256" spans="1:7" x14ac:dyDescent="0.35">
      <c r="A256" s="5"/>
      <c r="B256" s="81" t="s">
        <v>332</v>
      </c>
      <c r="C256" s="139">
        <v>763.39</v>
      </c>
      <c r="D256" s="91">
        <v>0.2</v>
      </c>
      <c r="E256" s="95">
        <f>C256*0.8</f>
        <v>610.71199999999999</v>
      </c>
    </row>
    <row r="257" spans="1:5" ht="15.5" x14ac:dyDescent="0.35">
      <c r="A257" s="5"/>
      <c r="B257" s="53" t="s">
        <v>112</v>
      </c>
      <c r="C257" s="138"/>
      <c r="D257" s="92"/>
      <c r="E257" s="96"/>
    </row>
    <row r="258" spans="1:5" x14ac:dyDescent="0.35">
      <c r="A258" s="5"/>
      <c r="B258" s="116" t="s">
        <v>370</v>
      </c>
      <c r="C258" s="139">
        <f>86.62/12</f>
        <v>7.2183333333333337</v>
      </c>
      <c r="D258" s="91">
        <v>0.56999999999999995</v>
      </c>
      <c r="E258" s="95">
        <f>C258*0.43</f>
        <v>3.1038833333333335</v>
      </c>
    </row>
    <row r="259" spans="1:5" ht="15.5" x14ac:dyDescent="0.35">
      <c r="A259" s="5"/>
      <c r="B259" s="53" t="s">
        <v>113</v>
      </c>
      <c r="C259" s="138"/>
      <c r="D259" s="92"/>
      <c r="E259" s="96"/>
    </row>
    <row r="260" spans="1:5" x14ac:dyDescent="0.35">
      <c r="A260" s="5"/>
      <c r="B260" s="82" t="s">
        <v>333</v>
      </c>
      <c r="C260" s="139">
        <v>559.34</v>
      </c>
      <c r="D260" s="91">
        <v>0.2</v>
      </c>
      <c r="E260" s="95">
        <f>C260*0.8</f>
        <v>447.47200000000004</v>
      </c>
    </row>
    <row r="261" spans="1:5" x14ac:dyDescent="0.35">
      <c r="A261" s="5"/>
      <c r="B261" s="81" t="s">
        <v>334</v>
      </c>
      <c r="C261" s="139">
        <v>502</v>
      </c>
      <c r="D261" s="91">
        <v>0.2</v>
      </c>
      <c r="E261" s="95">
        <f>C261*0.8</f>
        <v>401.6</v>
      </c>
    </row>
    <row r="262" spans="1:5" ht="15.5" x14ac:dyDescent="0.35">
      <c r="A262" s="5"/>
      <c r="B262" s="53" t="s">
        <v>114</v>
      </c>
      <c r="C262" s="138"/>
      <c r="D262" s="92"/>
      <c r="E262" s="96"/>
    </row>
    <row r="263" spans="1:5" x14ac:dyDescent="0.35">
      <c r="A263" s="5"/>
      <c r="B263" s="98" t="s">
        <v>335</v>
      </c>
      <c r="C263" s="139">
        <v>18.46</v>
      </c>
      <c r="D263" s="91">
        <v>0.51</v>
      </c>
      <c r="E263" s="95">
        <f>C263*0.49</f>
        <v>9.0454000000000008</v>
      </c>
    </row>
    <row r="264" spans="1:5" x14ac:dyDescent="0.35">
      <c r="A264" s="5"/>
      <c r="B264" s="77" t="s">
        <v>336</v>
      </c>
      <c r="C264" s="139">
        <v>79.989999999999995</v>
      </c>
      <c r="D264" s="91">
        <v>0.24</v>
      </c>
      <c r="E264" s="95">
        <f>C264*0.76</f>
        <v>60.792399999999994</v>
      </c>
    </row>
    <row r="265" spans="1:5" ht="15.5" x14ac:dyDescent="0.35">
      <c r="A265" s="5"/>
      <c r="B265" s="53" t="s">
        <v>115</v>
      </c>
      <c r="C265" s="138"/>
      <c r="D265" s="92"/>
      <c r="E265" s="96"/>
    </row>
    <row r="266" spans="1:5" x14ac:dyDescent="0.35">
      <c r="A266" s="5"/>
      <c r="B266" s="101" t="s">
        <v>337</v>
      </c>
      <c r="C266" s="139">
        <v>68.77</v>
      </c>
      <c r="D266" s="91">
        <v>0.57999999999999996</v>
      </c>
      <c r="E266" s="95">
        <f>C266*0.42</f>
        <v>28.883399999999998</v>
      </c>
    </row>
    <row r="267" spans="1:5" x14ac:dyDescent="0.35">
      <c r="A267" s="5"/>
      <c r="B267" s="101" t="s">
        <v>338</v>
      </c>
      <c r="C267" s="139">
        <v>53.15</v>
      </c>
      <c r="D267" s="91">
        <v>0.57999999999999996</v>
      </c>
      <c r="E267" s="95">
        <f>C267*0.42</f>
        <v>22.322999999999997</v>
      </c>
    </row>
    <row r="268" spans="1:5" x14ac:dyDescent="0.35">
      <c r="A268" s="5"/>
      <c r="B268" s="101" t="s">
        <v>339</v>
      </c>
      <c r="C268" s="139">
        <v>38.950000000000003</v>
      </c>
      <c r="D268" s="91">
        <v>0.57999999999999996</v>
      </c>
      <c r="E268" s="95">
        <f>C268*0.42</f>
        <v>16.359000000000002</v>
      </c>
    </row>
    <row r="269" spans="1:5" x14ac:dyDescent="0.35">
      <c r="A269" s="5"/>
      <c r="B269" s="101" t="s">
        <v>340</v>
      </c>
      <c r="C269" s="139">
        <v>92.56</v>
      </c>
      <c r="D269" s="91">
        <v>0.57999999999999996</v>
      </c>
      <c r="E269" s="95">
        <f>C269*0.42</f>
        <v>38.8752</v>
      </c>
    </row>
    <row r="270" spans="1:5" ht="15.5" x14ac:dyDescent="0.35">
      <c r="A270" s="5"/>
      <c r="B270" s="53" t="s">
        <v>116</v>
      </c>
      <c r="C270" s="138"/>
      <c r="D270" s="92"/>
      <c r="E270" s="96"/>
    </row>
    <row r="271" spans="1:5" x14ac:dyDescent="0.35">
      <c r="A271" s="5"/>
      <c r="B271" s="81" t="s">
        <v>341</v>
      </c>
      <c r="C271" s="139">
        <v>664.26</v>
      </c>
      <c r="D271" s="91">
        <v>0.05</v>
      </c>
      <c r="E271" s="95">
        <f>C271*0.95</f>
        <v>631.04699999999991</v>
      </c>
    </row>
    <row r="272" spans="1:5" ht="15.5" x14ac:dyDescent="0.35">
      <c r="A272" s="5"/>
      <c r="B272" s="53" t="s">
        <v>117</v>
      </c>
      <c r="C272" s="138"/>
      <c r="D272" s="92"/>
      <c r="E272" s="96"/>
    </row>
    <row r="273" spans="1:7" x14ac:dyDescent="0.35">
      <c r="A273" s="5"/>
      <c r="B273" s="81" t="s">
        <v>342</v>
      </c>
      <c r="C273" s="139">
        <f>8.61*36</f>
        <v>309.95999999999998</v>
      </c>
      <c r="D273" s="91">
        <v>0.46</v>
      </c>
      <c r="E273" s="95">
        <f>C273*0.54</f>
        <v>167.3784</v>
      </c>
    </row>
    <row r="274" spans="1:7" ht="15.5" x14ac:dyDescent="0.35">
      <c r="A274" s="5"/>
      <c r="B274" s="125" t="s">
        <v>118</v>
      </c>
      <c r="C274" s="144"/>
      <c r="D274" s="118"/>
      <c r="E274" s="119"/>
    </row>
    <row r="275" spans="1:7" x14ac:dyDescent="0.35">
      <c r="A275" s="5"/>
      <c r="B275" s="126" t="s">
        <v>343</v>
      </c>
      <c r="C275" s="144"/>
      <c r="D275" s="118"/>
      <c r="E275" s="119"/>
    </row>
    <row r="276" spans="1:7" ht="15.5" x14ac:dyDescent="0.35">
      <c r="A276" s="5"/>
      <c r="B276" s="125" t="s">
        <v>119</v>
      </c>
      <c r="C276" s="140"/>
      <c r="D276" s="120"/>
      <c r="E276" s="121"/>
    </row>
    <row r="277" spans="1:7" x14ac:dyDescent="0.35">
      <c r="A277" s="5"/>
      <c r="B277" s="126" t="s">
        <v>344</v>
      </c>
      <c r="C277" s="144"/>
      <c r="D277" s="118"/>
      <c r="E277" s="119"/>
    </row>
    <row r="278" spans="1:7" s="43" customFormat="1" ht="15.5" x14ac:dyDescent="0.35">
      <c r="A278" s="42"/>
      <c r="B278" s="53" t="s">
        <v>120</v>
      </c>
      <c r="C278" s="145"/>
      <c r="D278" s="99"/>
      <c r="E278" s="100"/>
    </row>
    <row r="279" spans="1:7" x14ac:dyDescent="0.35">
      <c r="A279" s="5"/>
      <c r="B279" s="81" t="s">
        <v>345</v>
      </c>
      <c r="C279" s="139">
        <f>37.77*12</f>
        <v>453.24</v>
      </c>
      <c r="D279" s="91">
        <v>0.62</v>
      </c>
      <c r="E279" s="95">
        <f>C279*0.38</f>
        <v>172.2312</v>
      </c>
    </row>
    <row r="280" spans="1:7" ht="15.5" x14ac:dyDescent="0.35">
      <c r="A280" s="5"/>
      <c r="B280" s="53" t="s">
        <v>63</v>
      </c>
      <c r="C280" s="138"/>
      <c r="D280" s="92"/>
      <c r="E280" s="96"/>
    </row>
    <row r="281" spans="1:7" x14ac:dyDescent="0.35">
      <c r="A281" s="5"/>
      <c r="B281" s="81" t="s">
        <v>346</v>
      </c>
      <c r="C281" s="139">
        <f>93.98/6</f>
        <v>15.663333333333334</v>
      </c>
      <c r="D281" s="91">
        <v>0.32</v>
      </c>
      <c r="E281" s="95">
        <f>C281*0.68</f>
        <v>10.651066666666669</v>
      </c>
    </row>
    <row r="282" spans="1:7" x14ac:dyDescent="0.35">
      <c r="A282" s="5"/>
      <c r="B282" s="81" t="s">
        <v>347</v>
      </c>
      <c r="C282" s="139">
        <f>481.42/4</f>
        <v>120.355</v>
      </c>
      <c r="D282" s="91">
        <v>0.01</v>
      </c>
      <c r="E282" s="95">
        <f>C282*0.99</f>
        <v>119.15145</v>
      </c>
    </row>
    <row r="283" spans="1:7" x14ac:dyDescent="0.35">
      <c r="A283" s="44"/>
      <c r="B283" s="81" t="s">
        <v>348</v>
      </c>
      <c r="C283" s="139">
        <v>31.3</v>
      </c>
      <c r="D283" s="91">
        <v>0.01</v>
      </c>
      <c r="E283" s="95">
        <f>C283*0.99</f>
        <v>30.987000000000002</v>
      </c>
    </row>
    <row r="284" spans="1:7" ht="15.5" x14ac:dyDescent="0.35">
      <c r="A284" s="5"/>
      <c r="B284" s="87" t="s">
        <v>176</v>
      </c>
      <c r="C284" s="141"/>
      <c r="D284" s="93"/>
      <c r="E284" s="90">
        <f>SUM(E251:E283)</f>
        <v>4419.4503999999997</v>
      </c>
    </row>
    <row r="285" spans="1:7" x14ac:dyDescent="0.35">
      <c r="A285" s="23">
        <v>9</v>
      </c>
      <c r="B285" s="56" t="s">
        <v>42</v>
      </c>
      <c r="C285" s="137"/>
      <c r="D285" s="94"/>
      <c r="E285" s="97"/>
      <c r="G285" s="17"/>
    </row>
    <row r="286" spans="1:7" ht="15.5" x14ac:dyDescent="0.35">
      <c r="A286" s="5"/>
      <c r="B286" s="53" t="s">
        <v>121</v>
      </c>
      <c r="C286" s="138"/>
      <c r="D286" s="92"/>
      <c r="E286" s="96"/>
    </row>
    <row r="287" spans="1:7" x14ac:dyDescent="0.35">
      <c r="A287" s="5"/>
      <c r="B287" s="74" t="s">
        <v>349</v>
      </c>
      <c r="C287" s="139">
        <v>32.14</v>
      </c>
      <c r="D287" s="91">
        <v>0.24</v>
      </c>
      <c r="E287" s="95">
        <f>C287*0.76</f>
        <v>24.426400000000001</v>
      </c>
    </row>
    <row r="288" spans="1:7" x14ac:dyDescent="0.35">
      <c r="A288" s="5"/>
      <c r="B288" s="74" t="s">
        <v>350</v>
      </c>
      <c r="C288" s="139">
        <v>9.1999999999999993</v>
      </c>
      <c r="D288" s="91">
        <v>0.26</v>
      </c>
      <c r="E288" s="95">
        <f>C288*0.53</f>
        <v>4.8759999999999994</v>
      </c>
    </row>
    <row r="289" spans="1:5" x14ac:dyDescent="0.35">
      <c r="A289" s="5"/>
      <c r="B289" s="74" t="s">
        <v>351</v>
      </c>
      <c r="C289" s="139">
        <v>12.84</v>
      </c>
      <c r="D289" s="91">
        <v>0.47</v>
      </c>
      <c r="E289" s="95">
        <f>C289*0.53</f>
        <v>6.8052000000000001</v>
      </c>
    </row>
    <row r="290" spans="1:5" x14ac:dyDescent="0.35">
      <c r="A290" s="5"/>
      <c r="B290" s="74" t="s">
        <v>352</v>
      </c>
      <c r="C290" s="139">
        <v>8.8800000000000008</v>
      </c>
      <c r="D290" s="91">
        <v>0.4</v>
      </c>
      <c r="E290" s="95">
        <f>C290*0.6</f>
        <v>5.3280000000000003</v>
      </c>
    </row>
    <row r="291" spans="1:5" x14ac:dyDescent="0.35">
      <c r="A291" s="5"/>
      <c r="B291" s="54" t="s">
        <v>260</v>
      </c>
      <c r="C291" s="139">
        <v>63.56</v>
      </c>
      <c r="D291" s="91">
        <v>0.64</v>
      </c>
      <c r="E291" s="95">
        <f>C291*0.36</f>
        <v>22.881599999999999</v>
      </c>
    </row>
    <row r="292" spans="1:5" x14ac:dyDescent="0.35">
      <c r="A292" s="5"/>
      <c r="B292" s="74" t="s">
        <v>353</v>
      </c>
      <c r="C292" s="139">
        <v>62.67</v>
      </c>
      <c r="D292" s="91">
        <v>0.43</v>
      </c>
      <c r="E292" s="95">
        <f>C292*0.57</f>
        <v>35.721899999999998</v>
      </c>
    </row>
    <row r="293" spans="1:5" ht="15.5" x14ac:dyDescent="0.35">
      <c r="A293" s="5"/>
      <c r="B293" s="53" t="s">
        <v>122</v>
      </c>
      <c r="C293" s="138"/>
      <c r="D293" s="92"/>
      <c r="E293" s="96"/>
    </row>
    <row r="294" spans="1:5" x14ac:dyDescent="0.35">
      <c r="A294" s="5"/>
      <c r="B294" s="74" t="s">
        <v>354</v>
      </c>
      <c r="C294" s="139">
        <v>23.92</v>
      </c>
      <c r="D294" s="91">
        <v>0.56999999999999995</v>
      </c>
      <c r="E294" s="95">
        <f>C294*0.43</f>
        <v>10.285600000000001</v>
      </c>
    </row>
    <row r="295" spans="1:5" x14ac:dyDescent="0.35">
      <c r="A295" s="5"/>
      <c r="B295" s="74" t="s">
        <v>355</v>
      </c>
      <c r="C295" s="139">
        <v>27.16</v>
      </c>
      <c r="D295" s="91">
        <v>0.55000000000000004</v>
      </c>
      <c r="E295" s="95">
        <f>C295*0.45</f>
        <v>12.222</v>
      </c>
    </row>
    <row r="296" spans="1:5" x14ac:dyDescent="0.35">
      <c r="A296" s="5"/>
      <c r="B296" s="74" t="s">
        <v>356</v>
      </c>
      <c r="C296" s="139">
        <v>26.12</v>
      </c>
      <c r="D296" s="91">
        <v>0.61</v>
      </c>
      <c r="E296" s="95">
        <f>C296*0.39</f>
        <v>10.1868</v>
      </c>
    </row>
    <row r="297" spans="1:5" x14ac:dyDescent="0.35">
      <c r="A297" s="5"/>
      <c r="B297" s="74" t="s">
        <v>357</v>
      </c>
      <c r="C297" s="139">
        <v>14.94</v>
      </c>
      <c r="D297" s="91">
        <v>0.3</v>
      </c>
      <c r="E297" s="95">
        <f>C297*0.7</f>
        <v>10.457999999999998</v>
      </c>
    </row>
    <row r="298" spans="1:5" x14ac:dyDescent="0.35">
      <c r="A298" s="5"/>
      <c r="B298" s="74" t="s">
        <v>358</v>
      </c>
      <c r="C298" s="139">
        <v>12.07</v>
      </c>
      <c r="D298" s="91">
        <v>0.4</v>
      </c>
      <c r="E298" s="95">
        <f>C298*0.6</f>
        <v>7.242</v>
      </c>
    </row>
    <row r="299" spans="1:5" x14ac:dyDescent="0.35">
      <c r="A299" s="5"/>
      <c r="B299" s="74" t="s">
        <v>359</v>
      </c>
      <c r="C299" s="139">
        <v>39.99</v>
      </c>
      <c r="D299" s="91">
        <v>0.44</v>
      </c>
      <c r="E299" s="95">
        <f>C299*0.56</f>
        <v>22.394400000000005</v>
      </c>
    </row>
    <row r="300" spans="1:5" ht="15.5" x14ac:dyDescent="0.35">
      <c r="A300" s="5"/>
      <c r="B300" s="53" t="s">
        <v>114</v>
      </c>
      <c r="C300" s="138"/>
      <c r="D300" s="92"/>
      <c r="E300" s="96"/>
    </row>
    <row r="301" spans="1:5" x14ac:dyDescent="0.35">
      <c r="A301" s="5"/>
      <c r="B301" s="101" t="s">
        <v>336</v>
      </c>
      <c r="C301" s="139">
        <v>79.989999999999995</v>
      </c>
      <c r="D301" s="91">
        <v>0.24</v>
      </c>
      <c r="E301" s="95">
        <f>C301*0.76</f>
        <v>60.792399999999994</v>
      </c>
    </row>
    <row r="302" spans="1:5" x14ac:dyDescent="0.35">
      <c r="A302" s="5"/>
      <c r="B302" s="54" t="s">
        <v>123</v>
      </c>
      <c r="C302" s="139">
        <v>89.99</v>
      </c>
      <c r="D302" s="91">
        <v>0.24</v>
      </c>
      <c r="E302" s="95">
        <f>C302*0.76</f>
        <v>68.392399999999995</v>
      </c>
    </row>
    <row r="303" spans="1:5" x14ac:dyDescent="0.35">
      <c r="A303" s="5"/>
      <c r="B303" s="54" t="s">
        <v>124</v>
      </c>
      <c r="C303" s="139">
        <v>123.99</v>
      </c>
      <c r="D303" s="91">
        <v>0.24</v>
      </c>
      <c r="E303" s="95">
        <f>C303*0.76</f>
        <v>94.232399999999998</v>
      </c>
    </row>
    <row r="304" spans="1:5" ht="15.5" x14ac:dyDescent="0.35">
      <c r="A304" s="5"/>
      <c r="B304" s="67" t="s">
        <v>125</v>
      </c>
      <c r="C304" s="138"/>
      <c r="D304" s="92"/>
      <c r="E304" s="96"/>
    </row>
    <row r="305" spans="1:5" x14ac:dyDescent="0.35">
      <c r="A305" s="5"/>
      <c r="B305" s="74" t="s">
        <v>360</v>
      </c>
      <c r="C305" s="139">
        <v>14.6</v>
      </c>
      <c r="D305" s="91">
        <v>0.59</v>
      </c>
      <c r="E305" s="95">
        <f>C305*0.41</f>
        <v>5.9859999999999998</v>
      </c>
    </row>
    <row r="306" spans="1:5" ht="15.75" customHeight="1" x14ac:dyDescent="0.35">
      <c r="A306" s="5"/>
      <c r="B306" s="109" t="s">
        <v>361</v>
      </c>
      <c r="C306" s="139">
        <v>47.82</v>
      </c>
      <c r="D306" s="91">
        <v>0.77</v>
      </c>
      <c r="E306" s="95">
        <f>C306*0.23</f>
        <v>10.9986</v>
      </c>
    </row>
    <row r="307" spans="1:5" x14ac:dyDescent="0.35">
      <c r="A307" s="5"/>
      <c r="B307" s="74" t="s">
        <v>362</v>
      </c>
      <c r="C307" s="139">
        <v>46.33</v>
      </c>
      <c r="D307" s="91">
        <v>0.56000000000000005</v>
      </c>
      <c r="E307" s="95">
        <f>C307*0.44</f>
        <v>20.385200000000001</v>
      </c>
    </row>
    <row r="308" spans="1:5" x14ac:dyDescent="0.35">
      <c r="A308" s="5"/>
      <c r="B308" s="74" t="s">
        <v>166</v>
      </c>
      <c r="C308" s="139">
        <f>52.19/24</f>
        <v>2.1745833333333331</v>
      </c>
      <c r="D308" s="91">
        <v>0.01</v>
      </c>
      <c r="E308" s="95">
        <f>C308*0.99</f>
        <v>2.1528375</v>
      </c>
    </row>
    <row r="309" spans="1:5" x14ac:dyDescent="0.35">
      <c r="A309" s="5"/>
      <c r="B309" s="74" t="s">
        <v>363</v>
      </c>
      <c r="C309" s="139">
        <v>44.6</v>
      </c>
      <c r="D309" s="91">
        <v>0.6</v>
      </c>
      <c r="E309" s="95">
        <f>C309*0.4</f>
        <v>17.84</v>
      </c>
    </row>
    <row r="310" spans="1:5" x14ac:dyDescent="0.35">
      <c r="A310" s="44"/>
      <c r="B310" s="74" t="s">
        <v>364</v>
      </c>
      <c r="C310" s="139">
        <v>15.29</v>
      </c>
      <c r="D310" s="91">
        <v>0.2</v>
      </c>
      <c r="E310" s="95">
        <f>C310*0.8</f>
        <v>12.231999999999999</v>
      </c>
    </row>
    <row r="311" spans="1:5" ht="15.5" x14ac:dyDescent="0.35">
      <c r="A311" s="5"/>
      <c r="B311" s="87" t="s">
        <v>177</v>
      </c>
      <c r="C311" s="141"/>
      <c r="D311" s="93"/>
      <c r="E311" s="90">
        <f>SUM(E286:E310)</f>
        <v>465.83973749999996</v>
      </c>
    </row>
    <row r="313" spans="1:5" x14ac:dyDescent="0.35">
      <c r="A313" s="217" t="s">
        <v>377</v>
      </c>
      <c r="B313" s="217"/>
      <c r="C313" s="217"/>
      <c r="D313" s="217"/>
      <c r="E313" s="217"/>
    </row>
  </sheetData>
  <mergeCells count="1">
    <mergeCell ref="A313:E31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D6BF9-653B-4C38-92AC-97E1AD34CF0A}">
  <sheetPr>
    <tabColor theme="4" tint="0.59999389629810485"/>
    <pageSetUpPr fitToPage="1"/>
  </sheetPr>
  <dimension ref="A1:F168"/>
  <sheetViews>
    <sheetView tabSelected="1" topLeftCell="A11" zoomScaleNormal="100" workbookViewId="0">
      <selection activeCell="B170" sqref="B170"/>
    </sheetView>
  </sheetViews>
  <sheetFormatPr defaultRowHeight="14.5" x14ac:dyDescent="0.35"/>
  <cols>
    <col min="1" max="1" width="13.453125" customWidth="1"/>
    <col min="2" max="2" width="37.1796875" customWidth="1"/>
    <col min="3" max="3" width="33.26953125" customWidth="1"/>
    <col min="4" max="4" width="13.26953125" customWidth="1"/>
    <col min="5" max="5" width="10.7265625" style="159" customWidth="1"/>
    <col min="6" max="6" width="27.1796875" customWidth="1"/>
  </cols>
  <sheetData>
    <row r="1" spans="1:6" x14ac:dyDescent="0.35">
      <c r="A1" s="163" t="s">
        <v>366</v>
      </c>
      <c r="B1" s="163"/>
      <c r="C1" s="163"/>
      <c r="D1" s="163"/>
      <c r="E1" s="163"/>
      <c r="F1" s="163"/>
    </row>
    <row r="2" spans="1:6" x14ac:dyDescent="0.35">
      <c r="A2" s="164" t="s">
        <v>178</v>
      </c>
      <c r="B2" s="164"/>
      <c r="C2" s="164"/>
      <c r="D2" s="164"/>
      <c r="E2" s="164"/>
      <c r="F2" s="164"/>
    </row>
    <row r="3" spans="1:6" x14ac:dyDescent="0.35">
      <c r="A3" s="164" t="s">
        <v>126</v>
      </c>
      <c r="B3" s="164"/>
      <c r="C3" s="164"/>
      <c r="D3" s="164"/>
      <c r="E3" s="164"/>
      <c r="F3" s="164"/>
    </row>
    <row r="4" spans="1:6" x14ac:dyDescent="0.35">
      <c r="A4" s="164" t="s">
        <v>21</v>
      </c>
      <c r="B4" s="164"/>
      <c r="C4" s="164"/>
      <c r="D4" s="164"/>
      <c r="E4" s="164"/>
      <c r="F4" s="164"/>
    </row>
    <row r="5" spans="1:6" x14ac:dyDescent="0.35">
      <c r="A5" s="165" t="s">
        <v>127</v>
      </c>
      <c r="B5" s="166"/>
      <c r="C5" s="166"/>
      <c r="D5" s="166"/>
      <c r="E5" s="166"/>
      <c r="F5" s="167"/>
    </row>
    <row r="6" spans="1:6" x14ac:dyDescent="0.35">
      <c r="A6" s="168" t="s">
        <v>128</v>
      </c>
      <c r="B6" s="169"/>
      <c r="C6" s="169"/>
      <c r="D6" s="169"/>
      <c r="E6" s="169"/>
      <c r="F6" s="170"/>
    </row>
    <row r="7" spans="1:6" x14ac:dyDescent="0.35">
      <c r="A7" s="171" t="s">
        <v>129</v>
      </c>
      <c r="B7" s="172"/>
      <c r="C7" s="172"/>
      <c r="D7" s="172"/>
      <c r="E7" s="172"/>
      <c r="F7" s="173"/>
    </row>
    <row r="8" spans="1:6" x14ac:dyDescent="0.35">
      <c r="A8" s="168" t="s">
        <v>130</v>
      </c>
      <c r="B8" s="169"/>
      <c r="C8" s="169"/>
      <c r="D8" s="169"/>
      <c r="E8" s="169"/>
      <c r="F8" s="170"/>
    </row>
    <row r="9" spans="1:6" x14ac:dyDescent="0.35">
      <c r="A9" s="175" t="s">
        <v>131</v>
      </c>
      <c r="B9" s="174"/>
      <c r="C9" s="174"/>
      <c r="D9" s="174"/>
      <c r="E9" s="174"/>
      <c r="F9" s="176"/>
    </row>
    <row r="10" spans="1:6" x14ac:dyDescent="0.35">
      <c r="A10" s="171" t="s">
        <v>132</v>
      </c>
      <c r="B10" s="172"/>
      <c r="C10" s="172"/>
      <c r="D10" s="172"/>
      <c r="E10" s="172"/>
      <c r="F10" s="173"/>
    </row>
    <row r="11" spans="1:6" x14ac:dyDescent="0.35">
      <c r="A11" s="168" t="s">
        <v>133</v>
      </c>
      <c r="B11" s="169"/>
      <c r="C11" s="169"/>
      <c r="D11" s="169"/>
      <c r="E11" s="169"/>
      <c r="F11" s="170"/>
    </row>
    <row r="12" spans="1:6" x14ac:dyDescent="0.35">
      <c r="A12" s="171" t="s">
        <v>134</v>
      </c>
      <c r="B12" s="172"/>
      <c r="C12" s="172"/>
      <c r="D12" s="172"/>
      <c r="E12" s="172"/>
      <c r="F12" s="173"/>
    </row>
    <row r="13" spans="1:6" x14ac:dyDescent="0.35">
      <c r="A13" s="174"/>
      <c r="B13" s="174"/>
      <c r="C13" s="174"/>
      <c r="D13" s="174"/>
      <c r="E13" s="174"/>
      <c r="F13" s="174"/>
    </row>
    <row r="14" spans="1:6" ht="32.5" x14ac:dyDescent="0.35">
      <c r="A14" s="162" t="s">
        <v>135</v>
      </c>
      <c r="E14" s="156" t="s">
        <v>136</v>
      </c>
    </row>
    <row r="15" spans="1:6" x14ac:dyDescent="0.35">
      <c r="A15" s="225">
        <v>1</v>
      </c>
      <c r="B15" s="226" t="s">
        <v>137</v>
      </c>
      <c r="C15" s="38" t="s">
        <v>138</v>
      </c>
      <c r="E15" s="157">
        <v>0.28000000000000003</v>
      </c>
    </row>
    <row r="16" spans="1:6" ht="24" hidden="1" x14ac:dyDescent="0.35">
      <c r="A16" s="227"/>
      <c r="B16" s="228" t="s">
        <v>139</v>
      </c>
      <c r="C16" s="34" t="s">
        <v>140</v>
      </c>
      <c r="D16" s="35" t="s">
        <v>52</v>
      </c>
      <c r="E16" s="147" t="s">
        <v>53</v>
      </c>
      <c r="F16" s="36" t="s">
        <v>54</v>
      </c>
    </row>
    <row r="17" spans="1:6" hidden="1" x14ac:dyDescent="0.35">
      <c r="A17" s="227"/>
      <c r="B17" s="229"/>
      <c r="C17" s="25"/>
      <c r="D17" s="28"/>
      <c r="E17" s="148"/>
      <c r="F17" s="29"/>
    </row>
    <row r="18" spans="1:6" hidden="1" x14ac:dyDescent="0.35">
      <c r="A18" s="227"/>
      <c r="B18" s="229"/>
      <c r="C18" s="25"/>
      <c r="D18" s="25"/>
      <c r="E18" s="148"/>
      <c r="F18" s="25"/>
    </row>
    <row r="19" spans="1:6" hidden="1" x14ac:dyDescent="0.35">
      <c r="A19" s="227"/>
      <c r="B19" s="229"/>
      <c r="C19" s="25"/>
      <c r="D19" s="25"/>
      <c r="E19" s="148"/>
      <c r="F19" s="25"/>
    </row>
    <row r="20" spans="1:6" hidden="1" x14ac:dyDescent="0.35">
      <c r="A20" s="227"/>
      <c r="B20" s="229"/>
      <c r="C20" s="25"/>
      <c r="D20" s="25"/>
      <c r="E20" s="148"/>
      <c r="F20" s="25"/>
    </row>
    <row r="21" spans="1:6" hidden="1" x14ac:dyDescent="0.35">
      <c r="A21" s="227"/>
      <c r="B21" s="229"/>
      <c r="C21" s="25"/>
      <c r="D21" s="25"/>
      <c r="E21" s="148"/>
      <c r="F21" s="25"/>
    </row>
    <row r="22" spans="1:6" hidden="1" x14ac:dyDescent="0.35">
      <c r="A22" s="227"/>
      <c r="B22" s="229"/>
      <c r="C22" s="25"/>
      <c r="D22" s="31"/>
      <c r="E22" s="148"/>
      <c r="F22" s="25"/>
    </row>
    <row r="23" spans="1:6" hidden="1" x14ac:dyDescent="0.35">
      <c r="A23" s="227"/>
      <c r="B23" s="229"/>
      <c r="C23" s="25"/>
      <c r="D23" s="25"/>
      <c r="E23" s="148"/>
      <c r="F23" s="25"/>
    </row>
    <row r="24" spans="1:6" hidden="1" x14ac:dyDescent="0.35">
      <c r="A24" s="227"/>
      <c r="B24" s="229"/>
      <c r="C24" s="25"/>
      <c r="D24" s="25"/>
      <c r="E24" s="148"/>
      <c r="F24" s="25"/>
    </row>
    <row r="25" spans="1:6" hidden="1" x14ac:dyDescent="0.35">
      <c r="A25" s="227"/>
      <c r="B25" s="229"/>
      <c r="C25" s="25"/>
      <c r="D25" s="25"/>
      <c r="E25" s="148"/>
      <c r="F25" s="25"/>
    </row>
    <row r="26" spans="1:6" hidden="1" x14ac:dyDescent="0.35">
      <c r="A26" s="227"/>
      <c r="B26" s="229"/>
      <c r="C26" s="25"/>
      <c r="D26" s="25"/>
      <c r="E26" s="148"/>
      <c r="F26" s="25"/>
    </row>
    <row r="27" spans="1:6" hidden="1" x14ac:dyDescent="0.35">
      <c r="A27" s="227"/>
      <c r="B27" s="229"/>
      <c r="C27" s="25"/>
      <c r="D27" s="25"/>
      <c r="E27" s="148"/>
      <c r="F27" s="25"/>
    </row>
    <row r="28" spans="1:6" hidden="1" x14ac:dyDescent="0.35">
      <c r="A28" s="227"/>
      <c r="B28" s="229"/>
      <c r="C28" s="25"/>
      <c r="D28" s="25"/>
      <c r="E28" s="148"/>
      <c r="F28" s="25"/>
    </row>
    <row r="29" spans="1:6" hidden="1" x14ac:dyDescent="0.35">
      <c r="A29" s="227"/>
      <c r="B29" s="229"/>
      <c r="C29" s="25"/>
      <c r="D29" s="25"/>
      <c r="E29" s="148"/>
      <c r="F29" s="25"/>
    </row>
    <row r="30" spans="1:6" hidden="1" x14ac:dyDescent="0.35">
      <c r="A30" s="227"/>
      <c r="B30" s="230" t="s">
        <v>141</v>
      </c>
      <c r="C30" s="25"/>
      <c r="D30" s="25"/>
      <c r="E30" s="148"/>
      <c r="F30" s="25"/>
    </row>
    <row r="31" spans="1:6" ht="32.5" hidden="1" x14ac:dyDescent="0.35">
      <c r="A31" s="227"/>
      <c r="B31" s="227"/>
      <c r="E31" s="156" t="s">
        <v>136</v>
      </c>
    </row>
    <row r="32" spans="1:6" x14ac:dyDescent="0.35">
      <c r="A32" s="225">
        <v>2</v>
      </c>
      <c r="B32" s="226" t="s">
        <v>65</v>
      </c>
      <c r="C32" s="38" t="s">
        <v>138</v>
      </c>
      <c r="E32" s="157">
        <v>0.28000000000000003</v>
      </c>
    </row>
    <row r="33" spans="1:6" ht="24" hidden="1" x14ac:dyDescent="0.35">
      <c r="A33" s="227"/>
      <c r="B33" s="228" t="s">
        <v>139</v>
      </c>
      <c r="C33" s="34" t="s">
        <v>140</v>
      </c>
      <c r="D33" s="35" t="s">
        <v>52</v>
      </c>
      <c r="E33" s="147" t="s">
        <v>53</v>
      </c>
      <c r="F33" s="36" t="s">
        <v>54</v>
      </c>
    </row>
    <row r="34" spans="1:6" hidden="1" x14ac:dyDescent="0.35">
      <c r="A34" s="227"/>
      <c r="B34" s="229"/>
      <c r="C34" s="25"/>
      <c r="D34" s="28"/>
      <c r="E34" s="148"/>
      <c r="F34" s="29"/>
    </row>
    <row r="35" spans="1:6" hidden="1" x14ac:dyDescent="0.35">
      <c r="A35" s="227"/>
      <c r="B35" s="229"/>
      <c r="C35" s="25"/>
      <c r="D35" s="25"/>
      <c r="E35" s="148"/>
      <c r="F35" s="25"/>
    </row>
    <row r="36" spans="1:6" hidden="1" x14ac:dyDescent="0.35">
      <c r="A36" s="227"/>
      <c r="B36" s="229"/>
      <c r="C36" s="25"/>
      <c r="D36" s="25"/>
      <c r="E36" s="148"/>
      <c r="F36" s="25"/>
    </row>
    <row r="37" spans="1:6" hidden="1" x14ac:dyDescent="0.35">
      <c r="A37" s="227"/>
      <c r="B37" s="229"/>
      <c r="C37" s="25"/>
      <c r="D37" s="25"/>
      <c r="E37" s="148"/>
      <c r="F37" s="25"/>
    </row>
    <row r="38" spans="1:6" hidden="1" x14ac:dyDescent="0.35">
      <c r="A38" s="227"/>
      <c r="B38" s="229"/>
      <c r="C38" s="25"/>
      <c r="D38" s="25"/>
      <c r="E38" s="148"/>
      <c r="F38" s="25"/>
    </row>
    <row r="39" spans="1:6" hidden="1" x14ac:dyDescent="0.35">
      <c r="A39" s="227"/>
      <c r="B39" s="229"/>
      <c r="C39" s="25"/>
      <c r="D39" s="31"/>
      <c r="E39" s="148"/>
      <c r="F39" s="25"/>
    </row>
    <row r="40" spans="1:6" hidden="1" x14ac:dyDescent="0.35">
      <c r="A40" s="227"/>
      <c r="B40" s="229"/>
      <c r="C40" s="25"/>
      <c r="D40" s="25"/>
      <c r="E40" s="148"/>
      <c r="F40" s="25"/>
    </row>
    <row r="41" spans="1:6" hidden="1" x14ac:dyDescent="0.35">
      <c r="A41" s="227"/>
      <c r="B41" s="229"/>
      <c r="C41" s="25"/>
      <c r="D41" s="25"/>
      <c r="E41" s="148"/>
      <c r="F41" s="25"/>
    </row>
    <row r="42" spans="1:6" hidden="1" x14ac:dyDescent="0.35">
      <c r="A42" s="227"/>
      <c r="B42" s="229"/>
      <c r="C42" s="25"/>
      <c r="D42" s="25"/>
      <c r="E42" s="148"/>
      <c r="F42" s="25"/>
    </row>
    <row r="43" spans="1:6" hidden="1" x14ac:dyDescent="0.35">
      <c r="A43" s="227"/>
      <c r="B43" s="229"/>
      <c r="C43" s="25"/>
      <c r="D43" s="25"/>
      <c r="E43" s="148"/>
      <c r="F43" s="25"/>
    </row>
    <row r="44" spans="1:6" hidden="1" x14ac:dyDescent="0.35">
      <c r="A44" s="227"/>
      <c r="B44" s="229"/>
      <c r="C44" s="25"/>
      <c r="D44" s="25"/>
      <c r="E44" s="148"/>
      <c r="F44" s="25"/>
    </row>
    <row r="45" spans="1:6" hidden="1" x14ac:dyDescent="0.35">
      <c r="A45" s="227"/>
      <c r="B45" s="229"/>
      <c r="C45" s="25"/>
      <c r="D45" s="25"/>
      <c r="E45" s="148"/>
      <c r="F45" s="25"/>
    </row>
    <row r="46" spans="1:6" hidden="1" x14ac:dyDescent="0.35">
      <c r="A46" s="227"/>
      <c r="B46" s="229"/>
      <c r="C46" s="25"/>
      <c r="D46" s="25"/>
      <c r="E46" s="148"/>
      <c r="F46" s="25"/>
    </row>
    <row r="47" spans="1:6" hidden="1" x14ac:dyDescent="0.35">
      <c r="A47" s="227"/>
      <c r="B47" s="230" t="s">
        <v>141</v>
      </c>
      <c r="C47" s="25"/>
      <c r="D47" s="25"/>
      <c r="E47" s="148"/>
      <c r="F47" s="25"/>
    </row>
    <row r="48" spans="1:6" ht="32.5" hidden="1" x14ac:dyDescent="0.35">
      <c r="A48" s="227"/>
      <c r="B48" s="227"/>
      <c r="E48" s="156" t="s">
        <v>136</v>
      </c>
    </row>
    <row r="49" spans="1:6" x14ac:dyDescent="0.35">
      <c r="A49" s="225">
        <v>3</v>
      </c>
      <c r="B49" s="226" t="s">
        <v>72</v>
      </c>
      <c r="C49" s="38" t="s">
        <v>138</v>
      </c>
      <c r="E49" s="157">
        <v>0.15</v>
      </c>
    </row>
    <row r="50" spans="1:6" ht="24" hidden="1" x14ac:dyDescent="0.35">
      <c r="A50" s="227"/>
      <c r="B50" s="228" t="s">
        <v>139</v>
      </c>
      <c r="C50" s="34" t="s">
        <v>140</v>
      </c>
      <c r="D50" s="35" t="s">
        <v>52</v>
      </c>
      <c r="E50" s="147" t="s">
        <v>53</v>
      </c>
      <c r="F50" s="36" t="s">
        <v>54</v>
      </c>
    </row>
    <row r="51" spans="1:6" hidden="1" x14ac:dyDescent="0.35">
      <c r="A51" s="227"/>
      <c r="B51" s="229"/>
      <c r="C51" s="25"/>
      <c r="D51" s="28"/>
      <c r="E51" s="148"/>
      <c r="F51" s="29"/>
    </row>
    <row r="52" spans="1:6" hidden="1" x14ac:dyDescent="0.35">
      <c r="A52" s="227"/>
      <c r="B52" s="229"/>
      <c r="C52" s="25"/>
      <c r="D52" s="25"/>
      <c r="E52" s="148"/>
      <c r="F52" s="25"/>
    </row>
    <row r="53" spans="1:6" hidden="1" x14ac:dyDescent="0.35">
      <c r="A53" s="227"/>
      <c r="B53" s="229"/>
      <c r="C53" s="25"/>
      <c r="D53" s="25"/>
      <c r="E53" s="148"/>
      <c r="F53" s="25"/>
    </row>
    <row r="54" spans="1:6" hidden="1" x14ac:dyDescent="0.35">
      <c r="A54" s="227"/>
      <c r="B54" s="229"/>
      <c r="C54" s="25"/>
      <c r="D54" s="25"/>
      <c r="E54" s="148"/>
      <c r="F54" s="25"/>
    </row>
    <row r="55" spans="1:6" hidden="1" x14ac:dyDescent="0.35">
      <c r="A55" s="227"/>
      <c r="B55" s="229"/>
      <c r="C55" s="25"/>
      <c r="D55" s="25"/>
      <c r="E55" s="148"/>
      <c r="F55" s="25"/>
    </row>
    <row r="56" spans="1:6" hidden="1" x14ac:dyDescent="0.35">
      <c r="A56" s="227"/>
      <c r="B56" s="229"/>
      <c r="C56" s="25"/>
      <c r="D56" s="31"/>
      <c r="E56" s="148"/>
      <c r="F56" s="25"/>
    </row>
    <row r="57" spans="1:6" hidden="1" x14ac:dyDescent="0.35">
      <c r="A57" s="227"/>
      <c r="B57" s="229"/>
      <c r="C57" s="25"/>
      <c r="D57" s="25"/>
      <c r="E57" s="148"/>
      <c r="F57" s="25"/>
    </row>
    <row r="58" spans="1:6" hidden="1" x14ac:dyDescent="0.35">
      <c r="A58" s="227"/>
      <c r="B58" s="229"/>
      <c r="C58" s="25"/>
      <c r="D58" s="25"/>
      <c r="E58" s="148"/>
      <c r="F58" s="25"/>
    </row>
    <row r="59" spans="1:6" hidden="1" x14ac:dyDescent="0.35">
      <c r="A59" s="227"/>
      <c r="B59" s="229"/>
      <c r="C59" s="25"/>
      <c r="D59" s="25"/>
      <c r="E59" s="148"/>
      <c r="F59" s="25"/>
    </row>
    <row r="60" spans="1:6" hidden="1" x14ac:dyDescent="0.35">
      <c r="A60" s="227"/>
      <c r="B60" s="229"/>
      <c r="C60" s="25"/>
      <c r="D60" s="25"/>
      <c r="E60" s="148"/>
      <c r="F60" s="25"/>
    </row>
    <row r="61" spans="1:6" hidden="1" x14ac:dyDescent="0.35">
      <c r="A61" s="227"/>
      <c r="B61" s="229"/>
      <c r="C61" s="25"/>
      <c r="D61" s="25"/>
      <c r="E61" s="148"/>
      <c r="F61" s="25"/>
    </row>
    <row r="62" spans="1:6" hidden="1" x14ac:dyDescent="0.35">
      <c r="A62" s="227"/>
      <c r="B62" s="229"/>
      <c r="C62" s="25"/>
      <c r="D62" s="25"/>
      <c r="E62" s="148"/>
      <c r="F62" s="25"/>
    </row>
    <row r="63" spans="1:6" hidden="1" x14ac:dyDescent="0.35">
      <c r="A63" s="227"/>
      <c r="B63" s="229"/>
      <c r="C63" s="25"/>
      <c r="D63" s="25"/>
      <c r="E63" s="148"/>
      <c r="F63" s="25"/>
    </row>
    <row r="64" spans="1:6" hidden="1" x14ac:dyDescent="0.35">
      <c r="A64" s="227"/>
      <c r="B64" s="230" t="s">
        <v>141</v>
      </c>
      <c r="C64" s="25"/>
      <c r="D64" s="25"/>
      <c r="E64" s="148"/>
      <c r="F64" s="25"/>
    </row>
    <row r="65" spans="1:6" ht="32.5" hidden="1" x14ac:dyDescent="0.35">
      <c r="A65" s="227"/>
      <c r="B65" s="227"/>
      <c r="E65" s="156" t="s">
        <v>136</v>
      </c>
    </row>
    <row r="66" spans="1:6" x14ac:dyDescent="0.35">
      <c r="A66" s="225">
        <v>4</v>
      </c>
      <c r="B66" s="226" t="s">
        <v>78</v>
      </c>
      <c r="C66" s="38" t="s">
        <v>138</v>
      </c>
      <c r="E66" s="157">
        <v>0.2</v>
      </c>
    </row>
    <row r="67" spans="1:6" ht="24" hidden="1" x14ac:dyDescent="0.35">
      <c r="B67" s="33" t="s">
        <v>139</v>
      </c>
      <c r="C67" s="34" t="s">
        <v>140</v>
      </c>
      <c r="D67" s="35" t="s">
        <v>52</v>
      </c>
      <c r="E67" s="147" t="s">
        <v>53</v>
      </c>
      <c r="F67" s="36" t="s">
        <v>54</v>
      </c>
    </row>
    <row r="68" spans="1:6" hidden="1" x14ac:dyDescent="0.35">
      <c r="B68" s="25"/>
      <c r="C68" s="25"/>
      <c r="D68" s="28"/>
      <c r="E68" s="148"/>
      <c r="F68" s="29"/>
    </row>
    <row r="69" spans="1:6" hidden="1" x14ac:dyDescent="0.35">
      <c r="B69" s="25"/>
      <c r="C69" s="25"/>
      <c r="D69" s="25"/>
      <c r="E69" s="148"/>
      <c r="F69" s="25"/>
    </row>
    <row r="70" spans="1:6" hidden="1" x14ac:dyDescent="0.35">
      <c r="B70" s="25"/>
      <c r="C70" s="25"/>
      <c r="D70" s="25"/>
      <c r="E70" s="148"/>
      <c r="F70" s="25"/>
    </row>
    <row r="71" spans="1:6" hidden="1" x14ac:dyDescent="0.35">
      <c r="B71" s="25"/>
      <c r="C71" s="25"/>
      <c r="D71" s="25"/>
      <c r="E71" s="148"/>
      <c r="F71" s="25"/>
    </row>
    <row r="72" spans="1:6" hidden="1" x14ac:dyDescent="0.35">
      <c r="B72" s="25"/>
      <c r="C72" s="25"/>
      <c r="D72" s="25"/>
      <c r="E72" s="148"/>
      <c r="F72" s="25"/>
    </row>
    <row r="73" spans="1:6" hidden="1" x14ac:dyDescent="0.35">
      <c r="B73" s="25"/>
      <c r="C73" s="25"/>
      <c r="D73" s="31"/>
      <c r="E73" s="148"/>
      <c r="F73" s="25"/>
    </row>
    <row r="74" spans="1:6" hidden="1" x14ac:dyDescent="0.35">
      <c r="B74" s="25"/>
      <c r="C74" s="25"/>
      <c r="D74" s="25"/>
      <c r="E74" s="148"/>
      <c r="F74" s="25"/>
    </row>
    <row r="75" spans="1:6" hidden="1" x14ac:dyDescent="0.35">
      <c r="B75" s="25"/>
      <c r="C75" s="25"/>
      <c r="D75" s="25"/>
      <c r="E75" s="148"/>
      <c r="F75" s="25"/>
    </row>
    <row r="76" spans="1:6" hidden="1" x14ac:dyDescent="0.35">
      <c r="B76" s="25"/>
      <c r="C76" s="25"/>
      <c r="D76" s="25"/>
      <c r="E76" s="148"/>
      <c r="F76" s="25"/>
    </row>
    <row r="77" spans="1:6" hidden="1" x14ac:dyDescent="0.35">
      <c r="B77" s="25"/>
      <c r="C77" s="25"/>
      <c r="D77" s="25"/>
      <c r="E77" s="148"/>
      <c r="F77" s="25"/>
    </row>
    <row r="78" spans="1:6" hidden="1" x14ac:dyDescent="0.35">
      <c r="B78" s="25"/>
      <c r="C78" s="25"/>
      <c r="D78" s="25"/>
      <c r="E78" s="148"/>
      <c r="F78" s="25"/>
    </row>
    <row r="79" spans="1:6" hidden="1" x14ac:dyDescent="0.35">
      <c r="B79" s="25"/>
      <c r="C79" s="25"/>
      <c r="D79" s="25"/>
      <c r="E79" s="148"/>
      <c r="F79" s="25"/>
    </row>
    <row r="80" spans="1:6" hidden="1" x14ac:dyDescent="0.35">
      <c r="B80" s="25"/>
      <c r="C80" s="25"/>
      <c r="D80" s="25"/>
      <c r="E80" s="148"/>
      <c r="F80" s="25"/>
    </row>
    <row r="81" spans="1:6" hidden="1" x14ac:dyDescent="0.35">
      <c r="B81" s="32" t="s">
        <v>141</v>
      </c>
      <c r="C81" s="25"/>
      <c r="D81" s="25"/>
      <c r="E81" s="148"/>
      <c r="F81" s="25"/>
    </row>
    <row r="82" spans="1:6" ht="32.5" hidden="1" x14ac:dyDescent="0.35">
      <c r="E82" s="156" t="s">
        <v>136</v>
      </c>
    </row>
    <row r="83" spans="1:6" x14ac:dyDescent="0.35">
      <c r="A83" s="1">
        <v>5</v>
      </c>
      <c r="B83" s="27" t="s">
        <v>38</v>
      </c>
      <c r="C83" s="38" t="s">
        <v>138</v>
      </c>
      <c r="E83" s="157">
        <v>0.15</v>
      </c>
    </row>
    <row r="84" spans="1:6" ht="24" hidden="1" x14ac:dyDescent="0.35">
      <c r="B84" s="33" t="s">
        <v>139</v>
      </c>
      <c r="C84" s="34" t="s">
        <v>140</v>
      </c>
      <c r="D84" s="35" t="s">
        <v>52</v>
      </c>
      <c r="E84" s="147" t="s">
        <v>53</v>
      </c>
      <c r="F84" s="36" t="s">
        <v>54</v>
      </c>
    </row>
    <row r="85" spans="1:6" hidden="1" x14ac:dyDescent="0.35">
      <c r="B85" s="25"/>
      <c r="C85" s="25"/>
      <c r="D85" s="28"/>
      <c r="E85" s="148"/>
      <c r="F85" s="29"/>
    </row>
    <row r="86" spans="1:6" hidden="1" x14ac:dyDescent="0.35">
      <c r="B86" s="25"/>
      <c r="C86" s="25"/>
      <c r="D86" s="25"/>
      <c r="E86" s="148"/>
      <c r="F86" s="25"/>
    </row>
    <row r="87" spans="1:6" hidden="1" x14ac:dyDescent="0.35">
      <c r="B87" s="25"/>
      <c r="C87" s="25"/>
      <c r="D87" s="25"/>
      <c r="E87" s="148"/>
      <c r="F87" s="25"/>
    </row>
    <row r="88" spans="1:6" hidden="1" x14ac:dyDescent="0.35">
      <c r="B88" s="25"/>
      <c r="C88" s="25"/>
      <c r="D88" s="25"/>
      <c r="E88" s="148"/>
      <c r="F88" s="25"/>
    </row>
    <row r="89" spans="1:6" hidden="1" x14ac:dyDescent="0.35">
      <c r="B89" s="25"/>
      <c r="C89" s="25"/>
      <c r="D89" s="25"/>
      <c r="E89" s="148"/>
      <c r="F89" s="25"/>
    </row>
    <row r="90" spans="1:6" hidden="1" x14ac:dyDescent="0.35">
      <c r="B90" s="25"/>
      <c r="C90" s="25"/>
      <c r="D90" s="31"/>
      <c r="E90" s="148"/>
      <c r="F90" s="25"/>
    </row>
    <row r="91" spans="1:6" hidden="1" x14ac:dyDescent="0.35">
      <c r="B91" s="25"/>
      <c r="C91" s="25"/>
      <c r="D91" s="25"/>
      <c r="E91" s="148"/>
      <c r="F91" s="25"/>
    </row>
    <row r="92" spans="1:6" hidden="1" x14ac:dyDescent="0.35">
      <c r="B92" s="25"/>
      <c r="C92" s="25"/>
      <c r="D92" s="25"/>
      <c r="E92" s="148"/>
      <c r="F92" s="25"/>
    </row>
    <row r="93" spans="1:6" hidden="1" x14ac:dyDescent="0.35">
      <c r="B93" s="25"/>
      <c r="C93" s="25"/>
      <c r="D93" s="25"/>
      <c r="E93" s="148"/>
      <c r="F93" s="25"/>
    </row>
    <row r="94" spans="1:6" hidden="1" x14ac:dyDescent="0.35">
      <c r="B94" s="25"/>
      <c r="C94" s="25"/>
      <c r="D94" s="25"/>
      <c r="E94" s="148"/>
      <c r="F94" s="25"/>
    </row>
    <row r="95" spans="1:6" hidden="1" x14ac:dyDescent="0.35">
      <c r="B95" s="25"/>
      <c r="C95" s="25"/>
      <c r="D95" s="25"/>
      <c r="E95" s="148"/>
      <c r="F95" s="25"/>
    </row>
    <row r="96" spans="1:6" hidden="1" x14ac:dyDescent="0.35">
      <c r="B96" s="25"/>
      <c r="C96" s="25"/>
      <c r="D96" s="25"/>
      <c r="E96" s="148"/>
      <c r="F96" s="25"/>
    </row>
    <row r="97" spans="1:6" hidden="1" x14ac:dyDescent="0.35">
      <c r="B97" s="25"/>
      <c r="C97" s="25"/>
      <c r="D97" s="25"/>
      <c r="E97" s="148"/>
      <c r="F97" s="25"/>
    </row>
    <row r="98" spans="1:6" hidden="1" x14ac:dyDescent="0.35">
      <c r="B98" s="32" t="s">
        <v>141</v>
      </c>
      <c r="C98" s="25"/>
      <c r="D98" s="25"/>
      <c r="E98" s="148"/>
      <c r="F98" s="25"/>
    </row>
    <row r="99" spans="1:6" ht="32.5" hidden="1" x14ac:dyDescent="0.35">
      <c r="E99" s="156" t="s">
        <v>136</v>
      </c>
    </row>
    <row r="100" spans="1:6" x14ac:dyDescent="0.35">
      <c r="A100" s="1">
        <v>6</v>
      </c>
      <c r="B100" s="27" t="s">
        <v>142</v>
      </c>
      <c r="C100" s="38" t="s">
        <v>138</v>
      </c>
      <c r="E100" s="157">
        <v>0.1</v>
      </c>
    </row>
    <row r="101" spans="1:6" ht="24" hidden="1" x14ac:dyDescent="0.35">
      <c r="B101" s="33" t="s">
        <v>139</v>
      </c>
      <c r="C101" s="34" t="s">
        <v>140</v>
      </c>
      <c r="D101" s="35" t="s">
        <v>52</v>
      </c>
      <c r="E101" s="147" t="s">
        <v>53</v>
      </c>
      <c r="F101" s="36" t="s">
        <v>54</v>
      </c>
    </row>
    <row r="102" spans="1:6" hidden="1" x14ac:dyDescent="0.35">
      <c r="B102" s="25"/>
      <c r="C102" s="25"/>
      <c r="D102" s="28"/>
      <c r="E102" s="148"/>
      <c r="F102" s="29"/>
    </row>
    <row r="103" spans="1:6" hidden="1" x14ac:dyDescent="0.35">
      <c r="B103" s="25"/>
      <c r="C103" s="25"/>
      <c r="D103" s="25"/>
      <c r="E103" s="148"/>
      <c r="F103" s="25"/>
    </row>
    <row r="104" spans="1:6" hidden="1" x14ac:dyDescent="0.35">
      <c r="B104" s="25"/>
      <c r="C104" s="25"/>
      <c r="D104" s="25"/>
      <c r="E104" s="148"/>
      <c r="F104" s="25"/>
    </row>
    <row r="105" spans="1:6" hidden="1" x14ac:dyDescent="0.35">
      <c r="B105" s="25"/>
      <c r="C105" s="25"/>
      <c r="D105" s="25"/>
      <c r="E105" s="148"/>
      <c r="F105" s="25"/>
    </row>
    <row r="106" spans="1:6" hidden="1" x14ac:dyDescent="0.35">
      <c r="B106" s="25"/>
      <c r="C106" s="25"/>
      <c r="D106" s="25"/>
      <c r="E106" s="148"/>
      <c r="F106" s="25"/>
    </row>
    <row r="107" spans="1:6" hidden="1" x14ac:dyDescent="0.35">
      <c r="B107" s="25"/>
      <c r="C107" s="25"/>
      <c r="D107" s="31"/>
      <c r="E107" s="148"/>
      <c r="F107" s="25"/>
    </row>
    <row r="108" spans="1:6" hidden="1" x14ac:dyDescent="0.35">
      <c r="B108" s="25"/>
      <c r="C108" s="25"/>
      <c r="D108" s="25"/>
      <c r="E108" s="148"/>
      <c r="F108" s="25"/>
    </row>
    <row r="109" spans="1:6" hidden="1" x14ac:dyDescent="0.35">
      <c r="B109" s="25"/>
      <c r="C109" s="25"/>
      <c r="D109" s="25"/>
      <c r="E109" s="148"/>
      <c r="F109" s="25"/>
    </row>
    <row r="110" spans="1:6" hidden="1" x14ac:dyDescent="0.35">
      <c r="B110" s="25"/>
      <c r="C110" s="25"/>
      <c r="D110" s="25"/>
      <c r="E110" s="148"/>
      <c r="F110" s="25"/>
    </row>
    <row r="111" spans="1:6" hidden="1" x14ac:dyDescent="0.35">
      <c r="B111" s="25"/>
      <c r="C111" s="25"/>
      <c r="D111" s="25"/>
      <c r="E111" s="148"/>
      <c r="F111" s="25"/>
    </row>
    <row r="112" spans="1:6" hidden="1" x14ac:dyDescent="0.35">
      <c r="B112" s="25"/>
      <c r="C112" s="25"/>
      <c r="D112" s="25"/>
      <c r="E112" s="148"/>
      <c r="F112" s="25"/>
    </row>
    <row r="113" spans="1:6" hidden="1" x14ac:dyDescent="0.35">
      <c r="B113" s="25"/>
      <c r="C113" s="25"/>
      <c r="D113" s="25"/>
      <c r="E113" s="148"/>
      <c r="F113" s="25"/>
    </row>
    <row r="114" spans="1:6" hidden="1" x14ac:dyDescent="0.35">
      <c r="B114" s="25"/>
      <c r="C114" s="25"/>
      <c r="D114" s="25"/>
      <c r="E114" s="148"/>
      <c r="F114" s="25"/>
    </row>
    <row r="115" spans="1:6" hidden="1" x14ac:dyDescent="0.35">
      <c r="B115" s="32" t="s">
        <v>141</v>
      </c>
      <c r="C115" s="25"/>
      <c r="D115" s="25"/>
      <c r="E115" s="148"/>
      <c r="F115" s="25"/>
    </row>
    <row r="116" spans="1:6" hidden="1" x14ac:dyDescent="0.35"/>
    <row r="117" spans="1:6" x14ac:dyDescent="0.35">
      <c r="A117" s="1">
        <v>7</v>
      </c>
      <c r="B117" s="27" t="s">
        <v>40</v>
      </c>
      <c r="C117" s="38" t="s">
        <v>138</v>
      </c>
      <c r="E117" s="157">
        <v>0.15</v>
      </c>
    </row>
    <row r="118" spans="1:6" ht="24" hidden="1" x14ac:dyDescent="0.35">
      <c r="B118" s="33" t="s">
        <v>139</v>
      </c>
      <c r="C118" s="34" t="s">
        <v>140</v>
      </c>
      <c r="D118" s="35" t="s">
        <v>52</v>
      </c>
      <c r="E118" s="147" t="s">
        <v>53</v>
      </c>
      <c r="F118" s="36" t="s">
        <v>54</v>
      </c>
    </row>
    <row r="119" spans="1:6" hidden="1" x14ac:dyDescent="0.35">
      <c r="B119" s="25"/>
      <c r="C119" s="25"/>
      <c r="D119" s="28"/>
      <c r="E119" s="148"/>
      <c r="F119" s="29"/>
    </row>
    <row r="120" spans="1:6" hidden="1" x14ac:dyDescent="0.35">
      <c r="B120" s="25"/>
      <c r="C120" s="25"/>
      <c r="D120" s="25"/>
      <c r="E120" s="148"/>
      <c r="F120" s="25"/>
    </row>
    <row r="121" spans="1:6" hidden="1" x14ac:dyDescent="0.35">
      <c r="B121" s="25"/>
      <c r="C121" s="25"/>
      <c r="D121" s="25"/>
      <c r="E121" s="148"/>
      <c r="F121" s="25"/>
    </row>
    <row r="122" spans="1:6" hidden="1" x14ac:dyDescent="0.35">
      <c r="B122" s="25"/>
      <c r="C122" s="25"/>
      <c r="D122" s="25"/>
      <c r="E122" s="148"/>
      <c r="F122" s="25"/>
    </row>
    <row r="123" spans="1:6" hidden="1" x14ac:dyDescent="0.35">
      <c r="B123" s="25"/>
      <c r="C123" s="25"/>
      <c r="D123" s="25"/>
      <c r="E123" s="148"/>
      <c r="F123" s="25"/>
    </row>
    <row r="124" spans="1:6" hidden="1" x14ac:dyDescent="0.35">
      <c r="B124" s="25"/>
      <c r="C124" s="25"/>
      <c r="D124" s="31"/>
      <c r="E124" s="148"/>
      <c r="F124" s="25"/>
    </row>
    <row r="125" spans="1:6" hidden="1" x14ac:dyDescent="0.35">
      <c r="B125" s="25"/>
      <c r="C125" s="25"/>
      <c r="D125" s="25"/>
      <c r="E125" s="148"/>
      <c r="F125" s="25"/>
    </row>
    <row r="126" spans="1:6" hidden="1" x14ac:dyDescent="0.35">
      <c r="B126" s="25"/>
      <c r="C126" s="25"/>
      <c r="D126" s="25"/>
      <c r="E126" s="148"/>
      <c r="F126" s="25"/>
    </row>
    <row r="127" spans="1:6" hidden="1" x14ac:dyDescent="0.35">
      <c r="B127" s="25"/>
      <c r="C127" s="25"/>
      <c r="D127" s="25"/>
      <c r="E127" s="148"/>
      <c r="F127" s="25"/>
    </row>
    <row r="128" spans="1:6" hidden="1" x14ac:dyDescent="0.35">
      <c r="B128" s="25"/>
      <c r="C128" s="25"/>
      <c r="D128" s="25"/>
      <c r="E128" s="148"/>
      <c r="F128" s="25"/>
    </row>
    <row r="129" spans="1:6" hidden="1" x14ac:dyDescent="0.35">
      <c r="B129" s="25"/>
      <c r="C129" s="25"/>
      <c r="D129" s="25"/>
      <c r="E129" s="148"/>
      <c r="F129" s="25"/>
    </row>
    <row r="130" spans="1:6" hidden="1" x14ac:dyDescent="0.35">
      <c r="B130" s="25"/>
      <c r="C130" s="25"/>
      <c r="D130" s="25"/>
      <c r="E130" s="148"/>
      <c r="F130" s="25"/>
    </row>
    <row r="131" spans="1:6" hidden="1" x14ac:dyDescent="0.35">
      <c r="B131" s="25"/>
      <c r="C131" s="25"/>
      <c r="D131" s="25"/>
      <c r="E131" s="148"/>
      <c r="F131" s="25"/>
    </row>
    <row r="132" spans="1:6" hidden="1" x14ac:dyDescent="0.35">
      <c r="B132" s="32" t="s">
        <v>141</v>
      </c>
      <c r="C132" s="25"/>
      <c r="D132" s="25"/>
      <c r="E132" s="148"/>
      <c r="F132" s="25"/>
    </row>
    <row r="133" spans="1:6" hidden="1" x14ac:dyDescent="0.35">
      <c r="B133" s="69"/>
      <c r="C133" s="70"/>
      <c r="D133" s="70"/>
      <c r="E133" s="158"/>
      <c r="F133" s="70"/>
    </row>
    <row r="134" spans="1:6" x14ac:dyDescent="0.35">
      <c r="A134" s="1">
        <v>8</v>
      </c>
      <c r="B134" s="27" t="s">
        <v>41</v>
      </c>
      <c r="C134" s="38" t="s">
        <v>138</v>
      </c>
      <c r="E134" s="157">
        <v>0.15</v>
      </c>
    </row>
    <row r="135" spans="1:6" ht="24" hidden="1" x14ac:dyDescent="0.35">
      <c r="B135" s="33" t="s">
        <v>139</v>
      </c>
      <c r="C135" s="34" t="s">
        <v>140</v>
      </c>
      <c r="D135" s="35" t="s">
        <v>52</v>
      </c>
      <c r="E135" s="147" t="s">
        <v>53</v>
      </c>
      <c r="F135" s="36" t="s">
        <v>54</v>
      </c>
    </row>
    <row r="136" spans="1:6" hidden="1" x14ac:dyDescent="0.35">
      <c r="B136" s="25"/>
      <c r="C136" s="25"/>
      <c r="D136" s="28"/>
      <c r="E136" s="148"/>
      <c r="F136" s="29"/>
    </row>
    <row r="137" spans="1:6" hidden="1" x14ac:dyDescent="0.35">
      <c r="B137" s="25"/>
      <c r="C137" s="25"/>
      <c r="D137" s="25"/>
      <c r="E137" s="148"/>
      <c r="F137" s="25"/>
    </row>
    <row r="138" spans="1:6" hidden="1" x14ac:dyDescent="0.35">
      <c r="B138" s="25"/>
      <c r="C138" s="25"/>
      <c r="D138" s="25"/>
      <c r="E138" s="148"/>
      <c r="F138" s="25"/>
    </row>
    <row r="139" spans="1:6" hidden="1" x14ac:dyDescent="0.35">
      <c r="B139" s="25"/>
      <c r="C139" s="25"/>
      <c r="D139" s="25"/>
      <c r="E139" s="148"/>
      <c r="F139" s="25"/>
    </row>
    <row r="140" spans="1:6" hidden="1" x14ac:dyDescent="0.35">
      <c r="B140" s="25"/>
      <c r="C140" s="25"/>
      <c r="D140" s="25"/>
      <c r="E140" s="148"/>
      <c r="F140" s="25"/>
    </row>
    <row r="141" spans="1:6" hidden="1" x14ac:dyDescent="0.35">
      <c r="B141" s="25"/>
      <c r="C141" s="25"/>
      <c r="D141" s="31"/>
      <c r="E141" s="148"/>
      <c r="F141" s="25"/>
    </row>
    <row r="142" spans="1:6" hidden="1" x14ac:dyDescent="0.35">
      <c r="B142" s="25"/>
      <c r="C142" s="25"/>
      <c r="D142" s="25"/>
      <c r="E142" s="148"/>
      <c r="F142" s="25"/>
    </row>
    <row r="143" spans="1:6" hidden="1" x14ac:dyDescent="0.35">
      <c r="B143" s="25"/>
      <c r="C143" s="25"/>
      <c r="D143" s="25"/>
      <c r="E143" s="148"/>
      <c r="F143" s="25"/>
    </row>
    <row r="144" spans="1:6" hidden="1" x14ac:dyDescent="0.35">
      <c r="B144" s="25"/>
      <c r="C144" s="25"/>
      <c r="D144" s="25"/>
      <c r="E144" s="148"/>
      <c r="F144" s="25"/>
    </row>
    <row r="145" spans="1:6" hidden="1" x14ac:dyDescent="0.35">
      <c r="B145" s="25"/>
      <c r="C145" s="25"/>
      <c r="D145" s="25"/>
      <c r="E145" s="148"/>
      <c r="F145" s="25"/>
    </row>
    <row r="146" spans="1:6" hidden="1" x14ac:dyDescent="0.35">
      <c r="B146" s="25"/>
      <c r="C146" s="25"/>
      <c r="D146" s="25"/>
      <c r="E146" s="148"/>
      <c r="F146" s="25"/>
    </row>
    <row r="147" spans="1:6" hidden="1" x14ac:dyDescent="0.35">
      <c r="B147" s="25"/>
      <c r="C147" s="25"/>
      <c r="D147" s="25"/>
      <c r="E147" s="148"/>
      <c r="F147" s="25"/>
    </row>
    <row r="148" spans="1:6" hidden="1" x14ac:dyDescent="0.35">
      <c r="B148" s="25"/>
      <c r="C148" s="25"/>
      <c r="D148" s="25"/>
      <c r="E148" s="148"/>
      <c r="F148" s="25"/>
    </row>
    <row r="149" spans="1:6" hidden="1" x14ac:dyDescent="0.35">
      <c r="B149" s="32" t="s">
        <v>141</v>
      </c>
      <c r="C149" s="25"/>
      <c r="D149" s="25"/>
      <c r="E149" s="148"/>
      <c r="F149" s="25"/>
    </row>
    <row r="150" spans="1:6" hidden="1" x14ac:dyDescent="0.35"/>
    <row r="151" spans="1:6" x14ac:dyDescent="0.35">
      <c r="A151" s="1">
        <v>9</v>
      </c>
      <c r="B151" s="27" t="s">
        <v>42</v>
      </c>
      <c r="C151" s="38" t="s">
        <v>138</v>
      </c>
      <c r="E151" s="157">
        <v>0.15</v>
      </c>
    </row>
    <row r="152" spans="1:6" ht="24" hidden="1" x14ac:dyDescent="0.35">
      <c r="B152" s="33" t="s">
        <v>139</v>
      </c>
      <c r="C152" s="34" t="s">
        <v>140</v>
      </c>
      <c r="D152" s="35" t="s">
        <v>52</v>
      </c>
      <c r="E152" s="147" t="s">
        <v>53</v>
      </c>
      <c r="F152" s="36" t="s">
        <v>54</v>
      </c>
    </row>
    <row r="153" spans="1:6" hidden="1" x14ac:dyDescent="0.35">
      <c r="B153" s="25"/>
      <c r="C153" s="25"/>
      <c r="D153" s="28"/>
      <c r="E153" s="148"/>
      <c r="F153" s="29"/>
    </row>
    <row r="154" spans="1:6" hidden="1" x14ac:dyDescent="0.35">
      <c r="B154" s="25"/>
      <c r="C154" s="25"/>
      <c r="D154" s="25"/>
      <c r="E154" s="148"/>
      <c r="F154" s="25"/>
    </row>
    <row r="155" spans="1:6" hidden="1" x14ac:dyDescent="0.35">
      <c r="B155" s="25"/>
      <c r="C155" s="25"/>
      <c r="D155" s="25"/>
      <c r="E155" s="148"/>
      <c r="F155" s="25"/>
    </row>
    <row r="156" spans="1:6" hidden="1" x14ac:dyDescent="0.35">
      <c r="B156" s="25"/>
      <c r="C156" s="25"/>
      <c r="D156" s="25"/>
      <c r="E156" s="148"/>
      <c r="F156" s="25"/>
    </row>
    <row r="157" spans="1:6" hidden="1" x14ac:dyDescent="0.35">
      <c r="B157" s="25"/>
      <c r="C157" s="25"/>
      <c r="D157" s="25"/>
      <c r="E157" s="148"/>
      <c r="F157" s="25"/>
    </row>
    <row r="158" spans="1:6" hidden="1" x14ac:dyDescent="0.35">
      <c r="B158" s="25"/>
      <c r="C158" s="25"/>
      <c r="D158" s="31"/>
      <c r="E158" s="148"/>
      <c r="F158" s="25"/>
    </row>
    <row r="159" spans="1:6" hidden="1" x14ac:dyDescent="0.35">
      <c r="B159" s="25"/>
      <c r="C159" s="25"/>
      <c r="D159" s="25"/>
      <c r="E159" s="148"/>
      <c r="F159" s="25"/>
    </row>
    <row r="160" spans="1:6" hidden="1" x14ac:dyDescent="0.35">
      <c r="B160" s="25"/>
      <c r="C160" s="25"/>
      <c r="D160" s="25"/>
      <c r="E160" s="148"/>
      <c r="F160" s="25"/>
    </row>
    <row r="161" spans="1:6" hidden="1" x14ac:dyDescent="0.35">
      <c r="B161" s="25"/>
      <c r="C161" s="25"/>
      <c r="D161" s="25"/>
      <c r="E161" s="148"/>
      <c r="F161" s="25"/>
    </row>
    <row r="162" spans="1:6" hidden="1" x14ac:dyDescent="0.35">
      <c r="B162" s="25"/>
      <c r="C162" s="25"/>
      <c r="D162" s="25"/>
      <c r="E162" s="148"/>
      <c r="F162" s="25"/>
    </row>
    <row r="163" spans="1:6" hidden="1" x14ac:dyDescent="0.35">
      <c r="B163" s="25"/>
      <c r="C163" s="25"/>
      <c r="D163" s="25"/>
      <c r="E163" s="148"/>
      <c r="F163" s="25"/>
    </row>
    <row r="164" spans="1:6" hidden="1" x14ac:dyDescent="0.35">
      <c r="B164" s="25"/>
      <c r="C164" s="25"/>
      <c r="D164" s="25"/>
      <c r="E164" s="148"/>
      <c r="F164" s="25"/>
    </row>
    <row r="165" spans="1:6" hidden="1" x14ac:dyDescent="0.35">
      <c r="B165" s="25"/>
      <c r="C165" s="25"/>
      <c r="D165" s="25"/>
      <c r="E165" s="148"/>
      <c r="F165" s="25"/>
    </row>
    <row r="166" spans="1:6" hidden="1" x14ac:dyDescent="0.35">
      <c r="B166" s="32" t="s">
        <v>141</v>
      </c>
      <c r="C166" s="25"/>
      <c r="D166" s="25"/>
      <c r="E166" s="148"/>
      <c r="F166" s="25"/>
    </row>
    <row r="167" spans="1:6" hidden="1" x14ac:dyDescent="0.35"/>
    <row r="168" spans="1:6" x14ac:dyDescent="0.35">
      <c r="A168" s="164" t="s">
        <v>377</v>
      </c>
      <c r="B168" s="164"/>
      <c r="C168" s="164"/>
      <c r="D168" s="164"/>
      <c r="E168" s="164"/>
      <c r="F168" s="164"/>
    </row>
  </sheetData>
  <mergeCells count="14">
    <mergeCell ref="A168:F168"/>
    <mergeCell ref="A6:F6"/>
    <mergeCell ref="A7:F7"/>
    <mergeCell ref="A8:F8"/>
    <mergeCell ref="A13:F13"/>
    <mergeCell ref="A9:F9"/>
    <mergeCell ref="A10:F10"/>
    <mergeCell ref="A11:F11"/>
    <mergeCell ref="A12:F12"/>
    <mergeCell ref="A1:F1"/>
    <mergeCell ref="A2:F2"/>
    <mergeCell ref="A3:F3"/>
    <mergeCell ref="A4:F4"/>
    <mergeCell ref="A5:F5"/>
  </mergeCells>
  <pageMargins left="0.7" right="0.7" top="0.75" bottom="0.75" header="0.3" footer="0.3"/>
  <pageSetup scale="35" orientation="portrait" verticalDpi="0" r:id="rId1"/>
  <headerFooter>
    <oddHeader>&amp;L&amp;9Request for Proposal for
Ground Maintenance Equipment
Issued by the Commonwealth of Virginia
Solicitation Number RFP 61514&amp;R&amp;G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FEAAD-2A1F-40F8-9965-03E5324E8B42}">
  <sheetPr>
    <tabColor rgb="FFC9A6E4"/>
  </sheetPr>
  <dimension ref="A1:D87"/>
  <sheetViews>
    <sheetView topLeftCell="A66" zoomScale="120" zoomScaleNormal="120" workbookViewId="0">
      <selection activeCell="A89" sqref="A89"/>
    </sheetView>
  </sheetViews>
  <sheetFormatPr defaultRowHeight="14.5" x14ac:dyDescent="0.35"/>
  <cols>
    <col min="1" max="1" width="66.453125" bestFit="1" customWidth="1"/>
    <col min="2" max="2" width="36.7265625" customWidth="1"/>
    <col min="3" max="3" width="35.26953125" style="146" customWidth="1"/>
    <col min="4" max="4" width="11.54296875" style="150" customWidth="1"/>
  </cols>
  <sheetData>
    <row r="1" spans="1:4" x14ac:dyDescent="0.35">
      <c r="A1" s="163" t="s">
        <v>366</v>
      </c>
      <c r="B1" s="163"/>
      <c r="C1" s="163"/>
      <c r="D1" s="163"/>
    </row>
    <row r="2" spans="1:4" x14ac:dyDescent="0.35">
      <c r="A2" s="164" t="s">
        <v>178</v>
      </c>
      <c r="B2" s="164"/>
      <c r="C2" s="164"/>
      <c r="D2" s="164"/>
    </row>
    <row r="3" spans="1:4" x14ac:dyDescent="0.35">
      <c r="A3" s="164" t="s">
        <v>143</v>
      </c>
      <c r="B3" s="164"/>
      <c r="C3" s="164"/>
      <c r="D3" s="164"/>
    </row>
    <row r="4" spans="1:4" x14ac:dyDescent="0.35">
      <c r="A4" s="224" t="s">
        <v>144</v>
      </c>
      <c r="B4" s="178"/>
      <c r="C4" s="178"/>
      <c r="D4" s="178"/>
    </row>
    <row r="5" spans="1:4" x14ac:dyDescent="0.35">
      <c r="A5" s="174"/>
      <c r="B5" s="174"/>
      <c r="C5" s="174"/>
      <c r="D5" s="174"/>
    </row>
    <row r="6" spans="1:4" x14ac:dyDescent="0.35">
      <c r="A6" s="220" t="s">
        <v>145</v>
      </c>
      <c r="B6" s="221"/>
      <c r="C6" s="221"/>
      <c r="D6" s="221"/>
    </row>
    <row r="7" spans="1:4" x14ac:dyDescent="0.35">
      <c r="A7" s="222" t="s">
        <v>146</v>
      </c>
      <c r="B7" s="223"/>
      <c r="C7" s="223"/>
      <c r="D7" s="223"/>
    </row>
    <row r="8" spans="1:4" x14ac:dyDescent="0.35">
      <c r="A8" s="218" t="s">
        <v>147</v>
      </c>
      <c r="B8" s="219"/>
      <c r="C8" s="219"/>
      <c r="D8" s="219"/>
    </row>
    <row r="9" spans="1:4" x14ac:dyDescent="0.35">
      <c r="A9" s="37"/>
      <c r="B9" s="37"/>
      <c r="C9" s="152"/>
      <c r="D9" s="149"/>
    </row>
    <row r="10" spans="1:4" x14ac:dyDescent="0.35">
      <c r="A10" s="26" t="s">
        <v>135</v>
      </c>
    </row>
    <row r="11" spans="1:4" x14ac:dyDescent="0.35">
      <c r="A11" s="1">
        <v>1</v>
      </c>
      <c r="B11" s="27" t="s">
        <v>148</v>
      </c>
      <c r="C11" s="152"/>
    </row>
    <row r="12" spans="1:4" ht="36" customHeight="1" x14ac:dyDescent="0.35">
      <c r="A12" s="68" t="s">
        <v>139</v>
      </c>
      <c r="B12" s="34" t="s">
        <v>140</v>
      </c>
      <c r="C12" s="153" t="s">
        <v>149</v>
      </c>
      <c r="D12" s="147" t="s">
        <v>150</v>
      </c>
    </row>
    <row r="13" spans="1:4" x14ac:dyDescent="0.35">
      <c r="A13" s="25" t="s">
        <v>378</v>
      </c>
      <c r="B13" s="155" t="s">
        <v>384</v>
      </c>
      <c r="C13" s="154">
        <v>500</v>
      </c>
      <c r="D13" s="151">
        <v>0.08</v>
      </c>
    </row>
    <row r="14" spans="1:4" x14ac:dyDescent="0.35">
      <c r="A14" s="25" t="s">
        <v>379</v>
      </c>
      <c r="B14" s="155" t="s">
        <v>384</v>
      </c>
      <c r="C14" s="155">
        <v>600</v>
      </c>
      <c r="D14" s="151">
        <v>0.08</v>
      </c>
    </row>
    <row r="15" spans="1:4" x14ac:dyDescent="0.35">
      <c r="A15" s="25"/>
      <c r="B15" s="25"/>
      <c r="C15" s="155"/>
      <c r="D15" s="151"/>
    </row>
    <row r="16" spans="1:4" x14ac:dyDescent="0.35">
      <c r="A16" s="32" t="s">
        <v>141</v>
      </c>
      <c r="B16" s="25"/>
      <c r="C16" s="155"/>
      <c r="D16" s="151"/>
    </row>
    <row r="18" spans="1:4" x14ac:dyDescent="0.35">
      <c r="A18" s="1">
        <v>2</v>
      </c>
      <c r="B18" s="27" t="s">
        <v>151</v>
      </c>
      <c r="C18" s="152"/>
    </row>
    <row r="19" spans="1:4" ht="34.5" customHeight="1" x14ac:dyDescent="0.35">
      <c r="A19" s="68" t="s">
        <v>139</v>
      </c>
      <c r="B19" s="34" t="s">
        <v>140</v>
      </c>
      <c r="C19" s="153" t="s">
        <v>149</v>
      </c>
      <c r="D19" s="147" t="s">
        <v>150</v>
      </c>
    </row>
    <row r="20" spans="1:4" x14ac:dyDescent="0.35">
      <c r="A20" s="25"/>
      <c r="B20" s="25"/>
      <c r="C20" s="154"/>
      <c r="D20" s="151"/>
    </row>
    <row r="21" spans="1:4" x14ac:dyDescent="0.35">
      <c r="A21" s="25"/>
      <c r="B21" s="25"/>
      <c r="C21" s="155"/>
      <c r="D21" s="151"/>
    </row>
    <row r="22" spans="1:4" x14ac:dyDescent="0.35">
      <c r="A22" s="25"/>
      <c r="B22" s="25"/>
      <c r="C22" s="155"/>
      <c r="D22" s="151"/>
    </row>
    <row r="23" spans="1:4" x14ac:dyDescent="0.35">
      <c r="A23" s="25"/>
      <c r="B23" s="25"/>
      <c r="C23" s="155"/>
      <c r="D23" s="151"/>
    </row>
    <row r="24" spans="1:4" x14ac:dyDescent="0.35">
      <c r="A24" s="32" t="s">
        <v>141</v>
      </c>
      <c r="B24" s="25"/>
      <c r="C24" s="155"/>
      <c r="D24" s="151"/>
    </row>
    <row r="26" spans="1:4" x14ac:dyDescent="0.35">
      <c r="A26" s="1">
        <v>3</v>
      </c>
      <c r="B26" s="27" t="s">
        <v>152</v>
      </c>
      <c r="C26" s="152"/>
    </row>
    <row r="27" spans="1:4" ht="33" customHeight="1" x14ac:dyDescent="0.35">
      <c r="A27" s="68" t="s">
        <v>139</v>
      </c>
      <c r="B27" s="34" t="s">
        <v>140</v>
      </c>
      <c r="C27" s="153" t="s">
        <v>149</v>
      </c>
      <c r="D27" s="147" t="s">
        <v>150</v>
      </c>
    </row>
    <row r="28" spans="1:4" x14ac:dyDescent="0.35">
      <c r="A28" s="25"/>
      <c r="B28" s="25"/>
      <c r="C28" s="155"/>
      <c r="D28" s="151"/>
    </row>
    <row r="29" spans="1:4" x14ac:dyDescent="0.35">
      <c r="A29" s="25"/>
      <c r="B29" s="25"/>
      <c r="C29" s="155"/>
      <c r="D29" s="151"/>
    </row>
    <row r="30" spans="1:4" x14ac:dyDescent="0.35">
      <c r="A30" s="25"/>
      <c r="B30" s="25"/>
      <c r="C30" s="155"/>
      <c r="D30" s="151"/>
    </row>
    <row r="31" spans="1:4" x14ac:dyDescent="0.35">
      <c r="A31" s="25"/>
      <c r="B31" s="25"/>
      <c r="C31" s="155"/>
      <c r="D31" s="151"/>
    </row>
    <row r="32" spans="1:4" x14ac:dyDescent="0.35">
      <c r="A32" s="32" t="s">
        <v>141</v>
      </c>
      <c r="B32" s="25"/>
      <c r="C32" s="155"/>
      <c r="D32" s="151"/>
    </row>
    <row r="34" spans="1:4" x14ac:dyDescent="0.35">
      <c r="A34" s="1">
        <v>4</v>
      </c>
      <c r="B34" s="27" t="s">
        <v>153</v>
      </c>
      <c r="C34" s="152"/>
    </row>
    <row r="35" spans="1:4" ht="30" customHeight="1" x14ac:dyDescent="0.35">
      <c r="A35" s="68" t="s">
        <v>139</v>
      </c>
      <c r="B35" s="34" t="s">
        <v>140</v>
      </c>
      <c r="C35" s="153" t="s">
        <v>149</v>
      </c>
      <c r="D35" s="147" t="s">
        <v>150</v>
      </c>
    </row>
    <row r="36" spans="1:4" x14ac:dyDescent="0.35">
      <c r="A36" s="25"/>
      <c r="B36" s="25"/>
      <c r="C36" s="155"/>
      <c r="D36" s="151"/>
    </row>
    <row r="37" spans="1:4" x14ac:dyDescent="0.35">
      <c r="A37" s="25"/>
      <c r="B37" s="25"/>
      <c r="C37" s="155"/>
      <c r="D37" s="151"/>
    </row>
    <row r="38" spans="1:4" x14ac:dyDescent="0.35">
      <c r="A38" s="25"/>
      <c r="B38" s="25"/>
      <c r="C38" s="155"/>
      <c r="D38" s="151"/>
    </row>
    <row r="39" spans="1:4" x14ac:dyDescent="0.35">
      <c r="A39" s="25"/>
      <c r="B39" s="25"/>
      <c r="C39" s="155"/>
      <c r="D39" s="151"/>
    </row>
    <row r="40" spans="1:4" x14ac:dyDescent="0.35">
      <c r="A40" s="32" t="s">
        <v>141</v>
      </c>
      <c r="B40" s="25"/>
      <c r="C40" s="155"/>
      <c r="D40" s="151"/>
    </row>
    <row r="42" spans="1:4" x14ac:dyDescent="0.35">
      <c r="A42" s="1">
        <v>5</v>
      </c>
      <c r="B42" s="27" t="s">
        <v>154</v>
      </c>
      <c r="C42" s="152"/>
    </row>
    <row r="43" spans="1:4" ht="36.75" customHeight="1" x14ac:dyDescent="0.35">
      <c r="A43" s="68" t="s">
        <v>139</v>
      </c>
      <c r="B43" s="34" t="s">
        <v>140</v>
      </c>
      <c r="C43" s="153" t="s">
        <v>149</v>
      </c>
      <c r="D43" s="147" t="s">
        <v>150</v>
      </c>
    </row>
    <row r="44" spans="1:4" ht="29" x14ac:dyDescent="0.35">
      <c r="A44" s="30" t="s">
        <v>387</v>
      </c>
      <c r="B44" s="155" t="s">
        <v>384</v>
      </c>
      <c r="C44" s="155">
        <v>325</v>
      </c>
      <c r="D44" s="151">
        <v>0.08</v>
      </c>
    </row>
    <row r="45" spans="1:4" ht="29" x14ac:dyDescent="0.35">
      <c r="A45" s="30" t="s">
        <v>386</v>
      </c>
      <c r="B45" s="155" t="s">
        <v>384</v>
      </c>
      <c r="C45" s="155">
        <v>325</v>
      </c>
      <c r="D45" s="151">
        <v>0.08</v>
      </c>
    </row>
    <row r="46" spans="1:4" ht="29" x14ac:dyDescent="0.35">
      <c r="A46" s="30" t="s">
        <v>385</v>
      </c>
      <c r="B46" s="155" t="s">
        <v>384</v>
      </c>
      <c r="C46" s="155">
        <v>325</v>
      </c>
      <c r="D46" s="151">
        <v>0.08</v>
      </c>
    </row>
    <row r="47" spans="1:4" x14ac:dyDescent="0.35">
      <c r="A47" s="25"/>
      <c r="B47" s="25"/>
      <c r="C47" s="155"/>
      <c r="D47" s="151"/>
    </row>
    <row r="48" spans="1:4" x14ac:dyDescent="0.35">
      <c r="A48" s="25"/>
      <c r="B48" s="25"/>
      <c r="C48" s="155"/>
      <c r="D48" s="151"/>
    </row>
    <row r="49" spans="1:4" x14ac:dyDescent="0.35">
      <c r="A49" s="32" t="s">
        <v>141</v>
      </c>
      <c r="B49" s="25"/>
      <c r="C49" s="155"/>
      <c r="D49" s="151"/>
    </row>
    <row r="51" spans="1:4" x14ac:dyDescent="0.35">
      <c r="A51" s="1">
        <v>6</v>
      </c>
      <c r="B51" s="27" t="s">
        <v>155</v>
      </c>
      <c r="C51" s="152"/>
    </row>
    <row r="52" spans="1:4" ht="39" customHeight="1" x14ac:dyDescent="0.35">
      <c r="A52" s="68" t="s">
        <v>139</v>
      </c>
      <c r="B52" s="34" t="s">
        <v>140</v>
      </c>
      <c r="C52" s="153" t="s">
        <v>149</v>
      </c>
      <c r="D52" s="147" t="s">
        <v>150</v>
      </c>
    </row>
    <row r="53" spans="1:4" x14ac:dyDescent="0.35">
      <c r="A53" s="25"/>
      <c r="B53" s="25"/>
      <c r="C53" s="155"/>
      <c r="D53" s="151"/>
    </row>
    <row r="54" spans="1:4" x14ac:dyDescent="0.35">
      <c r="A54" s="25"/>
      <c r="B54" s="25"/>
      <c r="C54" s="155"/>
      <c r="D54" s="151"/>
    </row>
    <row r="55" spans="1:4" x14ac:dyDescent="0.35">
      <c r="A55" s="25"/>
      <c r="B55" s="25"/>
      <c r="C55" s="155"/>
      <c r="D55" s="151"/>
    </row>
    <row r="56" spans="1:4" x14ac:dyDescent="0.35">
      <c r="A56" s="25"/>
      <c r="B56" s="25"/>
      <c r="C56" s="155"/>
      <c r="D56" s="151"/>
    </row>
    <row r="57" spans="1:4" x14ac:dyDescent="0.35">
      <c r="A57" s="25"/>
      <c r="B57" s="25"/>
      <c r="C57" s="155"/>
      <c r="D57" s="151"/>
    </row>
    <row r="58" spans="1:4" x14ac:dyDescent="0.35">
      <c r="A58" s="32" t="s">
        <v>141</v>
      </c>
      <c r="B58" s="25"/>
      <c r="C58" s="155"/>
      <c r="D58" s="151"/>
    </row>
    <row r="60" spans="1:4" x14ac:dyDescent="0.35">
      <c r="A60" s="1">
        <v>7</v>
      </c>
      <c r="B60" s="27" t="s">
        <v>156</v>
      </c>
      <c r="C60" s="152"/>
    </row>
    <row r="61" spans="1:4" ht="39" customHeight="1" x14ac:dyDescent="0.35">
      <c r="A61" s="68" t="s">
        <v>139</v>
      </c>
      <c r="B61" s="34" t="s">
        <v>140</v>
      </c>
      <c r="C61" s="153" t="s">
        <v>149</v>
      </c>
      <c r="D61" s="147" t="s">
        <v>150</v>
      </c>
    </row>
    <row r="62" spans="1:4" x14ac:dyDescent="0.35">
      <c r="A62" s="25"/>
      <c r="B62" s="25"/>
      <c r="C62" s="155"/>
      <c r="D62" s="151"/>
    </row>
    <row r="63" spans="1:4" x14ac:dyDescent="0.35">
      <c r="A63" s="25"/>
      <c r="B63" s="25"/>
      <c r="C63" s="155"/>
      <c r="D63" s="151"/>
    </row>
    <row r="64" spans="1:4" x14ac:dyDescent="0.35">
      <c r="A64" s="25"/>
      <c r="B64" s="25"/>
      <c r="C64" s="155"/>
      <c r="D64" s="151"/>
    </row>
    <row r="65" spans="1:4" x14ac:dyDescent="0.35">
      <c r="A65" s="25"/>
      <c r="B65" s="25"/>
      <c r="C65" s="155"/>
      <c r="D65" s="151"/>
    </row>
    <row r="66" spans="1:4" x14ac:dyDescent="0.35">
      <c r="A66" s="25"/>
      <c r="B66" s="25"/>
      <c r="C66" s="155"/>
      <c r="D66" s="151"/>
    </row>
    <row r="67" spans="1:4" x14ac:dyDescent="0.35">
      <c r="A67" s="32" t="s">
        <v>141</v>
      </c>
      <c r="B67" s="25"/>
      <c r="C67" s="155"/>
      <c r="D67" s="151"/>
    </row>
    <row r="69" spans="1:4" x14ac:dyDescent="0.35">
      <c r="A69" s="1">
        <v>8</v>
      </c>
      <c r="B69" s="27" t="s">
        <v>157</v>
      </c>
      <c r="C69" s="152"/>
    </row>
    <row r="70" spans="1:4" ht="39" customHeight="1" x14ac:dyDescent="0.35">
      <c r="A70" s="68" t="s">
        <v>139</v>
      </c>
      <c r="B70" s="34" t="s">
        <v>140</v>
      </c>
      <c r="C70" s="153" t="s">
        <v>149</v>
      </c>
      <c r="D70" s="147" t="s">
        <v>150</v>
      </c>
    </row>
    <row r="71" spans="1:4" x14ac:dyDescent="0.35">
      <c r="A71" s="25"/>
      <c r="B71" s="25"/>
      <c r="C71" s="155"/>
      <c r="D71" s="151"/>
    </row>
    <row r="72" spans="1:4" x14ac:dyDescent="0.35">
      <c r="A72" s="25"/>
      <c r="B72" s="25"/>
      <c r="C72" s="155"/>
      <c r="D72" s="151"/>
    </row>
    <row r="73" spans="1:4" x14ac:dyDescent="0.35">
      <c r="A73" s="25"/>
      <c r="B73" s="25"/>
      <c r="C73" s="155"/>
      <c r="D73" s="151"/>
    </row>
    <row r="74" spans="1:4" x14ac:dyDescent="0.35">
      <c r="A74" s="25"/>
      <c r="B74" s="25"/>
      <c r="C74" s="155"/>
      <c r="D74" s="151"/>
    </row>
    <row r="75" spans="1:4" x14ac:dyDescent="0.35">
      <c r="A75" s="25"/>
      <c r="B75" s="25"/>
      <c r="C75" s="155"/>
      <c r="D75" s="151"/>
    </row>
    <row r="76" spans="1:4" x14ac:dyDescent="0.35">
      <c r="A76" s="32" t="s">
        <v>141</v>
      </c>
      <c r="B76" s="25"/>
      <c r="C76" s="155"/>
      <c r="D76" s="151"/>
    </row>
    <row r="78" spans="1:4" x14ac:dyDescent="0.35">
      <c r="A78" s="1">
        <v>9</v>
      </c>
      <c r="B78" s="27" t="s">
        <v>158</v>
      </c>
      <c r="C78" s="152"/>
    </row>
    <row r="79" spans="1:4" ht="39" customHeight="1" x14ac:dyDescent="0.35">
      <c r="A79" s="68" t="s">
        <v>139</v>
      </c>
      <c r="B79" s="34" t="s">
        <v>140</v>
      </c>
      <c r="C79" s="153" t="s">
        <v>149</v>
      </c>
      <c r="D79" s="147" t="s">
        <v>150</v>
      </c>
    </row>
    <row r="80" spans="1:4" x14ac:dyDescent="0.35">
      <c r="A80" s="25" t="s">
        <v>380</v>
      </c>
      <c r="B80" s="155" t="s">
        <v>384</v>
      </c>
      <c r="C80" s="155">
        <v>300</v>
      </c>
      <c r="D80" s="151">
        <v>0.08</v>
      </c>
    </row>
    <row r="81" spans="1:4" x14ac:dyDescent="0.35">
      <c r="A81" s="25" t="s">
        <v>383</v>
      </c>
      <c r="B81" s="155" t="s">
        <v>384</v>
      </c>
      <c r="C81" s="155">
        <v>300</v>
      </c>
      <c r="D81" s="151">
        <v>0.08</v>
      </c>
    </row>
    <row r="82" spans="1:4" x14ac:dyDescent="0.35">
      <c r="A82" s="25" t="s">
        <v>382</v>
      </c>
      <c r="B82" s="155" t="s">
        <v>384</v>
      </c>
      <c r="C82" s="155">
        <v>300</v>
      </c>
      <c r="D82" s="151">
        <v>0.08</v>
      </c>
    </row>
    <row r="83" spans="1:4" x14ac:dyDescent="0.35">
      <c r="A83" s="25" t="s">
        <v>381</v>
      </c>
      <c r="B83" s="155" t="s">
        <v>384</v>
      </c>
      <c r="C83" s="155">
        <v>300</v>
      </c>
      <c r="D83" s="151">
        <v>0.08</v>
      </c>
    </row>
    <row r="84" spans="1:4" x14ac:dyDescent="0.35">
      <c r="A84" s="25"/>
      <c r="B84" s="25"/>
      <c r="C84" s="155"/>
      <c r="D84" s="151"/>
    </row>
    <row r="85" spans="1:4" x14ac:dyDescent="0.35">
      <c r="A85" s="32" t="s">
        <v>141</v>
      </c>
      <c r="B85" s="25"/>
      <c r="C85" s="155"/>
      <c r="D85" s="151"/>
    </row>
    <row r="87" spans="1:4" x14ac:dyDescent="0.35">
      <c r="A87" s="164" t="s">
        <v>377</v>
      </c>
      <c r="B87" s="164"/>
      <c r="C87" s="164"/>
      <c r="D87" s="164"/>
    </row>
  </sheetData>
  <mergeCells count="9">
    <mergeCell ref="A87:D87"/>
    <mergeCell ref="A8:D8"/>
    <mergeCell ref="A6:D6"/>
    <mergeCell ref="A7:D7"/>
    <mergeCell ref="A1:D1"/>
    <mergeCell ref="A2:D2"/>
    <mergeCell ref="A3:D3"/>
    <mergeCell ref="A4:D4"/>
    <mergeCell ref="A5:D5"/>
  </mergeCells>
  <pageMargins left="0.25" right="0.25" top="0.75" bottom="0.75" header="0.3" footer="0.3"/>
  <pageSetup orientation="portrait" verticalDpi="0" r:id="rId1"/>
  <headerFooter differentOddEven="1">
    <oddHeader>&amp;L&amp;9Request for Proposal for
Ground Maintenance Equipment
Issued by the Commonwealth of Virginia
Solicitation Number RFP 61514&amp;R&amp;G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cb717a9-88b3-4d85-a9af-7b75d721f342">
      <Terms xmlns="http://schemas.microsoft.com/office/infopath/2007/PartnerControls"/>
    </lcf76f155ced4ddcb4097134ff3c332f>
    <Date xmlns="4cb717a9-88b3-4d85-a9af-7b75d721f342" xsi:nil="true"/>
    <TaxCatchAll xmlns="ce26e2f0-bc64-4237-ac5f-f28e2fa88ca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34A6447D8825A4499A745D9BAD347C1" ma:contentTypeVersion="14" ma:contentTypeDescription="Create a new document." ma:contentTypeScope="" ma:versionID="e1beff370165b0698a30551a2d327213">
  <xsd:schema xmlns:xsd="http://www.w3.org/2001/XMLSchema" xmlns:xs="http://www.w3.org/2001/XMLSchema" xmlns:p="http://schemas.microsoft.com/office/2006/metadata/properties" xmlns:ns2="4cb717a9-88b3-4d85-a9af-7b75d721f342" xmlns:ns3="ce26e2f0-bc64-4237-ac5f-f28e2fa88ca7" targetNamespace="http://schemas.microsoft.com/office/2006/metadata/properties" ma:root="true" ma:fieldsID="0f356cd2423247ff8c18e08b182872f9" ns2:_="" ns3:_="">
    <xsd:import namespace="4cb717a9-88b3-4d85-a9af-7b75d721f342"/>
    <xsd:import namespace="ce26e2f0-bc64-4237-ac5f-f28e2fa88ca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Dat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b717a9-88b3-4d85-a9af-7b75d721f3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Date" ma:index="17" nillable="true" ma:displayName="Date" ma:format="DateOnly" ma:internalName="Date">
      <xsd:simpleType>
        <xsd:restriction base="dms:DateTim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36e4684-8df5-4cb5-8ef7-a8da9d9fc000"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e26e2f0-bc64-4237-ac5f-f28e2fa88ca7"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9f7796eb-2c7b-405e-9617-712447d4d379}" ma:internalName="TaxCatchAll" ma:showField="CatchAllData" ma:web="ce26e2f0-bc64-4237-ac5f-f28e2fa88c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A47877-7377-4A63-973A-FDDE729FBCAE}">
  <ds:schemaRefs>
    <ds:schemaRef ds:uri="http://schemas.microsoft.com/sharepoint/v3/contenttype/forms"/>
  </ds:schemaRefs>
</ds:datastoreItem>
</file>

<file path=customXml/itemProps2.xml><?xml version="1.0" encoding="utf-8"?>
<ds:datastoreItem xmlns:ds="http://schemas.openxmlformats.org/officeDocument/2006/customXml" ds:itemID="{EB9DDE3D-BCFC-447A-B0FC-6046A958A742}">
  <ds:schemaRefs>
    <ds:schemaRef ds:uri="http://schemas.microsoft.com/office/2006/metadata/properties"/>
    <ds:schemaRef ds:uri="http://schemas.microsoft.com/office/infopath/2007/PartnerControls"/>
    <ds:schemaRef ds:uri="4cb717a9-88b3-4d85-a9af-7b75d721f342"/>
    <ds:schemaRef ds:uri="ce26e2f0-bc64-4237-ac5f-f28e2fa88ca7"/>
  </ds:schemaRefs>
</ds:datastoreItem>
</file>

<file path=customXml/itemProps3.xml><?xml version="1.0" encoding="utf-8"?>
<ds:datastoreItem xmlns:ds="http://schemas.openxmlformats.org/officeDocument/2006/customXml" ds:itemID="{D181CF31-CB67-454D-AE03-2B6FC520D4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b717a9-88b3-4d85-a9af-7b75d721f342"/>
    <ds:schemaRef ds:uri="ce26e2f0-bc64-4237-ac5f-f28e2fa88c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vt:lpstr>
      <vt:lpstr>Number Proposed categories</vt:lpstr>
      <vt:lpstr>Market Basket Evaluation</vt:lpstr>
      <vt:lpstr>Products Discount % Off Eval</vt:lpstr>
      <vt:lpstr>Product Volume Discount</vt:lpstr>
      <vt:lpstr>'Products Discount % Off Eval'!Print_Area</vt:lpstr>
    </vt:vector>
  </TitlesOfParts>
  <Manager/>
  <Company>VITA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Wrenn, Tracy (DGS)</dc:creator>
  <cp:keywords/>
  <dc:description/>
  <cp:lastModifiedBy>Sabrina Henner</cp:lastModifiedBy>
  <cp:revision/>
  <dcterms:created xsi:type="dcterms:W3CDTF">2024-03-26T14:05:19Z</dcterms:created>
  <dcterms:modified xsi:type="dcterms:W3CDTF">2026-03-27T20:30:22Z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0x010100E34A6447D8825A4499A745D9BAD347C1</vt:lpwstr>
  </property>
  <property fmtid="{D5CDD505-2E9C-101B-9397-08002B2CF9AE}" pid="3" name="MediaServiceImageTags">
    <vt:lpwstr/>
  </property>
</Properties>
</file>