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naTotzke\Desktop\PAs for Posting\"/>
    </mc:Choice>
  </mc:AlternateContent>
  <xr:revisionPtr revIDLastSave="0" documentId="8_{695FD30E-77BF-4214-9B53-EC46A280AC59}" xr6:coauthVersionLast="47" xr6:coauthVersionMax="47" xr10:uidLastSave="{00000000-0000-0000-0000-000000000000}"/>
  <bookViews>
    <workbookView xWindow="3990" yWindow="1185" windowWidth="21840" windowHeight="14925" tabRatio="832" xr2:uid="{00000000-000D-0000-FFFF-FFFF00000000}"/>
  </bookViews>
  <sheets>
    <sheet name="Sch A - Cost Summary" sheetId="20" r:id="rId1"/>
    <sheet name="Sch B- DDI Pmnt Milestone" sheetId="21" r:id="rId2"/>
    <sheet name="Sch C - Cost of Ops" sheetId="22" r:id="rId3"/>
    <sheet name="Sch D - Enhcmt Pool Hrs" sheetId="23" r:id="rId4"/>
    <sheet name="Sch E - Resource Hourly Rates" sheetId="7" r:id="rId5"/>
    <sheet name="F-1 Provider Svcs DDI Costs" sheetId="8" r:id="rId6"/>
    <sheet name="F-2 Provider Svcs Ops Costs" sheetId="9" r:id="rId7"/>
    <sheet name="F-3 Provider Svcs DDI Pool Cost" sheetId="10" r:id="rId8"/>
    <sheet name="F-4 Provider Svcs Ops Pool" sheetId="11" r:id="rId9"/>
    <sheet name="G-1 Provider Svcs DDI Cost" sheetId="12" r:id="rId10"/>
    <sheet name="G-2 Provider Svcs Ops Cost" sheetId="13" r:id="rId11"/>
    <sheet name="G-3 Provider Svcs DDI Pool" sheetId="14" r:id="rId12"/>
    <sheet name="G-4 Provider Svcs Ops Pool" sheetId="15" r:id="rId13"/>
    <sheet name="H-1 Provider Svcs DDI Cost" sheetId="16" r:id="rId14"/>
    <sheet name="H-2 Provider Svcs Ops Cost" sheetId="17" r:id="rId15"/>
    <sheet name="H-3 Provider Svcs DDI Pool" sheetId="18" r:id="rId16"/>
    <sheet name="H-4 Provider Svcs Ops Pool" sheetId="19" r:id="rId17"/>
  </sheets>
  <definedNames>
    <definedName name="__FDS_HYPERLINK_TOGGLE_STATE__" hidden="1">"ON"</definedName>
    <definedName name="_xlnm._FilterDatabase" localSheetId="6" hidden="1">'F-2 Provider Svcs Ops Costs'!#REF!</definedName>
    <definedName name="_xlnm._FilterDatabase" localSheetId="0" hidden="1">'Sch A - Cost Summary'!$A$4:$C$4</definedName>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m19" localSheetId="0" hidden="1">{"rfcjan",#N/A,FALSE,"Stats"}</definedName>
    <definedName name="_m19" localSheetId="1" hidden="1">{"rfcjan",#N/A,FALSE,"Stats"}</definedName>
    <definedName name="_m19" localSheetId="2" hidden="1">{"rfcjan",#N/A,FALSE,"Stats"}</definedName>
    <definedName name="_m19" localSheetId="3" hidden="1">{"rfcjan",#N/A,FALSE,"Stats"}</definedName>
    <definedName name="_m19" hidden="1">{"rfcjan",#N/A,FALSE,"Stats"}</definedName>
    <definedName name="_n10" localSheetId="0" hidden="1">{"rfcjan",#N/A,FALSE,"Stats"}</definedName>
    <definedName name="_n10" localSheetId="1" hidden="1">{"rfcjan",#N/A,FALSE,"Stats"}</definedName>
    <definedName name="_n10" localSheetId="2" hidden="1">{"rfcjan",#N/A,FALSE,"Stats"}</definedName>
    <definedName name="_n10" localSheetId="3" hidden="1">{"rfcjan",#N/A,FALSE,"Stats"}</definedName>
    <definedName name="_n10" hidden="1">{"rfcjan",#N/A,FALSE,"Stats"}</definedName>
    <definedName name="_n11" localSheetId="0" hidden="1">{"rfcjan",#N/A,FALSE,"Stats"}</definedName>
    <definedName name="_n11" localSheetId="1" hidden="1">{"rfcjan",#N/A,FALSE,"Stats"}</definedName>
    <definedName name="_n11" localSheetId="2" hidden="1">{"rfcjan",#N/A,FALSE,"Stats"}</definedName>
    <definedName name="_n11" localSheetId="3" hidden="1">{"rfcjan",#N/A,FALSE,"Stats"}</definedName>
    <definedName name="_n11" hidden="1">{"rfcjan",#N/A,FALSE,"Stats"}</definedName>
    <definedName name="_n12" localSheetId="0" hidden="1">{"JANRDET",#N/A,FALSE,"detail"}</definedName>
    <definedName name="_n12" localSheetId="1" hidden="1">{"JANRDET",#N/A,FALSE,"detail"}</definedName>
    <definedName name="_n12" localSheetId="2" hidden="1">{"JANRDET",#N/A,FALSE,"detail"}</definedName>
    <definedName name="_n12" localSheetId="3" hidden="1">{"JANRDET",#N/A,FALSE,"detail"}</definedName>
    <definedName name="_n12" hidden="1">{"JANRDET",#N/A,FALSE,"detail"}</definedName>
    <definedName name="_n13" localSheetId="0" hidden="1">{"JANRDET",#N/A,FALSE,"detail"}</definedName>
    <definedName name="_n13" localSheetId="1" hidden="1">{"JANRDET",#N/A,FALSE,"detail"}</definedName>
    <definedName name="_n13" localSheetId="2" hidden="1">{"JANRDET",#N/A,FALSE,"detail"}</definedName>
    <definedName name="_n13" localSheetId="3" hidden="1">{"JANRDET",#N/A,FALSE,"detail"}</definedName>
    <definedName name="_n13" hidden="1">{"JANRDET",#N/A,FALSE,"detail"}</definedName>
    <definedName name="_n14" localSheetId="0" hidden="1">{"testysht3",#N/A,FALSE,"Sheet3"}</definedName>
    <definedName name="_n14" localSheetId="1" hidden="1">{"testysht3",#N/A,FALSE,"Sheet3"}</definedName>
    <definedName name="_n14" localSheetId="2" hidden="1">{"testysht3",#N/A,FALSE,"Sheet3"}</definedName>
    <definedName name="_n14" localSheetId="3" hidden="1">{"testysht3",#N/A,FALSE,"Sheet3"}</definedName>
    <definedName name="_n14" hidden="1">{"testysht3",#N/A,FALSE,"Sheet3"}</definedName>
    <definedName name="_n15" localSheetId="0" hidden="1">{"testysht3",#N/A,FALSE,"Sheet3"}</definedName>
    <definedName name="_n15" localSheetId="1" hidden="1">{"testysht3",#N/A,FALSE,"Sheet3"}</definedName>
    <definedName name="_n15" localSheetId="2" hidden="1">{"testysht3",#N/A,FALSE,"Sheet3"}</definedName>
    <definedName name="_n15" localSheetId="3" hidden="1">{"testysht3",#N/A,FALSE,"Sheet3"}</definedName>
    <definedName name="_n15" hidden="1">{"testysht3",#N/A,FALSE,"Sheet3"}</definedName>
    <definedName name="_n16" localSheetId="0" hidden="1">{"rfcjan",#N/A,FALSE,"Stats"}</definedName>
    <definedName name="_n16" localSheetId="1" hidden="1">{"rfcjan",#N/A,FALSE,"Stats"}</definedName>
    <definedName name="_n16" localSheetId="2" hidden="1">{"rfcjan",#N/A,FALSE,"Stats"}</definedName>
    <definedName name="_n16" localSheetId="3" hidden="1">{"rfcjan",#N/A,FALSE,"Stats"}</definedName>
    <definedName name="_n16" hidden="1">{"rfcjan",#N/A,FALSE,"Stats"}</definedName>
    <definedName name="_n17" localSheetId="0" hidden="1">{"rfcjan",#N/A,FALSE,"Stats"}</definedName>
    <definedName name="_n17" localSheetId="1" hidden="1">{"rfcjan",#N/A,FALSE,"Stats"}</definedName>
    <definedName name="_n17" localSheetId="2" hidden="1">{"rfcjan",#N/A,FALSE,"Stats"}</definedName>
    <definedName name="_n17" localSheetId="3" hidden="1">{"rfcjan",#N/A,FALSE,"Stats"}</definedName>
    <definedName name="_n17" hidden="1">{"rfcjan",#N/A,FALSE,"Stats"}</definedName>
    <definedName name="_n18" localSheetId="0" hidden="1">{"rfcjan",#N/A,FALSE,"Stats"}</definedName>
    <definedName name="_n18" localSheetId="1" hidden="1">{"rfcjan",#N/A,FALSE,"Stats"}</definedName>
    <definedName name="_n18" localSheetId="2" hidden="1">{"rfcjan",#N/A,FALSE,"Stats"}</definedName>
    <definedName name="_n18" localSheetId="3" hidden="1">{"rfcjan",#N/A,FALSE,"Stats"}</definedName>
    <definedName name="_n18" hidden="1">{"rfcjan",#N/A,FALSE,"Stats"}</definedName>
    <definedName name="_n21" localSheetId="0" hidden="1">{"rfcjan",#N/A,FALSE,"Stats"}</definedName>
    <definedName name="_n21" localSheetId="1" hidden="1">{"rfcjan",#N/A,FALSE,"Stats"}</definedName>
    <definedName name="_n21" localSheetId="2" hidden="1">{"rfcjan",#N/A,FALSE,"Stats"}</definedName>
    <definedName name="_n21" localSheetId="3" hidden="1">{"rfcjan",#N/A,FALSE,"Stats"}</definedName>
    <definedName name="_n21" hidden="1">{"rfcjan",#N/A,FALSE,"Stats"}</definedName>
    <definedName name="_n23" localSheetId="0" hidden="1">{"rfcjan",#N/A,FALSE,"Stats"}</definedName>
    <definedName name="_n23" localSheetId="1" hidden="1">{"rfcjan",#N/A,FALSE,"Stats"}</definedName>
    <definedName name="_n23" localSheetId="2" hidden="1">{"rfcjan",#N/A,FALSE,"Stats"}</definedName>
    <definedName name="_n23" localSheetId="3" hidden="1">{"rfcjan",#N/A,FALSE,"Stats"}</definedName>
    <definedName name="_n23" hidden="1">{"rfcjan",#N/A,FALSE,"Stats"}</definedName>
    <definedName name="_n24" localSheetId="0" hidden="1">{"rfcjan",#N/A,FALSE,"Stats"}</definedName>
    <definedName name="_n24" localSheetId="1" hidden="1">{"rfcjan",#N/A,FALSE,"Stats"}</definedName>
    <definedName name="_n24" localSheetId="2" hidden="1">{"rfcjan",#N/A,FALSE,"Stats"}</definedName>
    <definedName name="_n24" localSheetId="3" hidden="1">{"rfcjan",#N/A,FALSE,"Stats"}</definedName>
    <definedName name="_n24" hidden="1">{"rfcjan",#N/A,FALSE,"Stats"}</definedName>
    <definedName name="_n25" localSheetId="0" hidden="1">{"rfcjan",#N/A,FALSE,"Stats"}</definedName>
    <definedName name="_n25" localSheetId="1" hidden="1">{"rfcjan",#N/A,FALSE,"Stats"}</definedName>
    <definedName name="_n25" localSheetId="2" hidden="1">{"rfcjan",#N/A,FALSE,"Stats"}</definedName>
    <definedName name="_n25" localSheetId="3" hidden="1">{"rfcjan",#N/A,FALSE,"Stats"}</definedName>
    <definedName name="_n25" hidden="1">{"rfcjan",#N/A,FALSE,"Stats"}</definedName>
    <definedName name="_n26" localSheetId="0" hidden="1">{"rfcjan",#N/A,FALSE,"Stats"}</definedName>
    <definedName name="_n26" localSheetId="1" hidden="1">{"rfcjan",#N/A,FALSE,"Stats"}</definedName>
    <definedName name="_n26" localSheetId="2" hidden="1">{"rfcjan",#N/A,FALSE,"Stats"}</definedName>
    <definedName name="_n26" localSheetId="3" hidden="1">{"rfcjan",#N/A,FALSE,"Stats"}</definedName>
    <definedName name="_n26" hidden="1">{"rfcjan",#N/A,FALSE,"Stats"}</definedName>
    <definedName name="_n27" localSheetId="0" hidden="1">{"rfcjan",#N/A,FALSE,"Stats"}</definedName>
    <definedName name="_n27" localSheetId="1" hidden="1">{"rfcjan",#N/A,FALSE,"Stats"}</definedName>
    <definedName name="_n27" localSheetId="2" hidden="1">{"rfcjan",#N/A,FALSE,"Stats"}</definedName>
    <definedName name="_n27" localSheetId="3" hidden="1">{"rfcjan",#N/A,FALSE,"Stats"}</definedName>
    <definedName name="_n27" hidden="1">{"rfcjan",#N/A,FALSE,"Stats"}</definedName>
    <definedName name="_n28" localSheetId="0" hidden="1">{"JANRDET",#N/A,FALSE,"detail"}</definedName>
    <definedName name="_n28" localSheetId="1" hidden="1">{"JANRDET",#N/A,FALSE,"detail"}</definedName>
    <definedName name="_n28" localSheetId="2" hidden="1">{"JANRDET",#N/A,FALSE,"detail"}</definedName>
    <definedName name="_n28" localSheetId="3" hidden="1">{"JANRDET",#N/A,FALSE,"detail"}</definedName>
    <definedName name="_n28" hidden="1">{"JANRDET",#N/A,FALSE,"detail"}</definedName>
    <definedName name="_n29" localSheetId="0" hidden="1">{"testysht3",#N/A,FALSE,"Sheet3"}</definedName>
    <definedName name="_n29" localSheetId="1" hidden="1">{"testysht3",#N/A,FALSE,"Sheet3"}</definedName>
    <definedName name="_n29" localSheetId="2" hidden="1">{"testysht3",#N/A,FALSE,"Sheet3"}</definedName>
    <definedName name="_n29" localSheetId="3" hidden="1">{"testysht3",#N/A,FALSE,"Sheet3"}</definedName>
    <definedName name="_n29" hidden="1">{"testysht3",#N/A,FALSE,"Sheet3"}</definedName>
    <definedName name="_n3" localSheetId="0" hidden="1">{"rfcjan",#N/A,FALSE,"Stats"}</definedName>
    <definedName name="_n3" localSheetId="1" hidden="1">{"rfcjan",#N/A,FALSE,"Stats"}</definedName>
    <definedName name="_n3" localSheetId="2" hidden="1">{"rfcjan",#N/A,FALSE,"Stats"}</definedName>
    <definedName name="_n3" localSheetId="3" hidden="1">{"rfcjan",#N/A,FALSE,"Stats"}</definedName>
    <definedName name="_n3" hidden="1">{"rfcjan",#N/A,FALSE,"Stats"}</definedName>
    <definedName name="_n30" localSheetId="0" hidden="1">{"testysht3",#N/A,FALSE,"Sheet3"}</definedName>
    <definedName name="_n30" localSheetId="1" hidden="1">{"testysht3",#N/A,FALSE,"Sheet3"}</definedName>
    <definedName name="_n30" localSheetId="2" hidden="1">{"testysht3",#N/A,FALSE,"Sheet3"}</definedName>
    <definedName name="_n30" localSheetId="3" hidden="1">{"testysht3",#N/A,FALSE,"Sheet3"}</definedName>
    <definedName name="_n30" hidden="1">{"testysht3",#N/A,FALSE,"Sheet3"}</definedName>
    <definedName name="_n31" localSheetId="0" hidden="1">{"rfcjan",#N/A,FALSE,"Stats"}</definedName>
    <definedName name="_n31" localSheetId="1" hidden="1">{"rfcjan",#N/A,FALSE,"Stats"}</definedName>
    <definedName name="_n31" localSheetId="2" hidden="1">{"rfcjan",#N/A,FALSE,"Stats"}</definedName>
    <definedName name="_n31" localSheetId="3" hidden="1">{"rfcjan",#N/A,FALSE,"Stats"}</definedName>
    <definedName name="_n31" hidden="1">{"rfcjan",#N/A,FALSE,"Stats"}</definedName>
    <definedName name="_n32" localSheetId="0" hidden="1">{"JANRDET",#N/A,FALSE,"detail"}</definedName>
    <definedName name="_n32" localSheetId="1" hidden="1">{"JANRDET",#N/A,FALSE,"detail"}</definedName>
    <definedName name="_n32" localSheetId="2" hidden="1">{"JANRDET",#N/A,FALSE,"detail"}</definedName>
    <definedName name="_n32" localSheetId="3" hidden="1">{"JANRDET",#N/A,FALSE,"detail"}</definedName>
    <definedName name="_n32" hidden="1">{"JANRDET",#N/A,FALSE,"detail"}</definedName>
    <definedName name="_n4" localSheetId="0" hidden="1">{"rfcjan",#N/A,FALSE,"Stats"}</definedName>
    <definedName name="_n4" localSheetId="1" hidden="1">{"rfcjan",#N/A,FALSE,"Stats"}</definedName>
    <definedName name="_n4" localSheetId="2" hidden="1">{"rfcjan",#N/A,FALSE,"Stats"}</definedName>
    <definedName name="_n4" localSheetId="3" hidden="1">{"rfcjan",#N/A,FALSE,"Stats"}</definedName>
    <definedName name="_n4" hidden="1">{"rfcjan",#N/A,FALSE,"Stats"}</definedName>
    <definedName name="_n5" localSheetId="0" hidden="1">{"rfcjan",#N/A,FALSE,"Stats"}</definedName>
    <definedName name="_n5" localSheetId="1" hidden="1">{"rfcjan",#N/A,FALSE,"Stats"}</definedName>
    <definedName name="_n5" localSheetId="2" hidden="1">{"rfcjan",#N/A,FALSE,"Stats"}</definedName>
    <definedName name="_n5" localSheetId="3" hidden="1">{"rfcjan",#N/A,FALSE,"Stats"}</definedName>
    <definedName name="_n5" hidden="1">{"rfcjan",#N/A,FALSE,"Stats"}</definedName>
    <definedName name="_n6" localSheetId="0" hidden="1">{"JANRDET",#N/A,FALSE,"detail"}</definedName>
    <definedName name="_n6" localSheetId="1" hidden="1">{"JANRDET",#N/A,FALSE,"detail"}</definedName>
    <definedName name="_n6" localSheetId="2" hidden="1">{"JANRDET",#N/A,FALSE,"detail"}</definedName>
    <definedName name="_n6" localSheetId="3" hidden="1">{"JANRDET",#N/A,FALSE,"detail"}</definedName>
    <definedName name="_n6" hidden="1">{"JANRDET",#N/A,FALSE,"detail"}</definedName>
    <definedName name="_n7" localSheetId="0" hidden="1">{"JANRDET",#N/A,FALSE,"detail"}</definedName>
    <definedName name="_n7" localSheetId="1" hidden="1">{"JANRDET",#N/A,FALSE,"detail"}</definedName>
    <definedName name="_n7" localSheetId="2" hidden="1">{"JANRDET",#N/A,FALSE,"detail"}</definedName>
    <definedName name="_n7" localSheetId="3" hidden="1">{"JANRDET",#N/A,FALSE,"detail"}</definedName>
    <definedName name="_n7" hidden="1">{"JANRDET",#N/A,FALSE,"detail"}</definedName>
    <definedName name="_n8" localSheetId="0" hidden="1">{"testysht3",#N/A,FALSE,"Sheet3"}</definedName>
    <definedName name="_n8" localSheetId="1" hidden="1">{"testysht3",#N/A,FALSE,"Sheet3"}</definedName>
    <definedName name="_n8" localSheetId="2" hidden="1">{"testysht3",#N/A,FALSE,"Sheet3"}</definedName>
    <definedName name="_n8" localSheetId="3" hidden="1">{"testysht3",#N/A,FALSE,"Sheet3"}</definedName>
    <definedName name="_n8" hidden="1">{"testysht3",#N/A,FALSE,"Sheet3"}</definedName>
    <definedName name="_n9" localSheetId="0" hidden="1">{"testysht3",#N/A,FALSE,"Sheet3"}</definedName>
    <definedName name="_n9" localSheetId="1" hidden="1">{"testysht3",#N/A,FALSE,"Sheet3"}</definedName>
    <definedName name="_n9" localSheetId="2" hidden="1">{"testysht3",#N/A,FALSE,"Sheet3"}</definedName>
    <definedName name="_n9" localSheetId="3" hidden="1">{"testysht3",#N/A,FALSE,"Sheet3"}</definedName>
    <definedName name="_n9" hidden="1">{"testysht3",#N/A,FALSE,"Sheet3"}</definedName>
    <definedName name="_new1" localSheetId="0" hidden="1">{"rfcjan",#N/A,FALSE,"Stats"}</definedName>
    <definedName name="_new1" localSheetId="1" hidden="1">{"rfcjan",#N/A,FALSE,"Stats"}</definedName>
    <definedName name="_new1" localSheetId="2" hidden="1">{"rfcjan",#N/A,FALSE,"Stats"}</definedName>
    <definedName name="_new1" localSheetId="3" hidden="1">{"rfcjan",#N/A,FALSE,"Stats"}</definedName>
    <definedName name="_new1" hidden="1">{"rfcjan",#N/A,FALSE,"Stats"}</definedName>
    <definedName name="_new10" localSheetId="0" hidden="1">{"rfcjan",#N/A,FALSE,"Stats"}</definedName>
    <definedName name="_new10" localSheetId="1" hidden="1">{"rfcjan",#N/A,FALSE,"Stats"}</definedName>
    <definedName name="_new10" localSheetId="2" hidden="1">{"rfcjan",#N/A,FALSE,"Stats"}</definedName>
    <definedName name="_new10" localSheetId="3" hidden="1">{"rfcjan",#N/A,FALSE,"Stats"}</definedName>
    <definedName name="_new10" hidden="1">{"rfcjan",#N/A,FALSE,"Stats"}</definedName>
    <definedName name="_new11" localSheetId="0" hidden="1">{"rfcjan",#N/A,FALSE,"Stats"}</definedName>
    <definedName name="_new11" localSheetId="1" hidden="1">{"rfcjan",#N/A,FALSE,"Stats"}</definedName>
    <definedName name="_new11" localSheetId="2" hidden="1">{"rfcjan",#N/A,FALSE,"Stats"}</definedName>
    <definedName name="_new11" localSheetId="3" hidden="1">{"rfcjan",#N/A,FALSE,"Stats"}</definedName>
    <definedName name="_new11" hidden="1">{"rfcjan",#N/A,FALSE,"Stats"}</definedName>
    <definedName name="_new12" localSheetId="0" hidden="1">{"rfcjan",#N/A,FALSE,"Stats"}</definedName>
    <definedName name="_new12" localSheetId="1" hidden="1">{"rfcjan",#N/A,FALSE,"Stats"}</definedName>
    <definedName name="_new12" localSheetId="2" hidden="1">{"rfcjan",#N/A,FALSE,"Stats"}</definedName>
    <definedName name="_new12" localSheetId="3" hidden="1">{"rfcjan",#N/A,FALSE,"Stats"}</definedName>
    <definedName name="_new12" hidden="1">{"rfcjan",#N/A,FALSE,"Stats"}</definedName>
    <definedName name="_new13" localSheetId="0" hidden="1">{"rfcjan",#N/A,FALSE,"Stats"}</definedName>
    <definedName name="_new13" localSheetId="1" hidden="1">{"rfcjan",#N/A,FALSE,"Stats"}</definedName>
    <definedName name="_new13" localSheetId="2" hidden="1">{"rfcjan",#N/A,FALSE,"Stats"}</definedName>
    <definedName name="_new13" localSheetId="3" hidden="1">{"rfcjan",#N/A,FALSE,"Stats"}</definedName>
    <definedName name="_new13" hidden="1">{"rfcjan",#N/A,FALSE,"Stats"}</definedName>
    <definedName name="_new14" localSheetId="0" hidden="1">{"rfcjan",#N/A,FALSE,"Stats"}</definedName>
    <definedName name="_new14" localSheetId="1" hidden="1">{"rfcjan",#N/A,FALSE,"Stats"}</definedName>
    <definedName name="_new14" localSheetId="2" hidden="1">{"rfcjan",#N/A,FALSE,"Stats"}</definedName>
    <definedName name="_new14" localSheetId="3" hidden="1">{"rfcjan",#N/A,FALSE,"Stats"}</definedName>
    <definedName name="_new14" hidden="1">{"rfcjan",#N/A,FALSE,"Stats"}</definedName>
    <definedName name="_new15" localSheetId="0" hidden="1">{"rfcjan",#N/A,FALSE,"Stats"}</definedName>
    <definedName name="_new15" localSheetId="1" hidden="1">{"rfcjan",#N/A,FALSE,"Stats"}</definedName>
    <definedName name="_new15" localSheetId="2" hidden="1">{"rfcjan",#N/A,FALSE,"Stats"}</definedName>
    <definedName name="_new15" localSheetId="3" hidden="1">{"rfcjan",#N/A,FALSE,"Stats"}</definedName>
    <definedName name="_new15" hidden="1">{"rfcjan",#N/A,FALSE,"Stats"}</definedName>
    <definedName name="_new16" localSheetId="0" hidden="1">{"rfcjan",#N/A,FALSE,"Stats"}</definedName>
    <definedName name="_new16" localSheetId="1" hidden="1">{"rfcjan",#N/A,FALSE,"Stats"}</definedName>
    <definedName name="_new16" localSheetId="2" hidden="1">{"rfcjan",#N/A,FALSE,"Stats"}</definedName>
    <definedName name="_new16" localSheetId="3" hidden="1">{"rfcjan",#N/A,FALSE,"Stats"}</definedName>
    <definedName name="_new16" hidden="1">{"rfcjan",#N/A,FALSE,"Stats"}</definedName>
    <definedName name="_new17" localSheetId="0" hidden="1">{"rfcjan",#N/A,FALSE,"Stats"}</definedName>
    <definedName name="_new17" localSheetId="1" hidden="1">{"rfcjan",#N/A,FALSE,"Stats"}</definedName>
    <definedName name="_new17" localSheetId="2" hidden="1">{"rfcjan",#N/A,FALSE,"Stats"}</definedName>
    <definedName name="_new17" localSheetId="3" hidden="1">{"rfcjan",#N/A,FALSE,"Stats"}</definedName>
    <definedName name="_new17" hidden="1">{"rfcjan",#N/A,FALSE,"Stats"}</definedName>
    <definedName name="_new18" localSheetId="0" hidden="1">{"rfcjan",#N/A,FALSE,"Stats"}</definedName>
    <definedName name="_new18" localSheetId="1" hidden="1">{"rfcjan",#N/A,FALSE,"Stats"}</definedName>
    <definedName name="_new18" localSheetId="2" hidden="1">{"rfcjan",#N/A,FALSE,"Stats"}</definedName>
    <definedName name="_new18" localSheetId="3" hidden="1">{"rfcjan",#N/A,FALSE,"Stats"}</definedName>
    <definedName name="_new18" hidden="1">{"rfcjan",#N/A,FALSE,"Stats"}</definedName>
    <definedName name="_new19" localSheetId="0" hidden="1">{"rfcjan",#N/A,FALSE,"Stats"}</definedName>
    <definedName name="_new19" localSheetId="1" hidden="1">{"rfcjan",#N/A,FALSE,"Stats"}</definedName>
    <definedName name="_new19" localSheetId="2" hidden="1">{"rfcjan",#N/A,FALSE,"Stats"}</definedName>
    <definedName name="_new19" localSheetId="3" hidden="1">{"rfcjan",#N/A,FALSE,"Stats"}</definedName>
    <definedName name="_new19" hidden="1">{"rfcjan",#N/A,FALSE,"Stats"}</definedName>
    <definedName name="_new2" localSheetId="0" hidden="1">{"testysht3",#N/A,FALSE,"Sheet3"}</definedName>
    <definedName name="_new2" localSheetId="1" hidden="1">{"testysht3",#N/A,FALSE,"Sheet3"}</definedName>
    <definedName name="_new2" localSheetId="2" hidden="1">{"testysht3",#N/A,FALSE,"Sheet3"}</definedName>
    <definedName name="_new2" localSheetId="3" hidden="1">{"testysht3",#N/A,FALSE,"Sheet3"}</definedName>
    <definedName name="_new2" hidden="1">{"testysht3",#N/A,FALSE,"Sheet3"}</definedName>
    <definedName name="_new20" localSheetId="0" hidden="1">{"rfcjan",#N/A,FALSE,"Stats"}</definedName>
    <definedName name="_new20" localSheetId="1" hidden="1">{"rfcjan",#N/A,FALSE,"Stats"}</definedName>
    <definedName name="_new20" localSheetId="2" hidden="1">{"rfcjan",#N/A,FALSE,"Stats"}</definedName>
    <definedName name="_new20" localSheetId="3" hidden="1">{"rfcjan",#N/A,FALSE,"Stats"}</definedName>
    <definedName name="_new20" hidden="1">{"rfcjan",#N/A,FALSE,"Stats"}</definedName>
    <definedName name="_new21" localSheetId="0" hidden="1">{"rfcjan",#N/A,FALSE,"Stats"}</definedName>
    <definedName name="_new21" localSheetId="1" hidden="1">{"rfcjan",#N/A,FALSE,"Stats"}</definedName>
    <definedName name="_new21" localSheetId="2" hidden="1">{"rfcjan",#N/A,FALSE,"Stats"}</definedName>
    <definedName name="_new21" localSheetId="3" hidden="1">{"rfcjan",#N/A,FALSE,"Stats"}</definedName>
    <definedName name="_new21" hidden="1">{"rfcjan",#N/A,FALSE,"Stats"}</definedName>
    <definedName name="_new3" localSheetId="0" hidden="1">{"rfcjan",#N/A,FALSE,"Stats"}</definedName>
    <definedName name="_new3" localSheetId="1" hidden="1">{"rfcjan",#N/A,FALSE,"Stats"}</definedName>
    <definedName name="_new3" localSheetId="2" hidden="1">{"rfcjan",#N/A,FALSE,"Stats"}</definedName>
    <definedName name="_new3" localSheetId="3" hidden="1">{"rfcjan",#N/A,FALSE,"Stats"}</definedName>
    <definedName name="_new3" hidden="1">{"rfcjan",#N/A,FALSE,"Stats"}</definedName>
    <definedName name="_new4" localSheetId="0" hidden="1">{"JANRDET",#N/A,FALSE,"detail"}</definedName>
    <definedName name="_new4" localSheetId="1" hidden="1">{"JANRDET",#N/A,FALSE,"detail"}</definedName>
    <definedName name="_new4" localSheetId="2" hidden="1">{"JANRDET",#N/A,FALSE,"detail"}</definedName>
    <definedName name="_new4" localSheetId="3" hidden="1">{"JANRDET",#N/A,FALSE,"detail"}</definedName>
    <definedName name="_new4" hidden="1">{"JANRDET",#N/A,FALSE,"detail"}</definedName>
    <definedName name="_new5" localSheetId="0" hidden="1">{"rfcjan",#N/A,FALSE,"Stats"}</definedName>
    <definedName name="_new5" localSheetId="1" hidden="1">{"rfcjan",#N/A,FALSE,"Stats"}</definedName>
    <definedName name="_new5" localSheetId="2" hidden="1">{"rfcjan",#N/A,FALSE,"Stats"}</definedName>
    <definedName name="_new5" localSheetId="3" hidden="1">{"rfcjan",#N/A,FALSE,"Stats"}</definedName>
    <definedName name="_new5" hidden="1">{"rfcjan",#N/A,FALSE,"Stats"}</definedName>
    <definedName name="_new7" localSheetId="0" hidden="1">{"rfcjan",#N/A,FALSE,"Stats"}</definedName>
    <definedName name="_new7" localSheetId="1" hidden="1">{"rfcjan",#N/A,FALSE,"Stats"}</definedName>
    <definedName name="_new7" localSheetId="2" hidden="1">{"rfcjan",#N/A,FALSE,"Stats"}</definedName>
    <definedName name="_new7" localSheetId="3" hidden="1">{"rfcjan",#N/A,FALSE,"Stats"}</definedName>
    <definedName name="_new7" hidden="1">{"rfcjan",#N/A,FALSE,"Stats"}</definedName>
    <definedName name="_new8" localSheetId="0" hidden="1">{"rfcjan",#N/A,FALSE,"Stats"}</definedName>
    <definedName name="_new8" localSheetId="1" hidden="1">{"rfcjan",#N/A,FALSE,"Stats"}</definedName>
    <definedName name="_new8" localSheetId="2" hidden="1">{"rfcjan",#N/A,FALSE,"Stats"}</definedName>
    <definedName name="_new8" localSheetId="3" hidden="1">{"rfcjan",#N/A,FALSE,"Stats"}</definedName>
    <definedName name="_new8" hidden="1">{"rfcjan",#N/A,FALSE,"Stats"}</definedName>
    <definedName name="_new9" localSheetId="0" hidden="1">{"rfcjan",#N/A,FALSE,"Stats"}</definedName>
    <definedName name="_new9" localSheetId="1" hidden="1">{"rfcjan",#N/A,FALSE,"Stats"}</definedName>
    <definedName name="_new9" localSheetId="2" hidden="1">{"rfcjan",#N/A,FALSE,"Stats"}</definedName>
    <definedName name="_new9" localSheetId="3" hidden="1">{"rfcjan",#N/A,FALSE,"Stats"}</definedName>
    <definedName name="_new9" hidden="1">{"rfcjan",#N/A,FALSE,"Stats"}</definedName>
    <definedName name="_nn1" localSheetId="0" hidden="1">{"JANRDET",#N/A,FALSE,"detail"}</definedName>
    <definedName name="_nn1" localSheetId="1" hidden="1">{"JANRDET",#N/A,FALSE,"detail"}</definedName>
    <definedName name="_nn1" localSheetId="2" hidden="1">{"JANRDET",#N/A,FALSE,"detail"}</definedName>
    <definedName name="_nn1" localSheetId="3" hidden="1">{"JANRDET",#N/A,FALSE,"detail"}</definedName>
    <definedName name="_nn1" hidden="1">{"JANRDET",#N/A,FALSE,"detail"}</definedName>
    <definedName name="_nn2" localSheetId="0" hidden="1">{"testysht3",#N/A,FALSE,"Sheet3"}</definedName>
    <definedName name="_nn2" localSheetId="1" hidden="1">{"testysht3",#N/A,FALSE,"Sheet3"}</definedName>
    <definedName name="_nn2" localSheetId="2" hidden="1">{"testysht3",#N/A,FALSE,"Sheet3"}</definedName>
    <definedName name="_nn2" localSheetId="3" hidden="1">{"testysht3",#N/A,FALSE,"Sheet3"}</definedName>
    <definedName name="_nn2" hidden="1">{"testysht3",#N/A,FALSE,"Sheet3"}</definedName>
    <definedName name="_nn3" localSheetId="0" hidden="1">{"testysht3",#N/A,FALSE,"Sheet3"}</definedName>
    <definedName name="_nn3" localSheetId="1" hidden="1">{"testysht3",#N/A,FALSE,"Sheet3"}</definedName>
    <definedName name="_nn3" localSheetId="2" hidden="1">{"testysht3",#N/A,FALSE,"Sheet3"}</definedName>
    <definedName name="_nn3" localSheetId="3" hidden="1">{"testysht3",#N/A,FALSE,"Sheet3"}</definedName>
    <definedName name="_nn3" hidden="1">{"testysht3",#N/A,FALSE,"Sheet3"}</definedName>
    <definedName name="_nn4" localSheetId="0" hidden="1">{"rfcjan",#N/A,FALSE,"Stats"}</definedName>
    <definedName name="_nn4" localSheetId="1" hidden="1">{"rfcjan",#N/A,FALSE,"Stats"}</definedName>
    <definedName name="_nn4" localSheetId="2" hidden="1">{"rfcjan",#N/A,FALSE,"Stats"}</definedName>
    <definedName name="_nn4" localSheetId="3" hidden="1">{"rfcjan",#N/A,FALSE,"Stats"}</definedName>
    <definedName name="_nn4" hidden="1">{"rfcjan",#N/A,FALSE,"Stats"}</definedName>
    <definedName name="_nn5" localSheetId="0" hidden="1">{"rfcjan",#N/A,FALSE,"Stats"}</definedName>
    <definedName name="_nn5" localSheetId="1" hidden="1">{"rfcjan",#N/A,FALSE,"Stats"}</definedName>
    <definedName name="_nn5" localSheetId="2" hidden="1">{"rfcjan",#N/A,FALSE,"Stats"}</definedName>
    <definedName name="_nn5" localSheetId="3" hidden="1">{"rfcjan",#N/A,FALSE,"Stats"}</definedName>
    <definedName name="_nn5" hidden="1">{"rfcjan",#N/A,FALSE,"Stats"}</definedName>
    <definedName name="_nn6" localSheetId="0" hidden="1">{"testysht3",#N/A,FALSE,"Sheet3"}</definedName>
    <definedName name="_nn6" localSheetId="1" hidden="1">{"testysht3",#N/A,FALSE,"Sheet3"}</definedName>
    <definedName name="_nn6" localSheetId="2" hidden="1">{"testysht3",#N/A,FALSE,"Sheet3"}</definedName>
    <definedName name="_nn6" localSheetId="3" hidden="1">{"testysht3",#N/A,FALSE,"Sheet3"}</definedName>
    <definedName name="_nn6" hidden="1">{"testysht3",#N/A,FALSE,"Sheet3"}</definedName>
    <definedName name="_nn7" localSheetId="0" hidden="1">{"testysht3",#N/A,FALSE,"Sheet3"}</definedName>
    <definedName name="_nn7" localSheetId="1" hidden="1">{"testysht3",#N/A,FALSE,"Sheet3"}</definedName>
    <definedName name="_nn7" localSheetId="2" hidden="1">{"testysht3",#N/A,FALSE,"Sheet3"}</definedName>
    <definedName name="_nn7" localSheetId="3" hidden="1">{"testysht3",#N/A,FALSE,"Sheet3"}</definedName>
    <definedName name="_nn7" hidden="1">{"testysht3",#N/A,FALSE,"Sheet3"}</definedName>
    <definedName name="_nn8" localSheetId="0" hidden="1">{"JANRDET",#N/A,FALSE,"detail"}</definedName>
    <definedName name="_nn8" localSheetId="1" hidden="1">{"JANRDET",#N/A,FALSE,"detail"}</definedName>
    <definedName name="_nn8" localSheetId="2" hidden="1">{"JANRDET",#N/A,FALSE,"detail"}</definedName>
    <definedName name="_nn8" localSheetId="3" hidden="1">{"JANRDET",#N/A,FALSE,"detail"}</definedName>
    <definedName name="_nn8" hidden="1">{"JANRDET",#N/A,FALSE,"detail"}</definedName>
    <definedName name="_nn9" localSheetId="0" hidden="1">{"JANRDET",#N/A,FALSE,"detail"}</definedName>
    <definedName name="_nn9" localSheetId="1" hidden="1">{"JANRDET",#N/A,FALSE,"detail"}</definedName>
    <definedName name="_nn9" localSheetId="2" hidden="1">{"JANRDET",#N/A,FALSE,"detail"}</definedName>
    <definedName name="_nn9" localSheetId="3" hidden="1">{"JANRDET",#N/A,FALSE,"detail"}</definedName>
    <definedName name="_nn9" hidden="1">{"JANRDET",#N/A,FALSE,"detail"}</definedName>
    <definedName name="_nnn1" localSheetId="0" hidden="1">{"JANRDET",#N/A,FALSE,"detail"}</definedName>
    <definedName name="_nnn1" localSheetId="1" hidden="1">{"JANRDET",#N/A,FALSE,"detail"}</definedName>
    <definedName name="_nnn1" localSheetId="2" hidden="1">{"JANRDET",#N/A,FALSE,"detail"}</definedName>
    <definedName name="_nnn1" localSheetId="3" hidden="1">{"JANRDET",#N/A,FALSE,"detail"}</definedName>
    <definedName name="_nnn1" hidden="1">{"JANRDET",#N/A,FALSE,"detail"}</definedName>
    <definedName name="_nnn10" localSheetId="0" hidden="1">{"JANRDET",#N/A,FALSE,"detail"}</definedName>
    <definedName name="_nnn10" localSheetId="1" hidden="1">{"JANRDET",#N/A,FALSE,"detail"}</definedName>
    <definedName name="_nnn10" localSheetId="2" hidden="1">{"JANRDET",#N/A,FALSE,"detail"}</definedName>
    <definedName name="_nnn10" localSheetId="3" hidden="1">{"JANRDET",#N/A,FALSE,"detail"}</definedName>
    <definedName name="_nnn10" hidden="1">{"JANRDET",#N/A,FALSE,"detail"}</definedName>
    <definedName name="_nnn11" localSheetId="0" hidden="1">{"JANRDET",#N/A,FALSE,"detail"}</definedName>
    <definedName name="_nnn11" localSheetId="1" hidden="1">{"JANRDET",#N/A,FALSE,"detail"}</definedName>
    <definedName name="_nnn11" localSheetId="2" hidden="1">{"JANRDET",#N/A,FALSE,"detail"}</definedName>
    <definedName name="_nnn11" localSheetId="3" hidden="1">{"JANRDET",#N/A,FALSE,"detail"}</definedName>
    <definedName name="_nnn11" hidden="1">{"JANRDET",#N/A,FALSE,"detail"}</definedName>
    <definedName name="_nnn13" localSheetId="0" hidden="1">{"testysht3",#N/A,FALSE,"Sheet3"}</definedName>
    <definedName name="_nnn13" localSheetId="1" hidden="1">{"testysht3",#N/A,FALSE,"Sheet3"}</definedName>
    <definedName name="_nnn13" localSheetId="2" hidden="1">{"testysht3",#N/A,FALSE,"Sheet3"}</definedName>
    <definedName name="_nnn13" localSheetId="3" hidden="1">{"testysht3",#N/A,FALSE,"Sheet3"}</definedName>
    <definedName name="_nnn13" hidden="1">{"testysht3",#N/A,FALSE,"Sheet3"}</definedName>
    <definedName name="_nnn14" localSheetId="0" hidden="1">{"testysht3",#N/A,FALSE,"Sheet3"}</definedName>
    <definedName name="_nnn14" localSheetId="1" hidden="1">{"testysht3",#N/A,FALSE,"Sheet3"}</definedName>
    <definedName name="_nnn14" localSheetId="2" hidden="1">{"testysht3",#N/A,FALSE,"Sheet3"}</definedName>
    <definedName name="_nnn14" localSheetId="3" hidden="1">{"testysht3",#N/A,FALSE,"Sheet3"}</definedName>
    <definedName name="_nnn14" hidden="1">{"testysht3",#N/A,FALSE,"Sheet3"}</definedName>
    <definedName name="_nnn15" localSheetId="0" hidden="1">{"testysht3",#N/A,FALSE,"Sheet3"}</definedName>
    <definedName name="_nnn15" localSheetId="1" hidden="1">{"testysht3",#N/A,FALSE,"Sheet3"}</definedName>
    <definedName name="_nnn15" localSheetId="2" hidden="1">{"testysht3",#N/A,FALSE,"Sheet3"}</definedName>
    <definedName name="_nnn15" localSheetId="3" hidden="1">{"testysht3",#N/A,FALSE,"Sheet3"}</definedName>
    <definedName name="_nnn15" hidden="1">{"testysht3",#N/A,FALSE,"Sheet3"}</definedName>
    <definedName name="_nnn16" localSheetId="0" hidden="1">{"testysht3",#N/A,FALSE,"Sheet3"}</definedName>
    <definedName name="_nnn16" localSheetId="1" hidden="1">{"testysht3",#N/A,FALSE,"Sheet3"}</definedName>
    <definedName name="_nnn16" localSheetId="2" hidden="1">{"testysht3",#N/A,FALSE,"Sheet3"}</definedName>
    <definedName name="_nnn16" localSheetId="3" hidden="1">{"testysht3",#N/A,FALSE,"Sheet3"}</definedName>
    <definedName name="_nnn16" hidden="1">{"testysht3",#N/A,FALSE,"Sheet3"}</definedName>
    <definedName name="_nnn17" localSheetId="0" hidden="1">{"testysht3",#N/A,FALSE,"Sheet3"}</definedName>
    <definedName name="_nnn17" localSheetId="1" hidden="1">{"testysht3",#N/A,FALSE,"Sheet3"}</definedName>
    <definedName name="_nnn17" localSheetId="2" hidden="1">{"testysht3",#N/A,FALSE,"Sheet3"}</definedName>
    <definedName name="_nnn17" localSheetId="3" hidden="1">{"testysht3",#N/A,FALSE,"Sheet3"}</definedName>
    <definedName name="_nnn17" hidden="1">{"testysht3",#N/A,FALSE,"Sheet3"}</definedName>
    <definedName name="_nnn18" localSheetId="0" hidden="1">{"JANRDET",#N/A,FALSE,"detail"}</definedName>
    <definedName name="_nnn18" localSheetId="1" hidden="1">{"JANRDET",#N/A,FALSE,"detail"}</definedName>
    <definedName name="_nnn18" localSheetId="2" hidden="1">{"JANRDET",#N/A,FALSE,"detail"}</definedName>
    <definedName name="_nnn18" localSheetId="3" hidden="1">{"JANRDET",#N/A,FALSE,"detail"}</definedName>
    <definedName name="_nnn18" hidden="1">{"JANRDET",#N/A,FALSE,"detail"}</definedName>
    <definedName name="_nnn2" localSheetId="0" hidden="1">{"JANRDET",#N/A,FALSE,"detail"}</definedName>
    <definedName name="_nnn2" localSheetId="1" hidden="1">{"JANRDET",#N/A,FALSE,"detail"}</definedName>
    <definedName name="_nnn2" localSheetId="2" hidden="1">{"JANRDET",#N/A,FALSE,"detail"}</definedName>
    <definedName name="_nnn2" localSheetId="3" hidden="1">{"JANRDET",#N/A,FALSE,"detail"}</definedName>
    <definedName name="_nnn2" hidden="1">{"JANRDET",#N/A,FALSE,"detail"}</definedName>
    <definedName name="_nnn3" localSheetId="0" hidden="1">{"rfcjan",#N/A,FALSE,"Stats"}</definedName>
    <definedName name="_nnn3" localSheetId="1" hidden="1">{"rfcjan",#N/A,FALSE,"Stats"}</definedName>
    <definedName name="_nnn3" localSheetId="2" hidden="1">{"rfcjan",#N/A,FALSE,"Stats"}</definedName>
    <definedName name="_nnn3" localSheetId="3" hidden="1">{"rfcjan",#N/A,FALSE,"Stats"}</definedName>
    <definedName name="_nnn3" hidden="1">{"rfcjan",#N/A,FALSE,"Stats"}</definedName>
    <definedName name="_nnn4" localSheetId="0" hidden="1">{"rfcjan",#N/A,FALSE,"Stats"}</definedName>
    <definedName name="_nnn4" localSheetId="1" hidden="1">{"rfcjan",#N/A,FALSE,"Stats"}</definedName>
    <definedName name="_nnn4" localSheetId="2" hidden="1">{"rfcjan",#N/A,FALSE,"Stats"}</definedName>
    <definedName name="_nnn4" localSheetId="3" hidden="1">{"rfcjan",#N/A,FALSE,"Stats"}</definedName>
    <definedName name="_nnn4" hidden="1">{"rfcjan",#N/A,FALSE,"Stats"}</definedName>
    <definedName name="_nnn5" localSheetId="0" hidden="1">{"rfcjan",#N/A,FALSE,"Stats"}</definedName>
    <definedName name="_nnn5" localSheetId="1" hidden="1">{"rfcjan",#N/A,FALSE,"Stats"}</definedName>
    <definedName name="_nnn5" localSheetId="2" hidden="1">{"rfcjan",#N/A,FALSE,"Stats"}</definedName>
    <definedName name="_nnn5" localSheetId="3" hidden="1">{"rfcjan",#N/A,FALSE,"Stats"}</definedName>
    <definedName name="_nnn5" hidden="1">{"rfcjan",#N/A,FALSE,"Stats"}</definedName>
    <definedName name="_nnn6" localSheetId="0" hidden="1">{"rfcjan",#N/A,FALSE,"Stats"}</definedName>
    <definedName name="_nnn6" localSheetId="1" hidden="1">{"rfcjan",#N/A,FALSE,"Stats"}</definedName>
    <definedName name="_nnn6" localSheetId="2" hidden="1">{"rfcjan",#N/A,FALSE,"Stats"}</definedName>
    <definedName name="_nnn6" localSheetId="3" hidden="1">{"rfcjan",#N/A,FALSE,"Stats"}</definedName>
    <definedName name="_nnn6" hidden="1">{"rfcjan",#N/A,FALSE,"Stats"}</definedName>
    <definedName name="_nnn7" localSheetId="0" hidden="1">{"JANRDET",#N/A,FALSE,"detail"}</definedName>
    <definedName name="_nnn7" localSheetId="1" hidden="1">{"JANRDET",#N/A,FALSE,"detail"}</definedName>
    <definedName name="_nnn7" localSheetId="2" hidden="1">{"JANRDET",#N/A,FALSE,"detail"}</definedName>
    <definedName name="_nnn7" localSheetId="3" hidden="1">{"JANRDET",#N/A,FALSE,"detail"}</definedName>
    <definedName name="_nnn7" hidden="1">{"JANRDET",#N/A,FALSE,"detail"}</definedName>
    <definedName name="_nnn8" localSheetId="0" hidden="1">{"JANRDET",#N/A,FALSE,"detail"}</definedName>
    <definedName name="_nnn8" localSheetId="1" hidden="1">{"JANRDET",#N/A,FALSE,"detail"}</definedName>
    <definedName name="_nnn8" localSheetId="2" hidden="1">{"JANRDET",#N/A,FALSE,"detail"}</definedName>
    <definedName name="_nnn8" localSheetId="3" hidden="1">{"JANRDET",#N/A,FALSE,"detail"}</definedName>
    <definedName name="_nnn8" hidden="1">{"JANRDET",#N/A,FALSE,"detail"}</definedName>
    <definedName name="_nnn9" localSheetId="0" hidden="1">{"JANRDET",#N/A,FALSE,"detail"}</definedName>
    <definedName name="_nnn9" localSheetId="1" hidden="1">{"JANRDET",#N/A,FALSE,"detail"}</definedName>
    <definedName name="_nnn9" localSheetId="2" hidden="1">{"JANRDET",#N/A,FALSE,"detail"}</definedName>
    <definedName name="_nnn9" localSheetId="3" hidden="1">{"JANRDET",#N/A,FALSE,"detail"}</definedName>
    <definedName name="_nnn9" hidden="1">{"JANRDET",#N/A,FALSE,"detail"}</definedName>
    <definedName name="_Order1" hidden="1">255</definedName>
    <definedName name="_Order2" hidden="1">255</definedName>
    <definedName name="_q1" localSheetId="0" hidden="1">{"rfcjan",#N/A,FALSE,"Stats"}</definedName>
    <definedName name="_q1" localSheetId="1" hidden="1">{"rfcjan",#N/A,FALSE,"Stats"}</definedName>
    <definedName name="_q1" localSheetId="2" hidden="1">{"rfcjan",#N/A,FALSE,"Stats"}</definedName>
    <definedName name="_q1" localSheetId="3" hidden="1">{"rfcjan",#N/A,FALSE,"Stats"}</definedName>
    <definedName name="_q1" hidden="1">{"rfcjan",#N/A,FALSE,"Stats"}</definedName>
    <definedName name="_q2" localSheetId="0" hidden="1">{"rfcjan",#N/A,FALSE,"Stats"}</definedName>
    <definedName name="_q2" localSheetId="1" hidden="1">{"rfcjan",#N/A,FALSE,"Stats"}</definedName>
    <definedName name="_q2" localSheetId="2" hidden="1">{"rfcjan",#N/A,FALSE,"Stats"}</definedName>
    <definedName name="_q2" localSheetId="3" hidden="1">{"rfcjan",#N/A,FALSE,"Stats"}</definedName>
    <definedName name="_q2" hidden="1">{"rfcjan",#N/A,FALSE,"Stats"}</definedName>
    <definedName name="_q3" localSheetId="0" hidden="1">{"rfcjan",#N/A,FALSE,"Stats"}</definedName>
    <definedName name="_q3" localSheetId="1" hidden="1">{"rfcjan",#N/A,FALSE,"Stats"}</definedName>
    <definedName name="_q3" localSheetId="2" hidden="1">{"rfcjan",#N/A,FALSE,"Stats"}</definedName>
    <definedName name="_q3" localSheetId="3" hidden="1">{"rfcjan",#N/A,FALSE,"Stats"}</definedName>
    <definedName name="_q3" hidden="1">{"rfcjan",#N/A,FALSE,"Stats"}</definedName>
    <definedName name="_qtr1" localSheetId="0" hidden="1">{"rfcjan",#N/A,FALSE,"Stats"}</definedName>
    <definedName name="_qtr1" localSheetId="1" hidden="1">{"rfcjan",#N/A,FALSE,"Stats"}</definedName>
    <definedName name="_qtr1" localSheetId="2" hidden="1">{"rfcjan",#N/A,FALSE,"Stats"}</definedName>
    <definedName name="_qtr1" localSheetId="3" hidden="1">{"rfcjan",#N/A,FALSE,"Stats"}</definedName>
    <definedName name="_qtr1" hidden="1">{"rfcjan",#N/A,FALSE,"Stats"}</definedName>
    <definedName name="_qtr3" localSheetId="0" hidden="1">{"rfcjan",#N/A,FALSE,"Stats"}</definedName>
    <definedName name="_qtr3" localSheetId="1" hidden="1">{"rfcjan",#N/A,FALSE,"Stats"}</definedName>
    <definedName name="_qtr3" localSheetId="2" hidden="1">{"rfcjan",#N/A,FALSE,"Stats"}</definedName>
    <definedName name="_qtr3" localSheetId="3" hidden="1">{"rfcjan",#N/A,FALSE,"Stats"}</definedName>
    <definedName name="_qtr3" hidden="1">{"rfcjan",#N/A,FALSE,"Stats"}</definedName>
    <definedName name="_qu1" localSheetId="0" hidden="1">{0,#N/A,FALSE,0}</definedName>
    <definedName name="_qu1" localSheetId="1" hidden="1">{0,#N/A,FALSE,0}</definedName>
    <definedName name="_qu1" localSheetId="2" hidden="1">{0,#N/A,FALSE,0}</definedName>
    <definedName name="_qu1" localSheetId="3" hidden="1">{0,#N/A,FALSE,0}</definedName>
    <definedName name="_qu1" hidden="1">{0,#N/A,FALSE,0}</definedName>
    <definedName name="_qu6" localSheetId="0" hidden="1">{0,#N/A,FALSE,0}</definedName>
    <definedName name="_qu6" localSheetId="1" hidden="1">{0,#N/A,FALSE,0}</definedName>
    <definedName name="_qu6" localSheetId="2" hidden="1">{0,#N/A,FALSE,0}</definedName>
    <definedName name="_qu6" localSheetId="3" hidden="1">{0,#N/A,FALSE,0}</definedName>
    <definedName name="_qu6" hidden="1">{0,#N/A,FALSE,0}</definedName>
    <definedName name="_Sort" hidden="1">#REF!</definedName>
    <definedName name="_Table1_In1" hidden="1">#REF!</definedName>
    <definedName name="_Table1_Out" hidden="1">#REF!</definedName>
    <definedName name="_Table2_In2" hidden="1">#REF!</definedName>
    <definedName name="_Table2_Out" hidden="1">#REF!</definedName>
    <definedName name="_tmp3" localSheetId="0" hidden="1">{"rfcjan",#N/A,FALSE,"Stats"}</definedName>
    <definedName name="_tmp3" localSheetId="1" hidden="1">{"rfcjan",#N/A,FALSE,"Stats"}</definedName>
    <definedName name="_tmp3" localSheetId="2" hidden="1">{"rfcjan",#N/A,FALSE,"Stats"}</definedName>
    <definedName name="_tmp3" localSheetId="3" hidden="1">{"rfcjan",#N/A,FALSE,"Stats"}</definedName>
    <definedName name="_tmp3" hidden="1">{"rfcjan",#N/A,FALSE,"Stats"}</definedName>
    <definedName name="_wrb2" localSheetId="0" hidden="1">{"rfcjan",#N/A,FALSE,"Stats"}</definedName>
    <definedName name="_wrb2" localSheetId="1" hidden="1">{"rfcjan",#N/A,FALSE,"Stats"}</definedName>
    <definedName name="_wrb2" localSheetId="2" hidden="1">{"rfcjan",#N/A,FALSE,"Stats"}</definedName>
    <definedName name="_wrb2" localSheetId="3" hidden="1">{"rfcjan",#N/A,FALSE,"Stats"}</definedName>
    <definedName name="_wrb2" hidden="1">{"rfcjan",#N/A,FALSE,"Stats"}</definedName>
    <definedName name="_wrn1" localSheetId="0" hidden="1">{"rfcjan",#N/A,FALSE,"Stats"}</definedName>
    <definedName name="_wrn1" localSheetId="1" hidden="1">{"rfcjan",#N/A,FALSE,"Stats"}</definedName>
    <definedName name="_wrn1" localSheetId="2" hidden="1">{"rfcjan",#N/A,FALSE,"Stats"}</definedName>
    <definedName name="_wrn1" localSheetId="3" hidden="1">{"rfcjan",#N/A,FALSE,"Stats"}</definedName>
    <definedName name="_wrn1" hidden="1">{"rfcjan",#N/A,FALSE,"Stats"}</definedName>
    <definedName name="_wrn10" localSheetId="0" hidden="1">{"rfcjan",#N/A,FALSE,"Stats"}</definedName>
    <definedName name="_wrn10" localSheetId="1" hidden="1">{"rfcjan",#N/A,FALSE,"Stats"}</definedName>
    <definedName name="_wrn10" localSheetId="2" hidden="1">{"rfcjan",#N/A,FALSE,"Stats"}</definedName>
    <definedName name="_wrn10" localSheetId="3" hidden="1">{"rfcjan",#N/A,FALSE,"Stats"}</definedName>
    <definedName name="_wrn10" hidden="1">{"rfcjan",#N/A,FALSE,"Stats"}</definedName>
    <definedName name="_wrn11" localSheetId="0" hidden="1">{"JANRDET",#N/A,FALSE,"detail"}</definedName>
    <definedName name="_wrn11" localSheetId="1" hidden="1">{"JANRDET",#N/A,FALSE,"detail"}</definedName>
    <definedName name="_wrn11" localSheetId="2" hidden="1">{"JANRDET",#N/A,FALSE,"detail"}</definedName>
    <definedName name="_wrn11" localSheetId="3" hidden="1">{"JANRDET",#N/A,FALSE,"detail"}</definedName>
    <definedName name="_wrn11" hidden="1">{"JANRDET",#N/A,FALSE,"detail"}</definedName>
    <definedName name="_wrn12" localSheetId="0" hidden="1">{"testysht3",#N/A,FALSE,"Sheet3"}</definedName>
    <definedName name="_wrn12" localSheetId="1" hidden="1">{"testysht3",#N/A,FALSE,"Sheet3"}</definedName>
    <definedName name="_wrn12" localSheetId="2" hidden="1">{"testysht3",#N/A,FALSE,"Sheet3"}</definedName>
    <definedName name="_wrn12" localSheetId="3" hidden="1">{"testysht3",#N/A,FALSE,"Sheet3"}</definedName>
    <definedName name="_wrn12" hidden="1">{"testysht3",#N/A,FALSE,"Sheet3"}</definedName>
    <definedName name="_wrn14" localSheetId="0" hidden="1">{"rfcjan",#N/A,FALSE,"Stats"}</definedName>
    <definedName name="_wrn14" localSheetId="1" hidden="1">{"rfcjan",#N/A,FALSE,"Stats"}</definedName>
    <definedName name="_wrn14" localSheetId="2" hidden="1">{"rfcjan",#N/A,FALSE,"Stats"}</definedName>
    <definedName name="_wrn14" localSheetId="3" hidden="1">{"rfcjan",#N/A,FALSE,"Stats"}</definedName>
    <definedName name="_wrn14" hidden="1">{"rfcjan",#N/A,FALSE,"Stats"}</definedName>
    <definedName name="_wrn15" localSheetId="0" hidden="1">{"JANRDET",#N/A,FALSE,"detail"}</definedName>
    <definedName name="_wrn15" localSheetId="1" hidden="1">{"JANRDET",#N/A,FALSE,"detail"}</definedName>
    <definedName name="_wrn15" localSheetId="2" hidden="1">{"JANRDET",#N/A,FALSE,"detail"}</definedName>
    <definedName name="_wrn15" localSheetId="3" hidden="1">{"JANRDET",#N/A,FALSE,"detail"}</definedName>
    <definedName name="_wrn15" hidden="1">{"JANRDET",#N/A,FALSE,"detail"}</definedName>
    <definedName name="_wrn16" localSheetId="0" hidden="1">{"testysht3",#N/A,FALSE,"Sheet3"}</definedName>
    <definedName name="_wrn16" localSheetId="1" hidden="1">{"testysht3",#N/A,FALSE,"Sheet3"}</definedName>
    <definedName name="_wrn16" localSheetId="2" hidden="1">{"testysht3",#N/A,FALSE,"Sheet3"}</definedName>
    <definedName name="_wrn16" localSheetId="3" hidden="1">{"testysht3",#N/A,FALSE,"Sheet3"}</definedName>
    <definedName name="_wrn16" hidden="1">{"testysht3",#N/A,FALSE,"Sheet3"}</definedName>
    <definedName name="_wrn2" localSheetId="0" hidden="1">{"rfcjan",#N/A,FALSE,"Stats"}</definedName>
    <definedName name="_wrn2" localSheetId="1" hidden="1">{"rfcjan",#N/A,FALSE,"Stats"}</definedName>
    <definedName name="_wrn2" localSheetId="2" hidden="1">{"rfcjan",#N/A,FALSE,"Stats"}</definedName>
    <definedName name="_wrn2" localSheetId="3" hidden="1">{"rfcjan",#N/A,FALSE,"Stats"}</definedName>
    <definedName name="_wrn2" hidden="1">{"rfcjan",#N/A,FALSE,"Stats"}</definedName>
    <definedName name="_wrn20" localSheetId="0" hidden="1">{"rfcjan",#N/A,FALSE,"Stats"}</definedName>
    <definedName name="_wrn20" localSheetId="1" hidden="1">{"rfcjan",#N/A,FALSE,"Stats"}</definedName>
    <definedName name="_wrn20" localSheetId="2" hidden="1">{"rfcjan",#N/A,FALSE,"Stats"}</definedName>
    <definedName name="_wrn20" localSheetId="3" hidden="1">{"rfcjan",#N/A,FALSE,"Stats"}</definedName>
    <definedName name="_wrn20" hidden="1">{"rfcjan",#N/A,FALSE,"Stats"}</definedName>
    <definedName name="_wrn21" localSheetId="0" hidden="1">{"JANRDET",#N/A,FALSE,"detail"}</definedName>
    <definedName name="_wrn21" localSheetId="1" hidden="1">{"JANRDET",#N/A,FALSE,"detail"}</definedName>
    <definedName name="_wrn21" localSheetId="2" hidden="1">{"JANRDET",#N/A,FALSE,"detail"}</definedName>
    <definedName name="_wrn21" localSheetId="3" hidden="1">{"JANRDET",#N/A,FALSE,"detail"}</definedName>
    <definedName name="_wrn21" hidden="1">{"JANRDET",#N/A,FALSE,"detail"}</definedName>
    <definedName name="_wrn22" localSheetId="0" hidden="1">{"testysht3",#N/A,FALSE,"Sheet3"}</definedName>
    <definedName name="_wrn22" localSheetId="1" hidden="1">{"testysht3",#N/A,FALSE,"Sheet3"}</definedName>
    <definedName name="_wrn22" localSheetId="2" hidden="1">{"testysht3",#N/A,FALSE,"Sheet3"}</definedName>
    <definedName name="_wrn22" localSheetId="3" hidden="1">{"testysht3",#N/A,FALSE,"Sheet3"}</definedName>
    <definedName name="_wrn22" hidden="1">{"testysht3",#N/A,FALSE,"Sheet3"}</definedName>
    <definedName name="_wrn3" localSheetId="0" hidden="1">{"JANRDET",#N/A,FALSE,"detail"}</definedName>
    <definedName name="_wrn3" localSheetId="1" hidden="1">{"JANRDET",#N/A,FALSE,"detail"}</definedName>
    <definedName name="_wrn3" localSheetId="2" hidden="1">{"JANRDET",#N/A,FALSE,"detail"}</definedName>
    <definedName name="_wrn3" localSheetId="3" hidden="1">{"JANRDET",#N/A,FALSE,"detail"}</definedName>
    <definedName name="_wrn3" hidden="1">{"JANRDET",#N/A,FALSE,"detail"}</definedName>
    <definedName name="_wrn4" localSheetId="0" hidden="1">{"testysht3",#N/A,FALSE,"Sheet3"}</definedName>
    <definedName name="_wrn4" localSheetId="1" hidden="1">{"testysht3",#N/A,FALSE,"Sheet3"}</definedName>
    <definedName name="_wrn4" localSheetId="2" hidden="1">{"testysht3",#N/A,FALSE,"Sheet3"}</definedName>
    <definedName name="_wrn4" localSheetId="3" hidden="1">{"testysht3",#N/A,FALSE,"Sheet3"}</definedName>
    <definedName name="_wrn4" hidden="1">{"testysht3",#N/A,FALSE,"Sheet3"}</definedName>
    <definedName name="a" hidden="1">#REF!</definedName>
    <definedName name="AAA_DOCTOPS" hidden="1">"AAA_SET"</definedName>
    <definedName name="AAA_duser" hidden="1">"OFF"</definedName>
    <definedName name="aaaaaa" localSheetId="0" hidden="1">{"rfcjan",#N/A,FALSE,"Stats"}</definedName>
    <definedName name="aaaaaa" localSheetId="1" hidden="1">{"rfcjan",#N/A,FALSE,"Stats"}</definedName>
    <definedName name="aaaaaa" localSheetId="2" hidden="1">{"rfcjan",#N/A,FALSE,"Stats"}</definedName>
    <definedName name="aaaaaa" localSheetId="3" hidden="1">{"rfcjan",#N/A,FALSE,"Stats"}</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localSheetId="0" hidden="1">{"rfcjan",#N/A,FALSE,"Stats"}</definedName>
    <definedName name="abc" localSheetId="1" hidden="1">{"rfcjan",#N/A,FALSE,"Stats"}</definedName>
    <definedName name="abc" localSheetId="2" hidden="1">{"rfcjan",#N/A,FALSE,"Stats"}</definedName>
    <definedName name="abc" localSheetId="3" hidden="1">{"rfcjan",#N/A,FALSE,"Stats"}</definedName>
    <definedName name="abc" hidden="1">{"rfcjan",#N/A,FALSE,"Stats"}</definedName>
    <definedName name="AccessDatabase" hidden="1">"C:\DATA\Kevin\Kevin's Model.mdb"</definedName>
    <definedName name="aesrawera" localSheetId="0" hidden="1">{#N/A,#N/A,FALSE,"Assessment";#N/A,#N/A,FALSE,"Staffing";#N/A,#N/A,FALSE,"Hires";#N/A,#N/A,FALSE,"Assumptions"}</definedName>
    <definedName name="aesrawera" localSheetId="1" hidden="1">{#N/A,#N/A,FALSE,"Assessment";#N/A,#N/A,FALSE,"Staffing";#N/A,#N/A,FALSE,"Hires";#N/A,#N/A,FALSE,"Assumptions"}</definedName>
    <definedName name="aesrawera" localSheetId="2" hidden="1">{#N/A,#N/A,FALSE,"Assessment";#N/A,#N/A,FALSE,"Staffing";#N/A,#N/A,FALSE,"Hires";#N/A,#N/A,FALSE,"Assumptions"}</definedName>
    <definedName name="aesrawera" localSheetId="3" hidden="1">{#N/A,#N/A,FALSE,"Assessment";#N/A,#N/A,FALSE,"Staffing";#N/A,#N/A,FALSE,"Hires";#N/A,#N/A,FALSE,"Assumptions"}</definedName>
    <definedName name="aesrawera" hidden="1">{#N/A,#N/A,FALSE,"Assessment";#N/A,#N/A,FALSE,"Staffing";#N/A,#N/A,FALSE,"Hires";#N/A,#N/A,FALSE,"Assumptions"}</definedName>
    <definedName name="AS2DocOpenMode" hidden="1">"AS2DocumentEdit"</definedName>
    <definedName name="asd" localSheetId="0" hidden="1">{"rfcjan",#N/A,FALSE,"Stats"}</definedName>
    <definedName name="asd" localSheetId="1" hidden="1">{"rfcjan",#N/A,FALSE,"Stats"}</definedName>
    <definedName name="asd" localSheetId="2" hidden="1">{"rfcjan",#N/A,FALSE,"Stats"}</definedName>
    <definedName name="asd" localSheetId="3" hidden="1">{"rfcjan",#N/A,FALSE,"Stats"}</definedName>
    <definedName name="asd" hidden="1">{"rfcjan",#N/A,FALSE,"Stats"}</definedName>
    <definedName name="awerwas" localSheetId="0" hidden="1">{#N/A,#N/A,FALSE,"New Depr Sch-150% DB";#N/A,#N/A,FALSE,"Cash Flows RLP";#N/A,#N/A,FALSE,"IRR";#N/A,#N/A,FALSE,"Proforma IS";#N/A,#N/A,FALSE,"Assumptions"}</definedName>
    <definedName name="awerwas" localSheetId="1" hidden="1">{#N/A,#N/A,FALSE,"New Depr Sch-150% DB";#N/A,#N/A,FALSE,"Cash Flows RLP";#N/A,#N/A,FALSE,"IRR";#N/A,#N/A,FALSE,"Proforma IS";#N/A,#N/A,FALSE,"Assumptions"}</definedName>
    <definedName name="awerwas" localSheetId="2" hidden="1">{#N/A,#N/A,FALSE,"New Depr Sch-150% DB";#N/A,#N/A,FALSE,"Cash Flows RLP";#N/A,#N/A,FALSE,"IRR";#N/A,#N/A,FALSE,"Proforma IS";#N/A,#N/A,FALSE,"Assumptions"}</definedName>
    <definedName name="awerwas" localSheetId="3" hidden="1">{#N/A,#N/A,FALSE,"New Depr Sch-150% DB";#N/A,#N/A,FALSE,"Cash Flows RLP";#N/A,#N/A,FALSE,"IRR";#N/A,#N/A,FALSE,"Proforma IS";#N/A,#N/A,FALSE,"Assumptions"}</definedName>
    <definedName name="awerwas" hidden="1">{#N/A,#N/A,FALSE,"New Depr Sch-150% DB";#N/A,#N/A,FALSE,"Cash Flows RLP";#N/A,#N/A,FALSE,"IRR";#N/A,#N/A,FALSE,"Proforma IS";#N/A,#N/A,FALSE,"Assumptions"}</definedName>
    <definedName name="baseline" localSheetId="0" hidden="1">{"JANRDET",#N/A,FALSE,"detail"}</definedName>
    <definedName name="baseline" localSheetId="1" hidden="1">{"JANRDET",#N/A,FALSE,"detail"}</definedName>
    <definedName name="baseline" localSheetId="2" hidden="1">{"JANRDET",#N/A,FALSE,"detail"}</definedName>
    <definedName name="baseline" localSheetId="3" hidden="1">{"JANRDET",#N/A,FALSE,"detail"}</definedName>
    <definedName name="baseline" hidden="1">{"JANRDET",#N/A,FALSE,"detail"}</definedName>
    <definedName name="baselinewnotes" localSheetId="0" hidden="1">{"rfcjan",#N/A,FALSE,"Stats"}</definedName>
    <definedName name="baselinewnotes" localSheetId="1" hidden="1">{"rfcjan",#N/A,FALSE,"Stats"}</definedName>
    <definedName name="baselinewnotes" localSheetId="2" hidden="1">{"rfcjan",#N/A,FALSE,"Stats"}</definedName>
    <definedName name="baselinewnotes" localSheetId="3" hidden="1">{"rfcjan",#N/A,FALSE,"Stats"}</definedName>
    <definedName name="baselinewnotes" hidden="1">{"rfcjan",#N/A,FALSE,"Stats"}</definedName>
    <definedName name="bb" localSheetId="0" hidden="1">{"JANRDET",#N/A,FALSE,"detail"}</definedName>
    <definedName name="bb" localSheetId="1" hidden="1">{"JANRDET",#N/A,FALSE,"detail"}</definedName>
    <definedName name="bb" localSheetId="2" hidden="1">{"JANRDET",#N/A,FALSE,"detail"}</definedName>
    <definedName name="bb" localSheetId="3" hidden="1">{"JANRDET",#N/A,FALSE,"detail"}</definedName>
    <definedName name="bb" hidden="1">{"JANRDET",#N/A,FALSE,"detail"}</definedName>
    <definedName name="bbb" localSheetId="0" hidden="1">{#N/A,#N/A,FALSE,"Assessment";#N/A,#N/A,FALSE,"Staffing";#N/A,#N/A,FALSE,"Hires";#N/A,#N/A,FALSE,"Assumptions"}</definedName>
    <definedName name="bbb" localSheetId="1" hidden="1">{#N/A,#N/A,FALSE,"Assessment";#N/A,#N/A,FALSE,"Staffing";#N/A,#N/A,FALSE,"Hires";#N/A,#N/A,FALSE,"Assumptions"}</definedName>
    <definedName name="bbb" localSheetId="2" hidden="1">{#N/A,#N/A,FALSE,"Assessment";#N/A,#N/A,FALSE,"Staffing";#N/A,#N/A,FALSE,"Hires";#N/A,#N/A,FALSE,"Assumptions"}</definedName>
    <definedName name="bbb" localSheetId="3" hidden="1">{#N/A,#N/A,FALSE,"Assessment";#N/A,#N/A,FALSE,"Staffing";#N/A,#N/A,FALSE,"Hires";#N/A,#N/A,FALSE,"Assumptions"}</definedName>
    <definedName name="bbb" hidden="1">{#N/A,#N/A,FALSE,"Assessment";#N/A,#N/A,FALSE,"Staffing";#N/A,#N/A,FALSE,"Hires";#N/A,#N/A,FALSE,"Assumptions"}</definedName>
    <definedName name="bbbbb" localSheetId="0" hidden="1">{#N/A,#N/A,FALSE,"Assessment";#N/A,#N/A,FALSE,"Staffing";#N/A,#N/A,FALSE,"Hires";#N/A,#N/A,FALSE,"Assumptions"}</definedName>
    <definedName name="bbbbb" localSheetId="1" hidden="1">{#N/A,#N/A,FALSE,"Assessment";#N/A,#N/A,FALSE,"Staffing";#N/A,#N/A,FALSE,"Hires";#N/A,#N/A,FALSE,"Assumptions"}</definedName>
    <definedName name="bbbbb" localSheetId="2" hidden="1">{#N/A,#N/A,FALSE,"Assessment";#N/A,#N/A,FALSE,"Staffing";#N/A,#N/A,FALSE,"Hires";#N/A,#N/A,FALSE,"Assumptions"}</definedName>
    <definedName name="bbbbb" localSheetId="3" hidden="1">{#N/A,#N/A,FALSE,"Assessment";#N/A,#N/A,FALSE,"Staffing";#N/A,#N/A,FALSE,"Hires";#N/A,#N/A,FALSE,"Assumptions"}</definedName>
    <definedName name="bbbbb" hidden="1">{#N/A,#N/A,FALSE,"Assessment";#N/A,#N/A,FALSE,"Staffing";#N/A,#N/A,FALSE,"Hires";#N/A,#N/A,FALSE,"Assumptions"}</definedName>
    <definedName name="Bear" localSheetId="0" hidden="1">{#N/A,#N/A,FALSE,"TS";#N/A,#N/A,FALSE,"Combo";#N/A,#N/A,FALSE,"FAIR";#N/A,#N/A,FALSE,"RBC";#N/A,#N/A,FALSE,"xxxx";#N/A,#N/A,FALSE,"A_D";#N/A,#N/A,FALSE,"WACC";#N/A,#N/A,FALSE,"DCF";#N/A,#N/A,FALSE,"LBO";#N/A,#N/A,FALSE,"AcqMults";#N/A,#N/A,FALSE,"CompMults"}</definedName>
    <definedName name="Bear" localSheetId="1" hidden="1">{#N/A,#N/A,FALSE,"TS";#N/A,#N/A,FALSE,"Combo";#N/A,#N/A,FALSE,"FAIR";#N/A,#N/A,FALSE,"RBC";#N/A,#N/A,FALSE,"xxxx";#N/A,#N/A,FALSE,"A_D";#N/A,#N/A,FALSE,"WACC";#N/A,#N/A,FALSE,"DCF";#N/A,#N/A,FALSE,"LBO";#N/A,#N/A,FALSE,"AcqMults";#N/A,#N/A,FALSE,"CompMults"}</definedName>
    <definedName name="Bear" localSheetId="2" hidden="1">{#N/A,#N/A,FALSE,"TS";#N/A,#N/A,FALSE,"Combo";#N/A,#N/A,FALSE,"FAIR";#N/A,#N/A,FALSE,"RBC";#N/A,#N/A,FALSE,"xxxx";#N/A,#N/A,FALSE,"A_D";#N/A,#N/A,FALSE,"WACC";#N/A,#N/A,FALSE,"DCF";#N/A,#N/A,FALSE,"LBO";#N/A,#N/A,FALSE,"AcqMults";#N/A,#N/A,FALSE,"CompMults"}</definedName>
    <definedName name="Bear" localSheetId="3" hidden="1">{#N/A,#N/A,FALSE,"TS";#N/A,#N/A,FALSE,"Combo";#N/A,#N/A,FALSE,"FAIR";#N/A,#N/A,FALSE,"RBC";#N/A,#N/A,FALSE,"xxxx";#N/A,#N/A,FALSE,"A_D";#N/A,#N/A,FALSE,"WACC";#N/A,#N/A,FALSE,"DCF";#N/A,#N/A,FALSE,"LBO";#N/A,#N/A,FALSE,"AcqMults";#N/A,#N/A,FALSE,"CompMults"}</definedName>
    <definedName name="Bear" hidden="1">{#N/A,#N/A,FALSE,"TS";#N/A,#N/A,FALSE,"Combo";#N/A,#N/A,FALSE,"FAIR";#N/A,#N/A,FALSE,"RBC";#N/A,#N/A,FALSE,"xxxx";#N/A,#N/A,FALSE,"A_D";#N/A,#N/A,FALSE,"WACC";#N/A,#N/A,FALSE,"DCF";#N/A,#N/A,FALSE,"LBO";#N/A,#N/A,FALSE,"AcqMults";#N/A,#N/A,FALSE,"CompMults"}</definedName>
    <definedName name="BLPH1" hidden="1">#REF!</definedName>
    <definedName name="BLPH1000001" hidden="1">#REF!</definedName>
    <definedName name="BLPH1000003" hidden="1">#REF!</definedName>
    <definedName name="BLPH12" hidden="1">#REF!</definedName>
    <definedName name="BLPH13" hidden="1">#REF!</definedName>
    <definedName name="BLPH1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ye" localSheetId="0" hidden="1">{#N/A,#N/A,FALSE,"Aging Summary";#N/A,#N/A,FALSE,"Ratio Analysis";#N/A,#N/A,FALSE,"Test 120 Day Accts";#N/A,#N/A,FALSE,"Tickmarks"}</definedName>
    <definedName name="bye" localSheetId="1" hidden="1">{#N/A,#N/A,FALSE,"Aging Summary";#N/A,#N/A,FALSE,"Ratio Analysis";#N/A,#N/A,FALSE,"Test 120 Day Accts";#N/A,#N/A,FALSE,"Tickmarks"}</definedName>
    <definedName name="bye" localSheetId="2" hidden="1">{#N/A,#N/A,FALSE,"Aging Summary";#N/A,#N/A,FALSE,"Ratio Analysis";#N/A,#N/A,FALSE,"Test 120 Day Accts";#N/A,#N/A,FALSE,"Tickmarks"}</definedName>
    <definedName name="bye" localSheetId="3" hidden="1">{#N/A,#N/A,FALSE,"Aging Summary";#N/A,#N/A,FALSE,"Ratio Analysis";#N/A,#N/A,FALSE,"Test 120 Day Accts";#N/A,#N/A,FALSE,"Tickmarks"}</definedName>
    <definedName name="bye" hidden="1">{#N/A,#N/A,FALSE,"Aging Summary";#N/A,#N/A,FALSE,"Ratio Analysis";#N/A,#N/A,FALSE,"Test 120 Day Accts";#N/A,#N/A,FALSE,"Tickmarks"}</definedName>
    <definedName name="cc" localSheetId="0" hidden="1">{"JANRDET",#N/A,FALSE,"detail"}</definedName>
    <definedName name="cc" localSheetId="1" hidden="1">{"JANRDET",#N/A,FALSE,"detail"}</definedName>
    <definedName name="cc" localSheetId="2" hidden="1">{"JANRDET",#N/A,FALSE,"detail"}</definedName>
    <definedName name="cc" localSheetId="3" hidden="1">{"JANRDET",#N/A,FALSE,"detail"}</definedName>
    <definedName name="cc" hidden="1">{"JANRDET",#N/A,FALSE,"detail"}</definedName>
    <definedName name="cccc" localSheetId="0" hidden="1">{#N/A,#N/A,FALSE,"Assessment";#N/A,#N/A,FALSE,"Staffing";#N/A,#N/A,FALSE,"Hires";#N/A,#N/A,FALSE,"Assumptions"}</definedName>
    <definedName name="cccc" localSheetId="1" hidden="1">{#N/A,#N/A,FALSE,"Assessment";#N/A,#N/A,FALSE,"Staffing";#N/A,#N/A,FALSE,"Hires";#N/A,#N/A,FALSE,"Assumptions"}</definedName>
    <definedName name="cccc" localSheetId="2" hidden="1">{#N/A,#N/A,FALSE,"Assessment";#N/A,#N/A,FALSE,"Staffing";#N/A,#N/A,FALSE,"Hires";#N/A,#N/A,FALSE,"Assumptions"}</definedName>
    <definedName name="cccc" localSheetId="3" hidden="1">{#N/A,#N/A,FALSE,"Assessment";#N/A,#N/A,FALSE,"Staffing";#N/A,#N/A,FALSE,"Hires";#N/A,#N/A,FALSE,"Assumptions"}</definedName>
    <definedName name="cccc" hidden="1">{#N/A,#N/A,FALSE,"Assessment";#N/A,#N/A,FALSE,"Staffing";#N/A,#N/A,FALSE,"Hires";#N/A,#N/A,FALSE,"Assumptions"}</definedName>
    <definedName name="Col03ExistingQuantity">#REF!</definedName>
    <definedName name="Col11LicenseCredit">#REF!</definedName>
    <definedName name="Col14SupportExpiration">#REF!</definedName>
    <definedName name="Col18RenewUpdate">#REF!</definedName>
    <definedName name="Col19RenewSupport">#REF!</definedName>
    <definedName name="Col22UpgradeListLicense">#REF!</definedName>
    <definedName name="Col23UpgradeListUpdate">#REF!</definedName>
    <definedName name="Col24UpgradeListProduct">#REF!</definedName>
    <definedName name="Col26Ratio">#REF!</definedName>
    <definedName name="Col28MigratedQuantity">#REF!</definedName>
    <definedName name="Col31UnitListLicense">#REF!</definedName>
    <definedName name="Col32NewUpdate">#REF!</definedName>
    <definedName name="Col33NewProduct">#REF!</definedName>
    <definedName name="Col34EBizDiscount">#REF!</definedName>
    <definedName name="Col35ExtendedDiscount">#REF!</definedName>
    <definedName name="Col36List_License_Fee_Sum">#REF!</definedName>
    <definedName name="Col37N2Ndiscount">#REF!</definedName>
    <definedName name="Col39AdjustedLicenseCredit">#REF!</definedName>
    <definedName name="Col40L2LDiscount">#REF!</definedName>
    <definedName name="Col46TwelveMonthIncUpdate">#REF!</definedName>
    <definedName name="Col47TwelveMonthIncProduct">#REF!</definedName>
    <definedName name="Col48TwelveMonthMigUpdate">#REF!</definedName>
    <definedName name="Col49TwelveMonthMigProduct">#REF!</definedName>
    <definedName name="Col53UnusedSupportDays">#REF!</definedName>
    <definedName name="Col56LapsedSupportDays">#REF!</definedName>
    <definedName name="Col60ListUpdate">#REF!</definedName>
    <definedName name="Col61ListProduct">#REF!</definedName>
    <definedName name="Col62CompareActualUpdateAndRamp">#REF!</definedName>
    <definedName name="Col63CompareActualProductAndRamp">#REF!</definedName>
    <definedName name="Col64RenewalAdjustment">#REF!</definedName>
    <definedName name="Col65AdjustedUpdate">#REF!</definedName>
    <definedName name="Col66AdjustedProduct">#REF!</definedName>
    <definedName name="Col71ListUpdateForUnsupported">#REF!</definedName>
    <definedName name="Col72ListProductForUnsupported">#REF!</definedName>
    <definedName name="Col73UnNamed">#REF!</definedName>
    <definedName name="Col74EBSTotal">#REF!</definedName>
    <definedName name="Col75UnNamed">#REF!</definedName>
    <definedName name="Col76SupportedMigPortion">#REF!</definedName>
    <definedName name="Col77UnsupportMigPortion">#REF!</definedName>
    <definedName name="Col78IncrementalPortion">#REF!</definedName>
    <definedName name="Col79AggregateUpgradeListLicense">#REF!</definedName>
    <definedName name="Col80PreRoundedMigratedQuantity">#REF!</definedName>
    <definedName name="CompareExistingWithNewProduct">MIN(#REF!,#REF!)</definedName>
    <definedName name="CompareExistingWithNewUpdate">MIN(#REF!,#REF!)</definedName>
    <definedName name="CONT_LABOR">0.1</definedName>
    <definedName name="CONT_SUBS">0.15</definedName>
    <definedName name="cooool" localSheetId="0" hidden="1">{#N/A,#N/A,FALSE,"Assessment";#N/A,#N/A,FALSE,"Staffing";#N/A,#N/A,FALSE,"Hires";#N/A,#N/A,FALSE,"Assumptions"}</definedName>
    <definedName name="cooool" localSheetId="1" hidden="1">{#N/A,#N/A,FALSE,"Assessment";#N/A,#N/A,FALSE,"Staffing";#N/A,#N/A,FALSE,"Hires";#N/A,#N/A,FALSE,"Assumptions"}</definedName>
    <definedName name="cooool" localSheetId="2" hidden="1">{#N/A,#N/A,FALSE,"Assessment";#N/A,#N/A,FALSE,"Staffing";#N/A,#N/A,FALSE,"Hires";#N/A,#N/A,FALSE,"Assumptions"}</definedName>
    <definedName name="cooool" localSheetId="3" hidden="1">{#N/A,#N/A,FALSE,"Assessment";#N/A,#N/A,FALSE,"Staffing";#N/A,#N/A,FALSE,"Hires";#N/A,#N/A,FALSE,"Assumptions"}</definedName>
    <definedName name="cooool" hidden="1">{#N/A,#N/A,FALSE,"Assessment";#N/A,#N/A,FALSE,"Staffing";#N/A,#N/A,FALSE,"Hires";#N/A,#N/A,FALSE,"Assumptions"}</definedName>
    <definedName name="coun" localSheetId="0" hidden="1">{#N/A,#N/A,FALSE,"Assessment";#N/A,#N/A,FALSE,"Staffing";#N/A,#N/A,FALSE,"Hires";#N/A,#N/A,FALSE,"Assumptions"}</definedName>
    <definedName name="coun" localSheetId="1" hidden="1">{#N/A,#N/A,FALSE,"Assessment";#N/A,#N/A,FALSE,"Staffing";#N/A,#N/A,FALSE,"Hires";#N/A,#N/A,FALSE,"Assumptions"}</definedName>
    <definedName name="coun" localSheetId="2" hidden="1">{#N/A,#N/A,FALSE,"Assessment";#N/A,#N/A,FALSE,"Staffing";#N/A,#N/A,FALSE,"Hires";#N/A,#N/A,FALSE,"Assumptions"}</definedName>
    <definedName name="coun" localSheetId="3" hidden="1">{#N/A,#N/A,FALSE,"Assessment";#N/A,#N/A,FALSE,"Staffing";#N/A,#N/A,FALSE,"Hires";#N/A,#N/A,FALSE,"Assumptions"}</definedName>
    <definedName name="coun" hidden="1">{#N/A,#N/A,FALSE,"Assessment";#N/A,#N/A,FALSE,"Staffing";#N/A,#N/A,FALSE,"Hires";#N/A,#N/A,FALSE,"Assumptions"}</definedName>
    <definedName name="COUNT2" localSheetId="0" hidden="1">{#N/A,#N/A,FALSE,"Assessment";#N/A,#N/A,FALSE,"Staffing";#N/A,#N/A,FALSE,"Hires";#N/A,#N/A,FALSE,"Assumptions"}</definedName>
    <definedName name="COUNT2" localSheetId="1" hidden="1">{#N/A,#N/A,FALSE,"Assessment";#N/A,#N/A,FALSE,"Staffing";#N/A,#N/A,FALSE,"Hires";#N/A,#N/A,FALSE,"Assumptions"}</definedName>
    <definedName name="COUNT2" localSheetId="2" hidden="1">{#N/A,#N/A,FALSE,"Assessment";#N/A,#N/A,FALSE,"Staffing";#N/A,#N/A,FALSE,"Hires";#N/A,#N/A,FALSE,"Assumptions"}</definedName>
    <definedName name="COUNT2" localSheetId="3" hidden="1">{#N/A,#N/A,FALSE,"Assessment";#N/A,#N/A,FALSE,"Staffing";#N/A,#N/A,FALSE,"Hires";#N/A,#N/A,FALSE,"Assumptions"}</definedName>
    <definedName name="COUNT2" hidden="1">{#N/A,#N/A,FALSE,"Assessment";#N/A,#N/A,FALSE,"Staffing";#N/A,#N/A,FALSE,"Hires";#N/A,#N/A,FALSE,"Assumptions"}</definedName>
    <definedName name="ddd" localSheetId="0" hidden="1">{"JANRDET",#N/A,FALSE,"detail"}</definedName>
    <definedName name="ddd" localSheetId="1" hidden="1">{"JANRDET",#N/A,FALSE,"detail"}</definedName>
    <definedName name="ddd" localSheetId="2" hidden="1">{"JANRDET",#N/A,FALSE,"detail"}</definedName>
    <definedName name="ddd" localSheetId="3" hidden="1">{"JANRDET",#N/A,FALSE,"detail"}</definedName>
    <definedName name="ddd" hidden="1">{"JANRDET",#N/A,FALSE,"detail"}</definedName>
    <definedName name="de" localSheetId="0" hidden="1">{#N/A,#N/A,FALSE,"Assessment";#N/A,#N/A,FALSE,"Staffing";#N/A,#N/A,FALSE,"Hires";#N/A,#N/A,FALSE,"Assumptions"}</definedName>
    <definedName name="de" localSheetId="1" hidden="1">{#N/A,#N/A,FALSE,"Assessment";#N/A,#N/A,FALSE,"Staffing";#N/A,#N/A,FALSE,"Hires";#N/A,#N/A,FALSE,"Assumptions"}</definedName>
    <definedName name="de" localSheetId="2" hidden="1">{#N/A,#N/A,FALSE,"Assessment";#N/A,#N/A,FALSE,"Staffing";#N/A,#N/A,FALSE,"Hires";#N/A,#N/A,FALSE,"Assumptions"}</definedName>
    <definedName name="de" localSheetId="3" hidden="1">{#N/A,#N/A,FALSE,"Assessment";#N/A,#N/A,FALSE,"Staffing";#N/A,#N/A,FALSE,"Hires";#N/A,#N/A,FALSE,"Assumptions"}</definedName>
    <definedName name="de" hidden="1">{#N/A,#N/A,FALSE,"Assessment";#N/A,#N/A,FALSE,"Staffing";#N/A,#N/A,FALSE,"Hires";#N/A,#N/A,FALSE,"Assumptions"}</definedName>
    <definedName name="dfs" localSheetId="0" hidden="1">{#N/A,#N/A,FALSE,"Membership";#N/A,#N/A,FALSE,"Membership cont";#N/A,#N/A,FALSE,"Info Source";#N/A,#N/A,FALSE,"Referral Source";#N/A,#N/A,FALSE,"Presenting";#N/A,#N/A,FALSE,"Case Disposition";#N/A,#N/A,FALSE,"Assessed";#N/A,#N/A,FALSE,"Telephone"}</definedName>
    <definedName name="dfs" localSheetId="1" hidden="1">{#N/A,#N/A,FALSE,"Membership";#N/A,#N/A,FALSE,"Membership cont";#N/A,#N/A,FALSE,"Info Source";#N/A,#N/A,FALSE,"Referral Source";#N/A,#N/A,FALSE,"Presenting";#N/A,#N/A,FALSE,"Case Disposition";#N/A,#N/A,FALSE,"Assessed";#N/A,#N/A,FALSE,"Telephone"}</definedName>
    <definedName name="dfs" localSheetId="2" hidden="1">{#N/A,#N/A,FALSE,"Membership";#N/A,#N/A,FALSE,"Membership cont";#N/A,#N/A,FALSE,"Info Source";#N/A,#N/A,FALSE,"Referral Source";#N/A,#N/A,FALSE,"Presenting";#N/A,#N/A,FALSE,"Case Disposition";#N/A,#N/A,FALSE,"Assessed";#N/A,#N/A,FALSE,"Telephone"}</definedName>
    <definedName name="dfs" localSheetId="3" hidden="1">{#N/A,#N/A,FALSE,"Membership";#N/A,#N/A,FALSE,"Membership cont";#N/A,#N/A,FALSE,"Info Source";#N/A,#N/A,FALSE,"Referral Source";#N/A,#N/A,FALSE,"Presenting";#N/A,#N/A,FALSE,"Case Disposition";#N/A,#N/A,FALSE,"Assessed";#N/A,#N/A,FALSE,"Telephone"}</definedName>
    <definedName name="dfs" hidden="1">{#N/A,#N/A,FALSE,"Membership";#N/A,#N/A,FALSE,"Membership cont";#N/A,#N/A,FALSE,"Info Source";#N/A,#N/A,FALSE,"Referral Source";#N/A,#N/A,FALSE,"Presenting";#N/A,#N/A,FALSE,"Case Disposition";#N/A,#N/A,FALSE,"Assessed";#N/A,#N/A,FALSE,"Telephone"}</definedName>
    <definedName name="Diagnoses" localSheetId="0" hidden="1">{#N/A,#N/A,FALSE,"Membership";#N/A,#N/A,FALSE,"Membership cont";#N/A,#N/A,FALSE,"Info Source";#N/A,#N/A,FALSE,"Referral Source";#N/A,#N/A,FALSE,"Presenting";#N/A,#N/A,FALSE,"Case Disposition";#N/A,#N/A,FALSE,"Assessed";#N/A,#N/A,FALSE,"Telephone"}</definedName>
    <definedName name="Diagnoses" localSheetId="1" hidden="1">{#N/A,#N/A,FALSE,"Membership";#N/A,#N/A,FALSE,"Membership cont";#N/A,#N/A,FALSE,"Info Source";#N/A,#N/A,FALSE,"Referral Source";#N/A,#N/A,FALSE,"Presenting";#N/A,#N/A,FALSE,"Case Disposition";#N/A,#N/A,FALSE,"Assessed";#N/A,#N/A,FALSE,"Telephone"}</definedName>
    <definedName name="Diagnoses" localSheetId="2" hidden="1">{#N/A,#N/A,FALSE,"Membership";#N/A,#N/A,FALSE,"Membership cont";#N/A,#N/A,FALSE,"Info Source";#N/A,#N/A,FALSE,"Referral Source";#N/A,#N/A,FALSE,"Presenting";#N/A,#N/A,FALSE,"Case Disposition";#N/A,#N/A,FALSE,"Assessed";#N/A,#N/A,FALSE,"Telephone"}</definedName>
    <definedName name="Diagnoses" localSheetId="3"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localSheetId="0" hidden="1">{#N/A,#N/A,FALSE,"Membership";#N/A,#N/A,FALSE,"Membership cont";#N/A,#N/A,FALSE,"Info Source";#N/A,#N/A,FALSE,"Referral Source";#N/A,#N/A,FALSE,"Presenting";#N/A,#N/A,FALSE,"Case Disposition";#N/A,#N/A,FALSE,"Assessed";#N/A,#N/A,FALSE,"Telephone"}</definedName>
    <definedName name="Diagnoses2" localSheetId="1" hidden="1">{#N/A,#N/A,FALSE,"Membership";#N/A,#N/A,FALSE,"Membership cont";#N/A,#N/A,FALSE,"Info Source";#N/A,#N/A,FALSE,"Referral Source";#N/A,#N/A,FALSE,"Presenting";#N/A,#N/A,FALSE,"Case Disposition";#N/A,#N/A,FALSE,"Assessed";#N/A,#N/A,FALSE,"Telephone"}</definedName>
    <definedName name="Diagnoses2" localSheetId="2" hidden="1">{#N/A,#N/A,FALSE,"Membership";#N/A,#N/A,FALSE,"Membership cont";#N/A,#N/A,FALSE,"Info Source";#N/A,#N/A,FALSE,"Referral Source";#N/A,#N/A,FALSE,"Presenting";#N/A,#N/A,FALSE,"Case Disposition";#N/A,#N/A,FALSE,"Assessed";#N/A,#N/A,FALSE,"Telephone"}</definedName>
    <definedName name="Diagnoses2" localSheetId="3"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localSheetId="0" hidden="1">{#N/A,#N/A,FALSE,"Membership";#N/A,#N/A,FALSE,"Membership cont";#N/A,#N/A,FALSE,"Info Source";#N/A,#N/A,FALSE,"Referral Source";#N/A,#N/A,FALSE,"Presenting";#N/A,#N/A,FALSE,"Case Disposition";#N/A,#N/A,FALSE,"Assessed";#N/A,#N/A,FALSE,"Telephone"}</definedName>
    <definedName name="Dx" localSheetId="1" hidden="1">{#N/A,#N/A,FALSE,"Membership";#N/A,#N/A,FALSE,"Membership cont";#N/A,#N/A,FALSE,"Info Source";#N/A,#N/A,FALSE,"Referral Source";#N/A,#N/A,FALSE,"Presenting";#N/A,#N/A,FALSE,"Case Disposition";#N/A,#N/A,FALSE,"Assessed";#N/A,#N/A,FALSE,"Telephone"}</definedName>
    <definedName name="Dx" localSheetId="2" hidden="1">{#N/A,#N/A,FALSE,"Membership";#N/A,#N/A,FALSE,"Membership cont";#N/A,#N/A,FALSE,"Info Source";#N/A,#N/A,FALSE,"Referral Source";#N/A,#N/A,FALSE,"Presenting";#N/A,#N/A,FALSE,"Case Disposition";#N/A,#N/A,FALSE,"Assessed";#N/A,#N/A,FALSE,"Telephone"}</definedName>
    <definedName name="Dx" localSheetId="3"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localSheetId="0" hidden="1">{"rfcjan",#N/A,FALSE,"Stats"}</definedName>
    <definedName name="erf" localSheetId="1" hidden="1">{"rfcjan",#N/A,FALSE,"Stats"}</definedName>
    <definedName name="erf" localSheetId="2" hidden="1">{"rfcjan",#N/A,FALSE,"Stats"}</definedName>
    <definedName name="erf" localSheetId="3" hidden="1">{"rfcjan",#N/A,FALSE,"Stats"}</definedName>
    <definedName name="erf" hidden="1">{"rfcjan",#N/A,FALSE,"Stats"}</definedName>
    <definedName name="eri" localSheetId="0" hidden="1">{"rfcjan",#N/A,FALSE,"Stats"}</definedName>
    <definedName name="eri" localSheetId="1" hidden="1">{"rfcjan",#N/A,FALSE,"Stats"}</definedName>
    <definedName name="eri" localSheetId="2" hidden="1">{"rfcjan",#N/A,FALSE,"Stats"}</definedName>
    <definedName name="eri" localSheetId="3" hidden="1">{"rfcjan",#N/A,FALSE,"Stats"}</definedName>
    <definedName name="eri" hidden="1">{"rfcjan",#N/A,FALSE,"Stats"}</definedName>
    <definedName name="erp" localSheetId="0" hidden="1">{"rfcjan",#N/A,FALSE,"Stats"}</definedName>
    <definedName name="erp" localSheetId="1" hidden="1">{"rfcjan",#N/A,FALSE,"Stats"}</definedName>
    <definedName name="erp" localSheetId="2" hidden="1">{"rfcjan",#N/A,FALSE,"Stats"}</definedName>
    <definedName name="erp" localSheetId="3" hidden="1">{"rfcjan",#N/A,FALSE,"Stats"}</definedName>
    <definedName name="erp" hidden="1">{"rfcjan",#N/A,FALSE,"Stats"}</definedName>
    <definedName name="ewra" localSheetId="0" hidden="1">{#N/A,#N/A,FALSE,"AD_Purchase";#N/A,#N/A,FALSE,"Credit";#N/A,#N/A,FALSE,"PF Acquisition";#N/A,#N/A,FALSE,"PF Offering"}</definedName>
    <definedName name="ewra" localSheetId="1" hidden="1">{#N/A,#N/A,FALSE,"AD_Purchase";#N/A,#N/A,FALSE,"Credit";#N/A,#N/A,FALSE,"PF Acquisition";#N/A,#N/A,FALSE,"PF Offering"}</definedName>
    <definedName name="ewra" localSheetId="2" hidden="1">{#N/A,#N/A,FALSE,"AD_Purchase";#N/A,#N/A,FALSE,"Credit";#N/A,#N/A,FALSE,"PF Acquisition";#N/A,#N/A,FALSE,"PF Offering"}</definedName>
    <definedName name="ewra" localSheetId="3" hidden="1">{#N/A,#N/A,FALSE,"AD_Purchase";#N/A,#N/A,FALSE,"Credit";#N/A,#N/A,FALSE,"PF Acquisition";#N/A,#N/A,FALSE,"PF Offering"}</definedName>
    <definedName name="ewra" hidden="1">{#N/A,#N/A,FALSE,"AD_Purchase";#N/A,#N/A,FALSE,"Credit";#N/A,#N/A,FALSE,"PF Acquisition";#N/A,#N/A,FALSE,"PF Offering"}</definedName>
    <definedName name="f" localSheetId="0" hidden="1">{"rfcjan",#N/A,FALSE,"Stats"}</definedName>
    <definedName name="f" localSheetId="1" hidden="1">{"rfcjan",#N/A,FALSE,"Stats"}</definedName>
    <definedName name="f" localSheetId="2" hidden="1">{"rfcjan",#N/A,FALSE,"Stats"}</definedName>
    <definedName name="f" localSheetId="3" hidden="1">{"rfcjan",#N/A,FALSE,"Stats"}</definedName>
    <definedName name="f" hidden="1">{"rfcjan",#N/A,FALSE,"Stats"}</definedName>
    <definedName name="FAR" localSheetId="0" hidden="1">{"rfcjan",#N/A,FALSE,"Stats"}</definedName>
    <definedName name="FAR" localSheetId="1" hidden="1">{"rfcjan",#N/A,FALSE,"Stats"}</definedName>
    <definedName name="FAR" localSheetId="2" hidden="1">{"rfcjan",#N/A,FALSE,"Stats"}</definedName>
    <definedName name="FAR" localSheetId="3" hidden="1">{"rfcjan",#N/A,FALSE,"Stats"}</definedName>
    <definedName name="FAR" hidden="1">{"rfcjan",#N/A,FALSE,"Stats"}</definedName>
    <definedName name="financial" localSheetId="0" hidden="1">{#N/A,#N/A,FALSE,"Summary";#N/A,#N/A,FALSE,"Projections";#N/A,#N/A,FALSE,"Mkt Mults";#N/A,#N/A,FALSE,"DCF";#N/A,#N/A,FALSE,"Accr Dil";#N/A,#N/A,FALSE,"PIC LBO";#N/A,#N/A,FALSE,"MULT10_4";#N/A,#N/A,FALSE,"CBI LBO"}</definedName>
    <definedName name="financial" localSheetId="1" hidden="1">{#N/A,#N/A,FALSE,"Summary";#N/A,#N/A,FALSE,"Projections";#N/A,#N/A,FALSE,"Mkt Mults";#N/A,#N/A,FALSE,"DCF";#N/A,#N/A,FALSE,"Accr Dil";#N/A,#N/A,FALSE,"PIC LBO";#N/A,#N/A,FALSE,"MULT10_4";#N/A,#N/A,FALSE,"CBI LBO"}</definedName>
    <definedName name="financial" localSheetId="2" hidden="1">{#N/A,#N/A,FALSE,"Summary";#N/A,#N/A,FALSE,"Projections";#N/A,#N/A,FALSE,"Mkt Mults";#N/A,#N/A,FALSE,"DCF";#N/A,#N/A,FALSE,"Accr Dil";#N/A,#N/A,FALSE,"PIC LBO";#N/A,#N/A,FALSE,"MULT10_4";#N/A,#N/A,FALSE,"CBI LBO"}</definedName>
    <definedName name="financial" localSheetId="3" hidden="1">{#N/A,#N/A,FALSE,"Summary";#N/A,#N/A,FALSE,"Projections";#N/A,#N/A,FALSE,"Mkt Mults";#N/A,#N/A,FALSE,"DCF";#N/A,#N/A,FALSE,"Accr Dil";#N/A,#N/A,FALSE,"PIC LBO";#N/A,#N/A,FALSE,"MULT10_4";#N/A,#N/A,FALSE,"CBI LBO"}</definedName>
    <definedName name="financial" hidden="1">{#N/A,#N/A,FALSE,"Summary";#N/A,#N/A,FALSE,"Projections";#N/A,#N/A,FALSE,"Mkt Mults";#N/A,#N/A,FALSE,"DCF";#N/A,#N/A,FALSE,"Accr Dil";#N/A,#N/A,FALSE,"PIC LBO";#N/A,#N/A,FALSE,"MULT10_4";#N/A,#N/A,FALSE,"CBI LBO"}</definedName>
    <definedName name="g" localSheetId="0" hidden="1">{"testysht3",#N/A,FALSE,"Sheet3"}</definedName>
    <definedName name="g" localSheetId="1" hidden="1">{"testysht3",#N/A,FALSE,"Sheet3"}</definedName>
    <definedName name="g" localSheetId="2" hidden="1">{"testysht3",#N/A,FALSE,"Sheet3"}</definedName>
    <definedName name="g" localSheetId="3" hidden="1">{"testysht3",#N/A,FALSE,"Sheet3"}</definedName>
    <definedName name="g" hidden="1">{"testysht3",#N/A,FALSE,"Sheet3"}</definedName>
    <definedName name="gasd" localSheetId="0" hidden="1">{#N/A,#N/A,FALSE,"Assessment";#N/A,#N/A,FALSE,"Staffing";#N/A,#N/A,FALSE,"Hires";#N/A,#N/A,FALSE,"Assumptions"}</definedName>
    <definedName name="gasd" localSheetId="1" hidden="1">{#N/A,#N/A,FALSE,"Assessment";#N/A,#N/A,FALSE,"Staffing";#N/A,#N/A,FALSE,"Hires";#N/A,#N/A,FALSE,"Assumptions"}</definedName>
    <definedName name="gasd" localSheetId="2" hidden="1">{#N/A,#N/A,FALSE,"Assessment";#N/A,#N/A,FALSE,"Staffing";#N/A,#N/A,FALSE,"Hires";#N/A,#N/A,FALSE,"Assumptions"}</definedName>
    <definedName name="gasd" localSheetId="3" hidden="1">{#N/A,#N/A,FALSE,"Assessment";#N/A,#N/A,FALSE,"Staffing";#N/A,#N/A,FALSE,"Hires";#N/A,#N/A,FALSE,"Assumptions"}</definedName>
    <definedName name="gasd" hidden="1">{#N/A,#N/A,FALSE,"Assessment";#N/A,#N/A,FALSE,"Staffing";#N/A,#N/A,FALSE,"Hires";#N/A,#N/A,FALSE,"Assumptions"}</definedName>
    <definedName name="gf"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localSheetId="0" hidden="1">{"rfcjan",#N/A,FALSE,"Stats"}</definedName>
    <definedName name="gyoit87" localSheetId="1" hidden="1">{"rfcjan",#N/A,FALSE,"Stats"}</definedName>
    <definedName name="gyoit87" localSheetId="2" hidden="1">{"rfcjan",#N/A,FALSE,"Stats"}</definedName>
    <definedName name="gyoit87" localSheetId="3" hidden="1">{"rfcjan",#N/A,FALSE,"Stats"}</definedName>
    <definedName name="gyoit87" hidden="1">{"rfcjan",#N/A,FALSE,"Stats"}</definedName>
    <definedName name="h" hidden="1">#REF!</definedName>
    <definedName name="help" localSheetId="0" hidden="1">{"rfcjan",#N/A,FALSE,"Stats"}</definedName>
    <definedName name="help" localSheetId="1" hidden="1">{"rfcjan",#N/A,FALSE,"Stats"}</definedName>
    <definedName name="help" localSheetId="2" hidden="1">{"rfcjan",#N/A,FALSE,"Stats"}</definedName>
    <definedName name="help" localSheetId="3" hidden="1">{"rfcjan",#N/A,FALSE,"Stats"}</definedName>
    <definedName name="help" hidden="1">{"rfcjan",#N/A,FALSE,"Stats"}</definedName>
    <definedName name="hod" localSheetId="0" hidden="1">{#N/A,#N/A,FALSE,"TS";#N/A,#N/A,FALSE,"Combo";#N/A,#N/A,FALSE,"FAIR";#N/A,#N/A,FALSE,"RBC";#N/A,#N/A,FALSE,"xxxx";#N/A,#N/A,FALSE,"A_D";#N/A,#N/A,FALSE,"WACC";#N/A,#N/A,FALSE,"DCF";#N/A,#N/A,FALSE,"LBO";#N/A,#N/A,FALSE,"AcqMults";#N/A,#N/A,FALSE,"CompMults"}</definedName>
    <definedName name="hod" localSheetId="1" hidden="1">{#N/A,#N/A,FALSE,"TS";#N/A,#N/A,FALSE,"Combo";#N/A,#N/A,FALSE,"FAIR";#N/A,#N/A,FALSE,"RBC";#N/A,#N/A,FALSE,"xxxx";#N/A,#N/A,FALSE,"A_D";#N/A,#N/A,FALSE,"WACC";#N/A,#N/A,FALSE,"DCF";#N/A,#N/A,FALSE,"LBO";#N/A,#N/A,FALSE,"AcqMults";#N/A,#N/A,FALSE,"CompMults"}</definedName>
    <definedName name="hod" localSheetId="2" hidden="1">{#N/A,#N/A,FALSE,"TS";#N/A,#N/A,FALSE,"Combo";#N/A,#N/A,FALSE,"FAIR";#N/A,#N/A,FALSE,"RBC";#N/A,#N/A,FALSE,"xxxx";#N/A,#N/A,FALSE,"A_D";#N/A,#N/A,FALSE,"WACC";#N/A,#N/A,FALSE,"DCF";#N/A,#N/A,FALSE,"LBO";#N/A,#N/A,FALSE,"AcqMults";#N/A,#N/A,FALSE,"CompMults"}</definedName>
    <definedName name="hod" localSheetId="3" hidden="1">{#N/A,#N/A,FALSE,"TS";#N/A,#N/A,FALSE,"Combo";#N/A,#N/A,FALSE,"FAIR";#N/A,#N/A,FALSE,"RBC";#N/A,#N/A,FALSE,"xxxx";#N/A,#N/A,FALSE,"A_D";#N/A,#N/A,FALSE,"WACC";#N/A,#N/A,FALSE,"DCF";#N/A,#N/A,FALSE,"LBO";#N/A,#N/A,FALSE,"AcqMults";#N/A,#N/A,FALSE,"CompMults"}</definedName>
    <definedName name="hod" hidden="1">{#N/A,#N/A,FALSE,"TS";#N/A,#N/A,FALSE,"Combo";#N/A,#N/A,FALSE,"FAIR";#N/A,#N/A,FALSE,"RBC";#N/A,#N/A,FALSE,"xxxx";#N/A,#N/A,FALSE,"A_D";#N/A,#N/A,FALSE,"WACC";#N/A,#N/A,FALSE,"DCF";#N/A,#N/A,FALSE,"LBO";#N/A,#N/A,FALSE,"AcqMults";#N/A,#N/A,FALSE,"CompMults"}</definedName>
    <definedName name="HOME" localSheetId="0" hidden="1">{#N/A,#N/A,FALSE,"Assessment";#N/A,#N/A,FALSE,"Staffing";#N/A,#N/A,FALSE,"Hires";#N/A,#N/A,FALSE,"Assumptions"}</definedName>
    <definedName name="HOME" localSheetId="1" hidden="1">{#N/A,#N/A,FALSE,"Assessment";#N/A,#N/A,FALSE,"Staffing";#N/A,#N/A,FALSE,"Hires";#N/A,#N/A,FALSE,"Assumptions"}</definedName>
    <definedName name="HOME" localSheetId="2" hidden="1">{#N/A,#N/A,FALSE,"Assessment";#N/A,#N/A,FALSE,"Staffing";#N/A,#N/A,FALSE,"Hires";#N/A,#N/A,FALSE,"Assumptions"}</definedName>
    <definedName name="HOME" localSheetId="3" hidden="1">{#N/A,#N/A,FALSE,"Assessment";#N/A,#N/A,FALSE,"Staffing";#N/A,#N/A,FALSE,"Hires";#N/A,#N/A,FALSE,"Assumptions"}</definedName>
    <definedName name="HOME" hidden="1">{#N/A,#N/A,FALSE,"Assessment";#N/A,#N/A,FALSE,"Staffing";#N/A,#N/A,FALSE,"Hires";#N/A,#N/A,FALSE,"Assumptions"}</definedName>
    <definedName name="HOMFE" localSheetId="0" hidden="1">{#N/A,#N/A,FALSE,"Assessment";#N/A,#N/A,FALSE,"Staffing";#N/A,#N/A,FALSE,"Hires";#N/A,#N/A,FALSE,"Assumptions"}</definedName>
    <definedName name="HOMFE" localSheetId="1" hidden="1">{#N/A,#N/A,FALSE,"Assessment";#N/A,#N/A,FALSE,"Staffing";#N/A,#N/A,FALSE,"Hires";#N/A,#N/A,FALSE,"Assumptions"}</definedName>
    <definedName name="HOMFE" localSheetId="2" hidden="1">{#N/A,#N/A,FALSE,"Assessment";#N/A,#N/A,FALSE,"Staffing";#N/A,#N/A,FALSE,"Hires";#N/A,#N/A,FALSE,"Assumptions"}</definedName>
    <definedName name="HOMFE" localSheetId="3" hidden="1">{#N/A,#N/A,FALSE,"Assessment";#N/A,#N/A,FALSE,"Staffing";#N/A,#N/A,FALSE,"Hires";#N/A,#N/A,FALSE,"Assumptions"}</definedName>
    <definedName name="HOMFE" hidden="1">{#N/A,#N/A,FALSE,"Assessment";#N/A,#N/A,FALSE,"Staffing";#N/A,#N/A,FALSE,"Hires";#N/A,#N/A,FALSE,"Assumptions"}</definedName>
    <definedName name="houy" localSheetId="0" hidden="1">{#N/A,#N/A,FALSE,"AD_Purchase";#N/A,#N/A,FALSE,"Credit";#N/A,#N/A,FALSE,"PF Acquisition";#N/A,#N/A,FALSE,"PF Offering"}</definedName>
    <definedName name="houy" localSheetId="1" hidden="1">{#N/A,#N/A,FALSE,"AD_Purchase";#N/A,#N/A,FALSE,"Credit";#N/A,#N/A,FALSE,"PF Acquisition";#N/A,#N/A,FALSE,"PF Offering"}</definedName>
    <definedName name="houy" localSheetId="2" hidden="1">{#N/A,#N/A,FALSE,"AD_Purchase";#N/A,#N/A,FALSE,"Credit";#N/A,#N/A,FALSE,"PF Acquisition";#N/A,#N/A,FALSE,"PF Offering"}</definedName>
    <definedName name="houy" localSheetId="3" hidden="1">{#N/A,#N/A,FALSE,"AD_Purchase";#N/A,#N/A,FALSE,"Credit";#N/A,#N/A,FALSE,"PF Acquisition";#N/A,#N/A,FALSE,"PF Offering"}</definedName>
    <definedName name="houy" hidden="1">{#N/A,#N/A,FALSE,"AD_Purchase";#N/A,#N/A,FALSE,"Credit";#N/A,#N/A,FALSE,"PF Acquisition";#N/A,#N/A,FALSE,"PF Offering"}</definedName>
    <definedName name="howareyoudoing" localSheetId="0" hidden="1">{"testysht3",#N/A,FALSE,"Sheet3"}</definedName>
    <definedName name="howareyoudoing" localSheetId="1" hidden="1">{"testysht3",#N/A,FALSE,"Sheet3"}</definedName>
    <definedName name="howareyoudoing" localSheetId="2" hidden="1">{"testysht3",#N/A,FALSE,"Sheet3"}</definedName>
    <definedName name="howareyoudoing" localSheetId="3" hidden="1">{"testysht3",#N/A,FALSE,"Sheet3"}</definedName>
    <definedName name="howareyoudoing" hidden="1">{"testysht3",#N/A,FALSE,"Sheet3"}</definedName>
    <definedName name="HPGuidance" localSheetId="0" hidden="1">{"JANRDET",#N/A,FALSE,"detail"}</definedName>
    <definedName name="HPGuidance" localSheetId="1" hidden="1">{"JANRDET",#N/A,FALSE,"detail"}</definedName>
    <definedName name="HPGuidance" localSheetId="2" hidden="1">{"JANRDET",#N/A,FALSE,"detail"}</definedName>
    <definedName name="HPGuidance" localSheetId="3" hidden="1">{"JANRDET",#N/A,FALSE,"detail"}</definedName>
    <definedName name="HPGuidance" hidden="1">{"JANRDET",#N/A,FALSE,"detail"}</definedName>
    <definedName name="io" localSheetId="0" hidden="1">{0,#N/A,FALSE,0}</definedName>
    <definedName name="io" localSheetId="1" hidden="1">{0,#N/A,FALSE,0}</definedName>
    <definedName name="io" localSheetId="2" hidden="1">{0,#N/A,FALSE,0}</definedName>
    <definedName name="io" localSheetId="3" hidden="1">{0,#N/A,FALSE,0}</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0" hidden="1">{"rfcjan",#N/A,FALSE,"Stats"}</definedName>
    <definedName name="k" localSheetId="1" hidden="1">{"rfcjan",#N/A,FALSE,"Stats"}</definedName>
    <definedName name="k" localSheetId="2" hidden="1">{"rfcjan",#N/A,FALSE,"Stats"}</definedName>
    <definedName name="k" localSheetId="3" hidden="1">{"rfcjan",#N/A,FALSE,"Stats"}</definedName>
    <definedName name="k" hidden="1">{"rfcjan",#N/A,FALSE,"Stats"}</definedName>
    <definedName name="KKK" localSheetId="0" hidden="1">{#N/A,#N/A,FALSE,"Assessment";#N/A,#N/A,FALSE,"Staffing";#N/A,#N/A,FALSE,"Hires";#N/A,#N/A,FALSE,"Assumptions"}</definedName>
    <definedName name="KKK" localSheetId="1" hidden="1">{#N/A,#N/A,FALSE,"Assessment";#N/A,#N/A,FALSE,"Staffing";#N/A,#N/A,FALSE,"Hires";#N/A,#N/A,FALSE,"Assumptions"}</definedName>
    <definedName name="KKK" localSheetId="2" hidden="1">{#N/A,#N/A,FALSE,"Assessment";#N/A,#N/A,FALSE,"Staffing";#N/A,#N/A,FALSE,"Hires";#N/A,#N/A,FALSE,"Assumptions"}</definedName>
    <definedName name="KKK" localSheetId="3" hidden="1">{#N/A,#N/A,FALSE,"Assessment";#N/A,#N/A,FALSE,"Staffing";#N/A,#N/A,FALSE,"Hires";#N/A,#N/A,FALSE,"Assumptions"}</definedName>
    <definedName name="KKK" hidden="1">{#N/A,#N/A,FALSE,"Assessment";#N/A,#N/A,FALSE,"Staffing";#N/A,#N/A,FALSE,"Hires";#N/A,#N/A,FALSE,"Assumptions"}</definedName>
    <definedName name="LineSupported" localSheetId="0">#REF!&gt;=Effective_Date</definedName>
    <definedName name="LineSupported" localSheetId="1">#REF!&gt;=Effective_Date</definedName>
    <definedName name="LineSupported" localSheetId="2">#REF!&gt;=Effective_Date</definedName>
    <definedName name="LineSupported" localSheetId="3">#REF!&gt;=Effective_Date</definedName>
    <definedName name="LineSupported">#REF!&gt;=Effective_Date</definedName>
    <definedName name="ListOffset" hidden="1">1</definedName>
    <definedName name="LOAD_FACTOR">3</definedName>
    <definedName name="MCO_Percentage">#REF!</definedName>
    <definedName name="nad" localSheetId="0" hidden="1">{"rfcjan",#N/A,FALSE,"Stats"}</definedName>
    <definedName name="nad" localSheetId="1" hidden="1">{"rfcjan",#N/A,FALSE,"Stats"}</definedName>
    <definedName name="nad" localSheetId="2" hidden="1">{"rfcjan",#N/A,FALSE,"Stats"}</definedName>
    <definedName name="nad" localSheetId="3" hidden="1">{"rfcjan",#N/A,FALSE,"Stats"}</definedName>
    <definedName name="nad" hidden="1">{"rfcjan",#N/A,FALSE,"Stats"}</definedName>
    <definedName name="nameconflict" localSheetId="0" hidden="1">{"rfcjan",#N/A,FALSE,"Stats"}</definedName>
    <definedName name="nameconflict" localSheetId="1" hidden="1">{"rfcjan",#N/A,FALSE,"Stats"}</definedName>
    <definedName name="nameconflict" localSheetId="2" hidden="1">{"rfcjan",#N/A,FALSE,"Stats"}</definedName>
    <definedName name="nameconflict" localSheetId="3" hidden="1">{"rfcjan",#N/A,FALSE,"Stats"}</definedName>
    <definedName name="nameconflict" hidden="1">{"rfcjan",#N/A,FALSE,"Stats"}</definedName>
    <definedName name="new" localSheetId="0" hidden="1">{"rfcjan",#N/A,FALSE,"Stats"}</definedName>
    <definedName name="new" localSheetId="1" hidden="1">{"rfcjan",#N/A,FALSE,"Stats"}</definedName>
    <definedName name="new" localSheetId="2" hidden="1">{"rfcjan",#N/A,FALSE,"Stats"}</definedName>
    <definedName name="new" localSheetId="3" hidden="1">{"rfcjan",#N/A,FALSE,"Stats"}</definedName>
    <definedName name="new" hidden="1">{"rfcjan",#N/A,FALSE,"Stats"}</definedName>
    <definedName name="nnn" localSheetId="0" hidden="1">{#N/A,#N/A,FALSE,"Assessment";#N/A,#N/A,FALSE,"Staffing";#N/A,#N/A,FALSE,"Hires";#N/A,#N/A,FALSE,"Assumptions"}</definedName>
    <definedName name="nnn" localSheetId="1" hidden="1">{#N/A,#N/A,FALSE,"Assessment";#N/A,#N/A,FALSE,"Staffing";#N/A,#N/A,FALSE,"Hires";#N/A,#N/A,FALSE,"Assumptions"}</definedName>
    <definedName name="nnn" localSheetId="2" hidden="1">{#N/A,#N/A,FALSE,"Assessment";#N/A,#N/A,FALSE,"Staffing";#N/A,#N/A,FALSE,"Hires";#N/A,#N/A,FALSE,"Assumptions"}</definedName>
    <definedName name="nnn" localSheetId="3" hidden="1">{#N/A,#N/A,FALSE,"Assessment";#N/A,#N/A,FALSE,"Staffing";#N/A,#N/A,FALSE,"Hires";#N/A,#N/A,FALSE,"Assumptions"}</definedName>
    <definedName name="nnn" hidden="1">{#N/A,#N/A,FALSE,"Assessment";#N/A,#N/A,FALSE,"Staffing";#N/A,#N/A,FALSE,"Hires";#N/A,#N/A,FALSE,"Assumptions"}</definedName>
    <definedName name="o" localSheetId="0" hidden="1">{#N/A,#N/A,FALSE,"New Depr Sch-150% DB";#N/A,#N/A,FALSE,"Cash Flows RLP";#N/A,#N/A,FALSE,"IRR";#N/A,#N/A,FALSE,"Proforma IS";#N/A,#N/A,FALSE,"Assumptions"}</definedName>
    <definedName name="o" localSheetId="1" hidden="1">{#N/A,#N/A,FALSE,"New Depr Sch-150% DB";#N/A,#N/A,FALSE,"Cash Flows RLP";#N/A,#N/A,FALSE,"IRR";#N/A,#N/A,FALSE,"Proforma IS";#N/A,#N/A,FALSE,"Assumptions"}</definedName>
    <definedName name="o" localSheetId="2" hidden="1">{#N/A,#N/A,FALSE,"New Depr Sch-150% DB";#N/A,#N/A,FALSE,"Cash Flows RLP";#N/A,#N/A,FALSE,"IRR";#N/A,#N/A,FALSE,"Proforma IS";#N/A,#N/A,FALSE,"Assumptions"}</definedName>
    <definedName name="o" localSheetId="3" hidden="1">{#N/A,#N/A,FALSE,"New Depr Sch-150% DB";#N/A,#N/A,FALSE,"Cash Flows RLP";#N/A,#N/A,FALSE,"IRR";#N/A,#N/A,FALSE,"Proforma IS";#N/A,#N/A,FALSE,"Assumptions"}</definedName>
    <definedName name="o" hidden="1">{#N/A,#N/A,FALSE,"New Depr Sch-150% DB";#N/A,#N/A,FALSE,"Cash Flows RLP";#N/A,#N/A,FALSE,"IRR";#N/A,#N/A,FALSE,"Proforma IS";#N/A,#N/A,FALSE,"Assumptions"}</definedName>
    <definedName name="ouighou" localSheetId="0" hidden="1">{"rfcjan",#N/A,FALSE,"Stats"}</definedName>
    <definedName name="ouighou" localSheetId="1" hidden="1">{"rfcjan",#N/A,FALSE,"Stats"}</definedName>
    <definedName name="ouighou" localSheetId="2" hidden="1">{"rfcjan",#N/A,FALSE,"Stats"}</definedName>
    <definedName name="ouighou" localSheetId="3" hidden="1">{"rfcjan",#N/A,FALSE,"Stats"}</definedName>
    <definedName name="ouighou" hidden="1">{"rfcjan",#N/A,FALSE,"Stats"}</definedName>
    <definedName name="Portion">MAX(IF(ISNUMBER(#REF!),#REF!),IF(ISNUMBER(#REF!),#REF!))</definedName>
    <definedName name="_xlnm.Print_Area" localSheetId="5">'F-1 Provider Svcs DDI Costs'!$A$1:$S$26</definedName>
    <definedName name="_xlnm.Print_Area" localSheetId="6">'F-2 Provider Svcs Ops Costs'!$A$1:$Y$34</definedName>
    <definedName name="_xlnm.Print_Area" localSheetId="7">'F-3 Provider Svcs DDI Pool Cost'!$A$1:$Q$27</definedName>
    <definedName name="_xlnm.Print_Area" localSheetId="8">'F-4 Provider Svcs Ops Pool'!$A$1:$Q$34</definedName>
    <definedName name="_xlnm.Print_Area" localSheetId="9">'G-1 Provider Svcs DDI Cost'!$A$1:$S$27</definedName>
    <definedName name="_xlnm.Print_Area" localSheetId="10">'G-2 Provider Svcs Ops Cost'!$A$1:$Y$34</definedName>
    <definedName name="_xlnm.Print_Area" localSheetId="11">'G-3 Provider Svcs DDI Pool'!$A$1:$Q$27</definedName>
    <definedName name="_xlnm.Print_Area" localSheetId="12">'G-4 Provider Svcs Ops Pool'!$A$1:$Q$35</definedName>
    <definedName name="_xlnm.Print_Area" localSheetId="13">'H-1 Provider Svcs DDI Cost'!$A$1:$S$27</definedName>
    <definedName name="_xlnm.Print_Area" localSheetId="14">'H-2 Provider Svcs Ops Cost'!$A$1:$Y$34</definedName>
    <definedName name="_xlnm.Print_Area" localSheetId="15">'H-3 Provider Svcs DDI Pool'!$A$1:$Q$27</definedName>
    <definedName name="_xlnm.Print_Area" localSheetId="16">'H-4 Provider Svcs Ops Pool'!$A$1:$Q$35</definedName>
    <definedName name="_xlnm.Print_Area" localSheetId="2">'Sch C - Cost of Ops'!$A$1:$B$60</definedName>
    <definedName name="_xlnm.Print_Area" localSheetId="3">'Sch D - Enhcmt Pool Hrs'!$A$1:$B$54</definedName>
    <definedName name="_xlnm.Print_Titles" localSheetId="5">'F-1 Provider Svcs DDI Costs'!$1:$2</definedName>
    <definedName name="_xlnm.Print_Titles" localSheetId="8">'F-4 Provider Svcs Ops Pool'!$A:$B</definedName>
    <definedName name="_xlnm.Print_Titles" localSheetId="9">'G-1 Provider Svcs DDI Cost'!$1:$2</definedName>
    <definedName name="_xlnm.Print_Titles" localSheetId="12">'G-4 Provider Svcs Ops Pool'!$A:$B</definedName>
    <definedName name="_xlnm.Print_Titles" localSheetId="13">'H-1 Provider Svcs DDI Cost'!$1:$2</definedName>
    <definedName name="_xlnm.Print_Titles" localSheetId="16">'H-4 Provider Svcs Ops Pool'!$A:$B</definedName>
    <definedName name="_xlnm.Print_Titles" localSheetId="1">'Sch B- DDI Pmnt Milestone'!$4:$4</definedName>
    <definedName name="_xlnm.Print_Titles" localSheetId="2">'Sch C - Cost of Ops'!$3:$3</definedName>
    <definedName name="_xlnm.Print_Titles" localSheetId="3">'Sch D - Enhcmt Pool Hrs'!$3:$3</definedName>
    <definedName name="_xlnm.Print_Titles" localSheetId="4">'Sch E - Resource Hourly Rates'!$3:$3</definedName>
    <definedName name="ProdSource">#REF!</definedName>
    <definedName name="q" localSheetId="0" hidden="1">{"rfcjan",#N/A,FALSE,"Stats"}</definedName>
    <definedName name="q" localSheetId="1" hidden="1">{"rfcjan",#N/A,FALSE,"Stats"}</definedName>
    <definedName name="q" localSheetId="2" hidden="1">{"rfcjan",#N/A,FALSE,"Stats"}</definedName>
    <definedName name="q" localSheetId="3" hidden="1">{"rfcjan",#N/A,FALSE,"Stats"}</definedName>
    <definedName name="q" hidden="1">{"rfcjan",#N/A,FALSE,"Stats"}</definedName>
    <definedName name="q1rename" localSheetId="0" hidden="1">{"rfcjan",#N/A,FALSE,"Stats"}</definedName>
    <definedName name="q1rename" localSheetId="1" hidden="1">{"rfcjan",#N/A,FALSE,"Stats"}</definedName>
    <definedName name="q1rename" localSheetId="2" hidden="1">{"rfcjan",#N/A,FALSE,"Stats"}</definedName>
    <definedName name="q1rename" localSheetId="3" hidden="1">{"rfcjan",#N/A,FALSE,"Stats"}</definedName>
    <definedName name="q1rename" hidden="1">{"rfcjan",#N/A,FALSE,"Stats"}</definedName>
    <definedName name="q2rename" localSheetId="0" hidden="1">{"rfcjan",#N/A,FALSE,"Stats"}</definedName>
    <definedName name="q2rename" localSheetId="1" hidden="1">{"rfcjan",#N/A,FALSE,"Stats"}</definedName>
    <definedName name="q2rename" localSheetId="2" hidden="1">{"rfcjan",#N/A,FALSE,"Stats"}</definedName>
    <definedName name="q2rename" localSheetId="3" hidden="1">{"rfcjan",#N/A,FALSE,"Stats"}</definedName>
    <definedName name="q2rename" hidden="1">{"rfcjan",#N/A,FALSE,"Stats"}</definedName>
    <definedName name="q3rename" localSheetId="0" hidden="1">{"rfcjan",#N/A,FALSE,"Stats"}</definedName>
    <definedName name="q3rename" localSheetId="1" hidden="1">{"rfcjan",#N/A,FALSE,"Stats"}</definedName>
    <definedName name="q3rename" localSheetId="2" hidden="1">{"rfcjan",#N/A,FALSE,"Stats"}</definedName>
    <definedName name="q3rename" localSheetId="3" hidden="1">{"rfcjan",#N/A,FALSE,"Stats"}</definedName>
    <definedName name="q3rename" hidden="1">{"rfcjan",#N/A,FALSE,"Stats"}</definedName>
    <definedName name="qrenam" localSheetId="0" hidden="1">{"rfcjan",#N/A,FALSE,"Stats"}</definedName>
    <definedName name="qrenam" localSheetId="1" hidden="1">{"rfcjan",#N/A,FALSE,"Stats"}</definedName>
    <definedName name="qrenam" localSheetId="2" hidden="1">{"rfcjan",#N/A,FALSE,"Stats"}</definedName>
    <definedName name="qrenam" localSheetId="3" hidden="1">{"rfcjan",#N/A,FALSE,"Stats"}</definedName>
    <definedName name="qrenam" hidden="1">{"rfcjan",#N/A,FALSE,"Stats"}</definedName>
    <definedName name="qtr1rename" localSheetId="0" hidden="1">{"rfcjan",#N/A,FALSE,"Stats"}</definedName>
    <definedName name="qtr1rename" localSheetId="1" hidden="1">{"rfcjan",#N/A,FALSE,"Stats"}</definedName>
    <definedName name="qtr1rename" localSheetId="2" hidden="1">{"rfcjan",#N/A,FALSE,"Stats"}</definedName>
    <definedName name="qtr1rename" localSheetId="3" hidden="1">{"rfcjan",#N/A,FALSE,"Stats"}</definedName>
    <definedName name="qtr1rename" hidden="1">{"rfcjan",#N/A,FALSE,"Stats"}</definedName>
    <definedName name="qtr3rename" localSheetId="0" hidden="1">{"rfcjan",#N/A,FALSE,"Stats"}</definedName>
    <definedName name="qtr3rename" localSheetId="1" hidden="1">{"rfcjan",#N/A,FALSE,"Stats"}</definedName>
    <definedName name="qtr3rename" localSheetId="2" hidden="1">{"rfcjan",#N/A,FALSE,"Stats"}</definedName>
    <definedName name="qtr3rename" localSheetId="3" hidden="1">{"rfcjan",#N/A,FALSE,"Stats"}</definedName>
    <definedName name="qtr3rename" hidden="1">{"rfcjan",#N/A,FALSE,"Stats"}</definedName>
    <definedName name="resources" localSheetId="0" hidden="1">{#N/A,#N/A,FALSE,"Assessment";#N/A,#N/A,FALSE,"Staffing";#N/A,#N/A,FALSE,"Hires";#N/A,#N/A,FALSE,"Assumptions"}</definedName>
    <definedName name="resources" localSheetId="1" hidden="1">{#N/A,#N/A,FALSE,"Assessment";#N/A,#N/A,FALSE,"Staffing";#N/A,#N/A,FALSE,"Hires";#N/A,#N/A,FALSE,"Assumptions"}</definedName>
    <definedName name="resources" localSheetId="2" hidden="1">{#N/A,#N/A,FALSE,"Assessment";#N/A,#N/A,FALSE,"Staffing";#N/A,#N/A,FALSE,"Hires";#N/A,#N/A,FALSE,"Assumptions"}</definedName>
    <definedName name="resources" localSheetId="3" hidden="1">{#N/A,#N/A,FALSE,"Assessment";#N/A,#N/A,FALSE,"Staffing";#N/A,#N/A,FALSE,"Hires";#N/A,#N/A,FALSE,"Assumptions"}</definedName>
    <definedName name="resources" hidden="1">{#N/A,#N/A,FALSE,"Assessment";#N/A,#N/A,FALSE,"Staffing";#N/A,#N/A,FALSE,"Hires";#N/A,#N/A,FALSE,"Assumptions"}</definedName>
    <definedName name="rwe" localSheetId="0" hidden="1">{#N/A,#N/A,FALSE,"Assessment";#N/A,#N/A,FALSE,"Staffing";#N/A,#N/A,FALSE,"Hires";#N/A,#N/A,FALSE,"Assumptions"}</definedName>
    <definedName name="rwe" localSheetId="1" hidden="1">{#N/A,#N/A,FALSE,"Assessment";#N/A,#N/A,FALSE,"Staffing";#N/A,#N/A,FALSE,"Hires";#N/A,#N/A,FALSE,"Assumptions"}</definedName>
    <definedName name="rwe" localSheetId="2" hidden="1">{#N/A,#N/A,FALSE,"Assessment";#N/A,#N/A,FALSE,"Staffing";#N/A,#N/A,FALSE,"Hires";#N/A,#N/A,FALSE,"Assumptions"}</definedName>
    <definedName name="rwe" localSheetId="3" hidden="1">{#N/A,#N/A,FALSE,"Assessment";#N/A,#N/A,FALSE,"Staffing";#N/A,#N/A,FALSE,"Hires";#N/A,#N/A,FALSE,"Assumptions"}</definedName>
    <definedName name="rwe" hidden="1">{#N/A,#N/A,FALSE,"Assessment";#N/A,#N/A,FALSE,"Staffing";#N/A,#N/A,FALSE,"Hires";#N/A,#N/A,FALSE,"Assumptions"}</definedName>
    <definedName name="sadf" localSheetId="0" hidden="1">{#N/A,#N/A,FALSE,"Assessment";#N/A,#N/A,FALSE,"Staffing";#N/A,#N/A,FALSE,"Hires";#N/A,#N/A,FALSE,"Assumptions"}</definedName>
    <definedName name="sadf" localSheetId="1" hidden="1">{#N/A,#N/A,FALSE,"Assessment";#N/A,#N/A,FALSE,"Staffing";#N/A,#N/A,FALSE,"Hires";#N/A,#N/A,FALSE,"Assumptions"}</definedName>
    <definedName name="sadf" localSheetId="2" hidden="1">{#N/A,#N/A,FALSE,"Assessment";#N/A,#N/A,FALSE,"Staffing";#N/A,#N/A,FALSE,"Hires";#N/A,#N/A,FALSE,"Assumptions"}</definedName>
    <definedName name="sadf" localSheetId="3" hidden="1">{#N/A,#N/A,FALSE,"Assessment";#N/A,#N/A,FALSE,"Staffing";#N/A,#N/A,FALSE,"Hires";#N/A,#N/A,FALSE,"Assumptions"}</definedName>
    <definedName name="sadf" hidden="1">{#N/A,#N/A,FALSE,"Assessment";#N/A,#N/A,FALSE,"Staffing";#N/A,#N/A,FALSE,"Hires";#N/A,#N/A,FALSE,"Assumptions"}</definedName>
    <definedName name="sd" localSheetId="0" hidden="1">{#N/A,#N/A,FALSE,"Membership";#N/A,#N/A,FALSE,"Membership cont";#N/A,#N/A,FALSE,"Info Source";#N/A,#N/A,FALSE,"Referral Source";#N/A,#N/A,FALSE,"Presenting";#N/A,#N/A,FALSE,"Case Disposition";#N/A,#N/A,FALSE,"Assessed";#N/A,#N/A,FALSE,"Telephone"}</definedName>
    <definedName name="sd" localSheetId="1" hidden="1">{#N/A,#N/A,FALSE,"Membership";#N/A,#N/A,FALSE,"Membership cont";#N/A,#N/A,FALSE,"Info Source";#N/A,#N/A,FALSE,"Referral Source";#N/A,#N/A,FALSE,"Presenting";#N/A,#N/A,FALSE,"Case Disposition";#N/A,#N/A,FALSE,"Assessed";#N/A,#N/A,FALSE,"Telephone"}</definedName>
    <definedName name="sd" localSheetId="2" hidden="1">{#N/A,#N/A,FALSE,"Membership";#N/A,#N/A,FALSE,"Membership cont";#N/A,#N/A,FALSE,"Info Source";#N/A,#N/A,FALSE,"Referral Source";#N/A,#N/A,FALSE,"Presenting";#N/A,#N/A,FALSE,"Case Disposition";#N/A,#N/A,FALSE,"Assessed";#N/A,#N/A,FALSE,"Telephone"}</definedName>
    <definedName name="sd" localSheetId="3" hidden="1">{#N/A,#N/A,FALSE,"Membership";#N/A,#N/A,FALSE,"Membership cont";#N/A,#N/A,FALSE,"Info Source";#N/A,#N/A,FALSE,"Referral Source";#N/A,#N/A,FALSE,"Presenting";#N/A,#N/A,FALSE,"Case Disposition";#N/A,#N/A,FALSE,"Assessed";#N/A,#N/A,FALSE,"Telephone"}</definedName>
    <definedName name="sd" hidden="1">{#N/A,#N/A,FALSE,"Membership";#N/A,#N/A,FALSE,"Membership cont";#N/A,#N/A,FALSE,"Info Source";#N/A,#N/A,FALSE,"Referral Source";#N/A,#N/A,FALSE,"Presenting";#N/A,#N/A,FALSE,"Case Disposition";#N/A,#N/A,FALSE,"Assessed";#N/A,#N/A,FALSE,"Telephone"}</definedName>
    <definedName name="sdf"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localSheetId="0" hidden="1">{#N/A,#N/A,FALSE,"TS";#N/A,#N/A,FALSE,"Combo";#N/A,#N/A,FALSE,"FAIR";#N/A,#N/A,FALSE,"RBC";#N/A,#N/A,FALSE,"xxxx";#N/A,#N/A,FALSE,"A_D";#N/A,#N/A,FALSE,"WACC";#N/A,#N/A,FALSE,"DCF";#N/A,#N/A,FALSE,"LBO";#N/A,#N/A,FALSE,"AcqMults";#N/A,#N/A,FALSE,"CompMults"}</definedName>
    <definedName name="sdfaw" localSheetId="1" hidden="1">{#N/A,#N/A,FALSE,"TS";#N/A,#N/A,FALSE,"Combo";#N/A,#N/A,FALSE,"FAIR";#N/A,#N/A,FALSE,"RBC";#N/A,#N/A,FALSE,"xxxx";#N/A,#N/A,FALSE,"A_D";#N/A,#N/A,FALSE,"WACC";#N/A,#N/A,FALSE,"DCF";#N/A,#N/A,FALSE,"LBO";#N/A,#N/A,FALSE,"AcqMults";#N/A,#N/A,FALSE,"CompMults"}</definedName>
    <definedName name="sdfaw" localSheetId="2" hidden="1">{#N/A,#N/A,FALSE,"TS";#N/A,#N/A,FALSE,"Combo";#N/A,#N/A,FALSE,"FAIR";#N/A,#N/A,FALSE,"RBC";#N/A,#N/A,FALSE,"xxxx";#N/A,#N/A,FALSE,"A_D";#N/A,#N/A,FALSE,"WACC";#N/A,#N/A,FALSE,"DCF";#N/A,#N/A,FALSE,"LBO";#N/A,#N/A,FALSE,"AcqMults";#N/A,#N/A,FALSE,"CompMults"}</definedName>
    <definedName name="sdfaw" localSheetId="3" hidden="1">{#N/A,#N/A,FALSE,"TS";#N/A,#N/A,FALSE,"Combo";#N/A,#N/A,FALSE,"FAIR";#N/A,#N/A,FALSE,"RBC";#N/A,#N/A,FALSE,"xxxx";#N/A,#N/A,FALSE,"A_D";#N/A,#N/A,FALSE,"WACC";#N/A,#N/A,FALSE,"DCF";#N/A,#N/A,FALSE,"LBO";#N/A,#N/A,FALSE,"AcqMults";#N/A,#N/A,FALSE,"CompMults"}</definedName>
    <definedName name="sdfaw" hidden="1">{#N/A,#N/A,FALSE,"TS";#N/A,#N/A,FALSE,"Combo";#N/A,#N/A,FALSE,"FAIR";#N/A,#N/A,FALSE,"RBC";#N/A,#N/A,FALSE,"xxxx";#N/A,#N/A,FALSE,"A_D";#N/A,#N/A,FALSE,"WACC";#N/A,#N/A,FALSE,"DCF";#N/A,#N/A,FALSE,"LBO";#N/A,#N/A,FALSE,"AcqMults";#N/A,#N/A,FALSE,"CompMults"}</definedName>
    <definedName name="sdg"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sdg"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sdgf"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localSheetId="0" hidden="1">{#N/A,#N/A,FALSE,"Membership";#N/A,#N/A,FALSE,"Membership cont";#N/A,#N/A,FALSE,"Info Source";#N/A,#N/A,FALSE,"Referral Source";#N/A,#N/A,FALSE,"Presenting";#N/A,#N/A,FALSE,"Case Disposition";#N/A,#N/A,FALSE,"Assessed";#N/A,#N/A,FALSE,"Telephone"}</definedName>
    <definedName name="sdwe" localSheetId="1" hidden="1">{#N/A,#N/A,FALSE,"Membership";#N/A,#N/A,FALSE,"Membership cont";#N/A,#N/A,FALSE,"Info Source";#N/A,#N/A,FALSE,"Referral Source";#N/A,#N/A,FALSE,"Presenting";#N/A,#N/A,FALSE,"Case Disposition";#N/A,#N/A,FALSE,"Assessed";#N/A,#N/A,FALSE,"Telephone"}</definedName>
    <definedName name="sdwe" localSheetId="2" hidden="1">{#N/A,#N/A,FALSE,"Membership";#N/A,#N/A,FALSE,"Membership cont";#N/A,#N/A,FALSE,"Info Source";#N/A,#N/A,FALSE,"Referral Source";#N/A,#N/A,FALSE,"Presenting";#N/A,#N/A,FALSE,"Case Disposition";#N/A,#N/A,FALSE,"Assessed";#N/A,#N/A,FALSE,"Telephone"}</definedName>
    <definedName name="sdwe" localSheetId="3" hidden="1">{#N/A,#N/A,FALSE,"Membership";#N/A,#N/A,FALSE,"Membership cont";#N/A,#N/A,FALSE,"Info Source";#N/A,#N/A,FALSE,"Referral Source";#N/A,#N/A,FALSE,"Presenting";#N/A,#N/A,FALSE,"Case Disposition";#N/A,#N/A,FALSE,"Assessed";#N/A,#N/A,FALSE,"Telephone"}</definedName>
    <definedName name="sdwe" hidden="1">{#N/A,#N/A,FALSE,"Membership";#N/A,#N/A,FALSE,"Membership cont";#N/A,#N/A,FALSE,"Info Source";#N/A,#N/A,FALSE,"Referral Source";#N/A,#N/A,FALSE,"Presenting";#N/A,#N/A,FALSE,"Case Disposition";#N/A,#N/A,FALSE,"Assessed";#N/A,#N/A,FALSE,"Telephone"}</definedName>
    <definedName name="staffing2" localSheetId="0" hidden="1">{#N/A,#N/A,FALSE,"Assessment";#N/A,#N/A,FALSE,"Staffing";#N/A,#N/A,FALSE,"Hires";#N/A,#N/A,FALSE,"Assumptions"}</definedName>
    <definedName name="staffing2" localSheetId="1" hidden="1">{#N/A,#N/A,FALSE,"Assessment";#N/A,#N/A,FALSE,"Staffing";#N/A,#N/A,FALSE,"Hires";#N/A,#N/A,FALSE,"Assumptions"}</definedName>
    <definedName name="staffing2" localSheetId="2" hidden="1">{#N/A,#N/A,FALSE,"Assessment";#N/A,#N/A,FALSE,"Staffing";#N/A,#N/A,FALSE,"Hires";#N/A,#N/A,FALSE,"Assumptions"}</definedName>
    <definedName name="staffing2" localSheetId="3" hidden="1">{#N/A,#N/A,FALSE,"Assessment";#N/A,#N/A,FALSE,"Staffing";#N/A,#N/A,FALSE,"Hires";#N/A,#N/A,FALSE,"Assumptions"}</definedName>
    <definedName name="staffing2" hidden="1">{#N/A,#N/A,FALSE,"Assessment";#N/A,#N/A,FALSE,"Staffing";#N/A,#N/A,FALSE,"Hires";#N/A,#N/A,FALSE,"Assumptions"}</definedName>
    <definedName name="Staffing3" localSheetId="0" hidden="1">{#N/A,#N/A,FALSE,"Assessment";#N/A,#N/A,FALSE,"Staffing";#N/A,#N/A,FALSE,"Hires";#N/A,#N/A,FALSE,"Assumptions"}</definedName>
    <definedName name="Staffing3" localSheetId="1" hidden="1">{#N/A,#N/A,FALSE,"Assessment";#N/A,#N/A,FALSE,"Staffing";#N/A,#N/A,FALSE,"Hires";#N/A,#N/A,FALSE,"Assumptions"}</definedName>
    <definedName name="Staffing3" localSheetId="2" hidden="1">{#N/A,#N/A,FALSE,"Assessment";#N/A,#N/A,FALSE,"Staffing";#N/A,#N/A,FALSE,"Hires";#N/A,#N/A,FALSE,"Assumptions"}</definedName>
    <definedName name="Staffing3" localSheetId="3" hidden="1">{#N/A,#N/A,FALSE,"Assessment";#N/A,#N/A,FALSE,"Staffing";#N/A,#N/A,FALSE,"Hires";#N/A,#N/A,FALSE,"Assumptions"}</definedName>
    <definedName name="Staffing3" hidden="1">{#N/A,#N/A,FALSE,"Assessment";#N/A,#N/A,FALSE,"Staffing";#N/A,#N/A,FALSE,"Hires";#N/A,#N/A,FALSE,"Assumptions"}</definedName>
    <definedName name="Start72">#REF!</definedName>
    <definedName name="Start73">#REF!</definedName>
    <definedName name="Start78" localSheetId="0">#REF!</definedName>
    <definedName name="Start78" localSheetId="1">#REF!</definedName>
    <definedName name="Start78" localSheetId="2">#REF!</definedName>
    <definedName name="Start78" localSheetId="3">#REF!</definedName>
    <definedName name="Start78">#REF!</definedName>
    <definedName name="Start79" localSheetId="0">#REF!</definedName>
    <definedName name="Start79" localSheetId="1">#REF!</definedName>
    <definedName name="Start79" localSheetId="2">#REF!</definedName>
    <definedName name="Start79" localSheetId="3">#REF!</definedName>
    <definedName name="Start79">#REF!</definedName>
    <definedName name="Start80">#REF!</definedName>
    <definedName name="Start81">#REF!</definedName>
    <definedName name="Start82">'Sch E - Resource Hourly Rates'!$H$1</definedName>
    <definedName name="Start83">'F-1 Provider Svcs DDI Costs'!$H$1</definedName>
    <definedName name="Start84">'F-2 Provider Svcs Ops Costs'!$H$1</definedName>
    <definedName name="Start85">'F-3 Provider Svcs DDI Pool Cost'!$H$1</definedName>
    <definedName name="Start86">'F-4 Provider Svcs Ops Pool'!$H$1</definedName>
    <definedName name="Start87">'G-1 Provider Svcs DDI Cost'!$H$1</definedName>
    <definedName name="Start88">'G-2 Provider Svcs Ops Cost'!$H$1</definedName>
    <definedName name="Start89">'G-3 Provider Svcs DDI Pool'!$H$1</definedName>
    <definedName name="Start90">'G-4 Provider Svcs Ops Pool'!$H$1</definedName>
    <definedName name="Start91">'H-1 Provider Svcs DDI Cost'!$H$1</definedName>
    <definedName name="Start92">'H-2 Provider Svcs Ops Cost'!$H$1</definedName>
    <definedName name="Start93">'H-3 Provider Svcs DDI Pool'!$H$1</definedName>
    <definedName name="Start94">'H-4 Provider Svcs Ops Pool'!$H$1</definedName>
    <definedName name="SUMMARY_BOOK" localSheetId="0" hidden="1">{"page1",#N/A,FALSE,"GIRLBO";"page2",#N/A,FALSE,"GIRLBO";"page3",#N/A,FALSE,"GIRLBO";"page4",#N/A,FALSE,"GIRLBO";"page5",#N/A,FALSE,"GIRLBO"}</definedName>
    <definedName name="SUMMARY_BOOK" localSheetId="1" hidden="1">{"page1",#N/A,FALSE,"GIRLBO";"page2",#N/A,FALSE,"GIRLBO";"page3",#N/A,FALSE,"GIRLBO";"page4",#N/A,FALSE,"GIRLBO";"page5",#N/A,FALSE,"GIRLBO"}</definedName>
    <definedName name="SUMMARY_BOOK" localSheetId="2" hidden="1">{"page1",#N/A,FALSE,"GIRLBO";"page2",#N/A,FALSE,"GIRLBO";"page3",#N/A,FALSE,"GIRLBO";"page4",#N/A,FALSE,"GIRLBO";"page5",#N/A,FALSE,"GIRLBO"}</definedName>
    <definedName name="SUMMARY_BOOK" localSheetId="3" hidden="1">{"page1",#N/A,FALSE,"GIRLBO";"page2",#N/A,FALSE,"GIRLBO";"page3",#N/A,FALSE,"GIRLBO";"page4",#N/A,FALSE,"GIRLBO";"page5",#N/A,FALSE,"GIRLBO"}</definedName>
    <definedName name="SUMMARY_BOOK" hidden="1">{"page1",#N/A,FALSE,"GIRLBO";"page2",#N/A,FALSE,"GIRLBO";"page3",#N/A,FALSE,"GIRLBO";"page4",#N/A,FALSE,"GIRLBO";"page5",#N/A,FALSE,"GIRLBO"}</definedName>
    <definedName name="suzan" localSheetId="0" hidden="1">{"testysht3",#N/A,FALSE,"Sheet3"}</definedName>
    <definedName name="suzan" localSheetId="1" hidden="1">{"testysht3",#N/A,FALSE,"Sheet3"}</definedName>
    <definedName name="suzan" localSheetId="2" hidden="1">{"testysht3",#N/A,FALSE,"Sheet3"}</definedName>
    <definedName name="suzan" localSheetId="3" hidden="1">{"testysht3",#N/A,FALSE,"Sheet3"}</definedName>
    <definedName name="suzan" hidden="1">{"testysht3",#N/A,FALSE,"Sheet3"}</definedName>
    <definedName name="t" localSheetId="0" hidden="1">{"rfcjan",#N/A,FALSE,"Stats"}</definedName>
    <definedName name="t" localSheetId="1" hidden="1">{"rfcjan",#N/A,FALSE,"Stats"}</definedName>
    <definedName name="t" localSheetId="2" hidden="1">{"rfcjan",#N/A,FALSE,"Stats"}</definedName>
    <definedName name="t" localSheetId="3" hidden="1">{"rfcjan",#N/A,FALSE,"Stats"}</definedName>
    <definedName name="t" hidden="1">{"rfcjan",#N/A,FALSE,"Stats"}</definedName>
    <definedName name="temp" localSheetId="0" hidden="1">{"rfcjan",#N/A,FALSE,"Stats"}</definedName>
    <definedName name="temp" localSheetId="1" hidden="1">{"rfcjan",#N/A,FALSE,"Stats"}</definedName>
    <definedName name="temp" localSheetId="2" hidden="1">{"rfcjan",#N/A,FALSE,"Stats"}</definedName>
    <definedName name="temp" localSheetId="3" hidden="1">{"rfcjan",#N/A,FALSE,"Stats"}</definedName>
    <definedName name="temp" hidden="1">{"rfcjan",#N/A,FALSE,"Stats"}</definedName>
    <definedName name="Temp_2" localSheetId="0" hidden="1">{#N/A,#N/A,FALSE,"Assessment";#N/A,#N/A,FALSE,"Staffing";#N/A,#N/A,FALSE,"Hires";#N/A,#N/A,FALSE,"Assumptions"}</definedName>
    <definedName name="Temp_2" localSheetId="1" hidden="1">{#N/A,#N/A,FALSE,"Assessment";#N/A,#N/A,FALSE,"Staffing";#N/A,#N/A,FALSE,"Hires";#N/A,#N/A,FALSE,"Assumptions"}</definedName>
    <definedName name="Temp_2" localSheetId="2" hidden="1">{#N/A,#N/A,FALSE,"Assessment";#N/A,#N/A,FALSE,"Staffing";#N/A,#N/A,FALSE,"Hires";#N/A,#N/A,FALSE,"Assumptions"}</definedName>
    <definedName name="Temp_2" localSheetId="3" hidden="1">{#N/A,#N/A,FALSE,"Assessment";#N/A,#N/A,FALSE,"Staffing";#N/A,#N/A,FALSE,"Hires";#N/A,#N/A,FALSE,"Assumptions"}</definedName>
    <definedName name="Temp_2" hidden="1">{#N/A,#N/A,FALSE,"Assessment";#N/A,#N/A,FALSE,"Staffing";#N/A,#N/A,FALSE,"Hires";#N/A,#N/A,FALSE,"Assumptions"}</definedName>
    <definedName name="Temp_3" localSheetId="0" hidden="1">{#N/A,#N/A,FALSE,"Assessment";#N/A,#N/A,FALSE,"Staffing";#N/A,#N/A,FALSE,"Hires";#N/A,#N/A,FALSE,"Assumptions"}</definedName>
    <definedName name="Temp_3" localSheetId="1" hidden="1">{#N/A,#N/A,FALSE,"Assessment";#N/A,#N/A,FALSE,"Staffing";#N/A,#N/A,FALSE,"Hires";#N/A,#N/A,FALSE,"Assumptions"}</definedName>
    <definedName name="Temp_3" localSheetId="2" hidden="1">{#N/A,#N/A,FALSE,"Assessment";#N/A,#N/A,FALSE,"Staffing";#N/A,#N/A,FALSE,"Hires";#N/A,#N/A,FALSE,"Assumptions"}</definedName>
    <definedName name="Temp_3" localSheetId="3" hidden="1">{#N/A,#N/A,FALSE,"Assessment";#N/A,#N/A,FALSE,"Staffing";#N/A,#N/A,FALSE,"Hires";#N/A,#N/A,FALSE,"Assumptions"}</definedName>
    <definedName name="Temp_3" hidden="1">{#N/A,#N/A,FALSE,"Assessment";#N/A,#N/A,FALSE,"Staffing";#N/A,#N/A,FALSE,"Hires";#N/A,#N/A,FALSE,"Assumptions"}</definedName>
    <definedName name="test3" localSheetId="0" hidden="1">{#N/A,#N/A,FALSE,"Membership";#N/A,#N/A,FALSE,"Membership cont";#N/A,#N/A,FALSE,"Info Source";#N/A,#N/A,FALSE,"Referral Source";#N/A,#N/A,FALSE,"Presenting";#N/A,#N/A,FALSE,"Case Disposition";#N/A,#N/A,FALSE,"Assessed";#N/A,#N/A,FALSE,"Telephone"}</definedName>
    <definedName name="test3" localSheetId="1" hidden="1">{#N/A,#N/A,FALSE,"Membership";#N/A,#N/A,FALSE,"Membership cont";#N/A,#N/A,FALSE,"Info Source";#N/A,#N/A,FALSE,"Referral Source";#N/A,#N/A,FALSE,"Presenting";#N/A,#N/A,FALSE,"Case Disposition";#N/A,#N/A,FALSE,"Assessed";#N/A,#N/A,FALSE,"Telephone"}</definedName>
    <definedName name="test3" localSheetId="2" hidden="1">{#N/A,#N/A,FALSE,"Membership";#N/A,#N/A,FALSE,"Membership cont";#N/A,#N/A,FALSE,"Info Source";#N/A,#N/A,FALSE,"Referral Source";#N/A,#N/A,FALSE,"Presenting";#N/A,#N/A,FALSE,"Case Disposition";#N/A,#N/A,FALSE,"Assessed";#N/A,#N/A,FALSE,"Telephone"}</definedName>
    <definedName name="test3" localSheetId="3" hidden="1">{#N/A,#N/A,FALSE,"Membership";#N/A,#N/A,FALSE,"Membership cont";#N/A,#N/A,FALSE,"Info Source";#N/A,#N/A,FALSE,"Referral Source";#N/A,#N/A,FALSE,"Presenting";#N/A,#N/A,FALSE,"Case Disposition";#N/A,#N/A,FALSE,"Assessed";#N/A,#N/A,FALSE,"Telephone"}</definedName>
    <definedName name="test3" hidden="1">{#N/A,#N/A,FALSE,"Membership";#N/A,#N/A,FALSE,"Membership cont";#N/A,#N/A,FALSE,"Info Source";#N/A,#N/A,FALSE,"Referral Source";#N/A,#N/A,FALSE,"Presenting";#N/A,#N/A,FALSE,"Case Disposition";#N/A,#N/A,FALSE,"Assessed";#N/A,#N/A,FALSE,"Telephone"}</definedName>
    <definedName name="Tmp" localSheetId="0" hidden="1">{"JANRDET",#N/A,FALSE,"detail"}</definedName>
    <definedName name="Tmp" localSheetId="1" hidden="1">{"JANRDET",#N/A,FALSE,"detail"}</definedName>
    <definedName name="Tmp" localSheetId="2" hidden="1">{"JANRDET",#N/A,FALSE,"detail"}</definedName>
    <definedName name="Tmp" localSheetId="3" hidden="1">{"JANRDET",#N/A,FALSE,"detail"}</definedName>
    <definedName name="Tmp" hidden="1">{"JANRDET",#N/A,FALSE,"detail"}</definedName>
    <definedName name="TotalDiscount">IF(ISNUMBER(#REF!),#REF!,0)+IF(ISNUMBER(#REF!),#REF!,0)</definedName>
    <definedName name="wer" localSheetId="0" hidden="1">{#N/A,#N/A,FALSE,"TS";#N/A,#N/A,FALSE,"Combo";#N/A,#N/A,FALSE,"FAIR";#N/A,#N/A,FALSE,"RBC";#N/A,#N/A,FALSE,"xxxx";#N/A,#N/A,FALSE,"A_D";#N/A,#N/A,FALSE,"WACC";#N/A,#N/A,FALSE,"DCF";#N/A,#N/A,FALSE,"LBO";#N/A,#N/A,FALSE,"AcqMults";#N/A,#N/A,FALSE,"CompMults"}</definedName>
    <definedName name="wer" localSheetId="1" hidden="1">{#N/A,#N/A,FALSE,"TS";#N/A,#N/A,FALSE,"Combo";#N/A,#N/A,FALSE,"FAIR";#N/A,#N/A,FALSE,"RBC";#N/A,#N/A,FALSE,"xxxx";#N/A,#N/A,FALSE,"A_D";#N/A,#N/A,FALSE,"WACC";#N/A,#N/A,FALSE,"DCF";#N/A,#N/A,FALSE,"LBO";#N/A,#N/A,FALSE,"AcqMults";#N/A,#N/A,FALSE,"CompMults"}</definedName>
    <definedName name="wer" localSheetId="2" hidden="1">{#N/A,#N/A,FALSE,"TS";#N/A,#N/A,FALSE,"Combo";#N/A,#N/A,FALSE,"FAIR";#N/A,#N/A,FALSE,"RBC";#N/A,#N/A,FALSE,"xxxx";#N/A,#N/A,FALSE,"A_D";#N/A,#N/A,FALSE,"WACC";#N/A,#N/A,FALSE,"DCF";#N/A,#N/A,FALSE,"LBO";#N/A,#N/A,FALSE,"AcqMults";#N/A,#N/A,FALSE,"CompMults"}</definedName>
    <definedName name="wer" localSheetId="3" hidden="1">{#N/A,#N/A,FALSE,"TS";#N/A,#N/A,FALSE,"Combo";#N/A,#N/A,FALSE,"FAIR";#N/A,#N/A,FALSE,"RBC";#N/A,#N/A,FALSE,"xxxx";#N/A,#N/A,FALSE,"A_D";#N/A,#N/A,FALSE,"WACC";#N/A,#N/A,FALSE,"DCF";#N/A,#N/A,FALSE,"LBO";#N/A,#N/A,FALSE,"AcqMults";#N/A,#N/A,FALSE,"CompMults"}</definedName>
    <definedName name="wer" hidden="1">{#N/A,#N/A,FALSE,"TS";#N/A,#N/A,FALSE,"Combo";#N/A,#N/A,FALSE,"FAIR";#N/A,#N/A,FALSE,"RBC";#N/A,#N/A,FALSE,"xxxx";#N/A,#N/A,FALSE,"A_D";#N/A,#N/A,FALSE,"WACC";#N/A,#N/A,FALSE,"DCF";#N/A,#N/A,FALSE,"LBO";#N/A,#N/A,FALSE,"AcqMults";#N/A,#N/A,FALSE,"CompMults"}</definedName>
    <definedName name="werasfd" localSheetId="0" hidden="1">{#N/A,#N/A,FALSE,"Assessment";#N/A,#N/A,FALSE,"Staffing";#N/A,#N/A,FALSE,"Hires";#N/A,#N/A,FALSE,"Assumptions"}</definedName>
    <definedName name="werasfd" localSheetId="1" hidden="1">{#N/A,#N/A,FALSE,"Assessment";#N/A,#N/A,FALSE,"Staffing";#N/A,#N/A,FALSE,"Hires";#N/A,#N/A,FALSE,"Assumptions"}</definedName>
    <definedName name="werasfd" localSheetId="2" hidden="1">{#N/A,#N/A,FALSE,"Assessment";#N/A,#N/A,FALSE,"Staffing";#N/A,#N/A,FALSE,"Hires";#N/A,#N/A,FALSE,"Assumptions"}</definedName>
    <definedName name="werasfd" localSheetId="3" hidden="1">{#N/A,#N/A,FALSE,"Assessment";#N/A,#N/A,FALSE,"Staffing";#N/A,#N/A,FALSE,"Hires";#N/A,#N/A,FALSE,"Assumptions"}</definedName>
    <definedName name="werasfd" hidden="1">{#N/A,#N/A,FALSE,"Assessment";#N/A,#N/A,FALSE,"Staffing";#N/A,#N/A,FALSE,"Hires";#N/A,#N/A,FALSE,"Assumptions"}</definedName>
    <definedName name="wjg" localSheetId="0" hidden="1">{"rfcjan",#N/A,FALSE,"Stats"}</definedName>
    <definedName name="wjg" localSheetId="1" hidden="1">{"rfcjan",#N/A,FALSE,"Stats"}</definedName>
    <definedName name="wjg" localSheetId="2" hidden="1">{"rfcjan",#N/A,FALSE,"Stats"}</definedName>
    <definedName name="wjg" localSheetId="3" hidden="1">{"rfcjan",#N/A,FALSE,"Stats"}</definedName>
    <definedName name="wjg" hidden="1">{"rfcjan",#N/A,FALSE,"Stats"}</definedName>
    <definedName name="wrb2rename" localSheetId="0" hidden="1">{"rfcjan",#N/A,FALSE,"Stats"}</definedName>
    <definedName name="wrb2rename" localSheetId="1" hidden="1">{"rfcjan",#N/A,FALSE,"Stats"}</definedName>
    <definedName name="wrb2rename" localSheetId="2" hidden="1">{"rfcjan",#N/A,FALSE,"Stats"}</definedName>
    <definedName name="wrb2rename" localSheetId="3" hidden="1">{"rfcjan",#N/A,FALSE,"Stats"}</definedName>
    <definedName name="wrb2rename" hidden="1">{"rfcjan",#N/A,FALSE,"Stats"}</definedName>
    <definedName name="wrkbk2" localSheetId="0" hidden="1">{"rfcjan",#N/A,FALSE,"Stats"}</definedName>
    <definedName name="wrkbk2" localSheetId="1" hidden="1">{"rfcjan",#N/A,FALSE,"Stats"}</definedName>
    <definedName name="wrkbk2" localSheetId="2" hidden="1">{"rfcjan",#N/A,FALSE,"Stats"}</definedName>
    <definedName name="wrkbk2" localSheetId="3" hidden="1">{"rfcjan",#N/A,FALSE,"Stats"}</definedName>
    <definedName name="wrkbk2" hidden="1">{"rfcjan",#N/A,FALSE,"Stats"}</definedName>
    <definedName name="wrkbk2rename" localSheetId="0" hidden="1">{"rfcjan",#N/A,FALSE,"Stats"}</definedName>
    <definedName name="wrkbk2rename" localSheetId="1" hidden="1">{"rfcjan",#N/A,FALSE,"Stats"}</definedName>
    <definedName name="wrkbk2rename" localSheetId="2" hidden="1">{"rfcjan",#N/A,FALSE,"Stats"}</definedName>
    <definedName name="wrkbk2rename" localSheetId="3" hidden="1">{"rfcjan",#N/A,FALSE,"Stats"}</definedName>
    <definedName name="wrkbk2rename" hidden="1">{"rfcjan",#N/A,FALSE,"Stats"}</definedName>
    <definedName name="wrn.2000._.Budget." localSheetId="0"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localSheetId="3"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localSheetId="0"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1"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2"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localSheetId="3"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localSheetId="0"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nnual." localSheetId="0"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1"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3"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localSheetId="0" hidden="1">{#N/A,#N/A,FALSE,"New Depr Sch-150% DB";#N/A,#N/A,FALSE,"Cash Flows RLP";#N/A,#N/A,FALSE,"IRR";#N/A,#N/A,FALSE,"Proforma IS";#N/A,#N/A,FALSE,"Assumptions"}</definedName>
    <definedName name="wrn.Basic._.Report." localSheetId="1" hidden="1">{#N/A,#N/A,FALSE,"New Depr Sch-150% DB";#N/A,#N/A,FALSE,"Cash Flows RLP";#N/A,#N/A,FALSE,"IRR";#N/A,#N/A,FALSE,"Proforma IS";#N/A,#N/A,FALSE,"Assumptions"}</definedName>
    <definedName name="wrn.Basic._.Report." localSheetId="2" hidden="1">{#N/A,#N/A,FALSE,"New Depr Sch-150% DB";#N/A,#N/A,FALSE,"Cash Flows RLP";#N/A,#N/A,FALSE,"IRR";#N/A,#N/A,FALSE,"Proforma IS";#N/A,#N/A,FALSE,"Assumptions"}</definedName>
    <definedName name="wrn.Basic._.Report." localSheetId="3"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localSheetId="0" hidden="1">{#N/A,#N/A,FALSE,"Assumptions";#N/A,#N/A,FALSE,"Proforma IS";#N/A,#N/A,FALSE,"Cash Flows RLP";#N/A,#N/A,FALSE,"IRR";#N/A,#N/A,FALSE,"New Depr Sch-150% DB";#N/A,#N/A,FALSE,"Comments"}</definedName>
    <definedName name="wrn.Complete._.Report." localSheetId="1" hidden="1">{#N/A,#N/A,FALSE,"Assumptions";#N/A,#N/A,FALSE,"Proforma IS";#N/A,#N/A,FALSE,"Cash Flows RLP";#N/A,#N/A,FALSE,"IRR";#N/A,#N/A,FALSE,"New Depr Sch-150% DB";#N/A,#N/A,FALSE,"Comments"}</definedName>
    <definedName name="wrn.Complete._.Report." localSheetId="2" hidden="1">{#N/A,#N/A,FALSE,"Assumptions";#N/A,#N/A,FALSE,"Proforma IS";#N/A,#N/A,FALSE,"Cash Flows RLP";#N/A,#N/A,FALSE,"IRR";#N/A,#N/A,FALSE,"New Depr Sch-150% DB";#N/A,#N/A,FALSE,"Comments"}</definedName>
    <definedName name="wrn.Complete._.Report." localSheetId="3"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localSheetId="0" hidden="1">{"rfcjan",#N/A,FALSE,"Stats"}</definedName>
    <definedName name="wrn.JANR2." localSheetId="1" hidden="1">{"rfcjan",#N/A,FALSE,"Stats"}</definedName>
    <definedName name="wrn.JANR2." localSheetId="2" hidden="1">{"rfcjan",#N/A,FALSE,"Stats"}</definedName>
    <definedName name="wrn.JANR2." localSheetId="3" hidden="1">{"rfcjan",#N/A,FALSE,"Stats"}</definedName>
    <definedName name="wrn.JANR2." hidden="1">{"rfcjan",#N/A,FALSE,"Stats"}</definedName>
    <definedName name="wrn.JANR2.rename" localSheetId="0" hidden="1">{"rfcjan",#N/A,FALSE,"Stats"}</definedName>
    <definedName name="wrn.JANR2.rename" localSheetId="1" hidden="1">{"rfcjan",#N/A,FALSE,"Stats"}</definedName>
    <definedName name="wrn.JANR2.rename" localSheetId="2" hidden="1">{"rfcjan",#N/A,FALSE,"Stats"}</definedName>
    <definedName name="wrn.JANR2.rename" localSheetId="3" hidden="1">{"rfcjan",#N/A,FALSE,"Stats"}</definedName>
    <definedName name="wrn.JANR2.rename" hidden="1">{"rfcjan",#N/A,FALSE,"Stats"}</definedName>
    <definedName name="wrn.JANRD." localSheetId="0" hidden="1">{"JANRDET",#N/A,FALSE,"detail"}</definedName>
    <definedName name="wrn.JANRD." localSheetId="1" hidden="1">{"JANRDET",#N/A,FALSE,"detail"}</definedName>
    <definedName name="wrn.JANRD." localSheetId="2" hidden="1">{"JANRDET",#N/A,FALSE,"detail"}</definedName>
    <definedName name="wrn.JANRD." localSheetId="3" hidden="1">{"JANRDET",#N/A,FALSE,"detail"}</definedName>
    <definedName name="wrn.JANRD." hidden="1">{"JANRDET",#N/A,FALSE,"detail"}</definedName>
    <definedName name="wrn.MONTHLY._.BILLING._.LIST." localSheetId="0" hidden="1">{#N/A,#N/A,TRUE,"DATA"}</definedName>
    <definedName name="wrn.MONTHLY._.BILLING._.LIST." localSheetId="1" hidden="1">{#N/A,#N/A,TRUE,"DATA"}</definedName>
    <definedName name="wrn.MONTHLY._.BILLING._.LIST." localSheetId="2" hidden="1">{#N/A,#N/A,TRUE,"DATA"}</definedName>
    <definedName name="wrn.MONTHLY._.BILLING._.LIST." localSheetId="3" hidden="1">{#N/A,#N/A,TRUE,"DATA"}</definedName>
    <definedName name="wrn.MONTHLY._.BILLING._.LIST." hidden="1">{#N/A,#N/A,TRUE,"DATA"}</definedName>
    <definedName name="wrn.print." localSheetId="0" hidden="1">{#N/A,#N/A,FALSE,"Japan 2003";#N/A,#N/A,FALSE,"Sheet2"}</definedName>
    <definedName name="wrn.print." localSheetId="1" hidden="1">{#N/A,#N/A,FALSE,"Japan 2003";#N/A,#N/A,FALSE,"Sheet2"}</definedName>
    <definedName name="wrn.print." localSheetId="2" hidden="1">{#N/A,#N/A,FALSE,"Japan 2003";#N/A,#N/A,FALSE,"Sheet2"}</definedName>
    <definedName name="wrn.print." localSheetId="3" hidden="1">{#N/A,#N/A,FALSE,"Japan 2003";#N/A,#N/A,FALSE,"Sheet2"}</definedName>
    <definedName name="wrn.print." hidden="1">{#N/A,#N/A,FALSE,"Japan 2003";#N/A,#N/A,FALSE,"Sheet2"}</definedName>
    <definedName name="wrn.Q3._.Prof._.Serv._.Summary." localSheetId="0" hidden="1">{"Professional Service Summary",#N/A,FALSE,"Q3 Prof Serv"}</definedName>
    <definedName name="wrn.Q3._.Prof._.Serv._.Summary." localSheetId="1" hidden="1">{"Professional Service Summary",#N/A,FALSE,"Q3 Prof Serv"}</definedName>
    <definedName name="wrn.Q3._.Prof._.Serv._.Summary." localSheetId="2" hidden="1">{"Professional Service Summary",#N/A,FALSE,"Q3 Prof Serv"}</definedName>
    <definedName name="wrn.Q3._.Prof._.Serv._.Summary." localSheetId="3" hidden="1">{"Professional Service Summary",#N/A,FALSE,"Q3 Prof Serv"}</definedName>
    <definedName name="wrn.Q3._.Prof._.Serv._.Summary." hidden="1">{"Professional Service Summary",#N/A,FALSE,"Q3 Prof Serv"}</definedName>
    <definedName name="wrn.Q3._.Professional._.service._.detail." localSheetId="0" hidden="1">{"Professional Service Detail",#N/A,FALSE,"Q3 Prof Serv"}</definedName>
    <definedName name="wrn.Q3._.Professional._.service._.detail." localSheetId="1" hidden="1">{"Professional Service Detail",#N/A,FALSE,"Q3 Prof Serv"}</definedName>
    <definedName name="wrn.Q3._.Professional._.service._.detail." localSheetId="2" hidden="1">{"Professional Service Detail",#N/A,FALSE,"Q3 Prof Serv"}</definedName>
    <definedName name="wrn.Q3._.Professional._.service._.detail." localSheetId="3" hidden="1">{"Professional Service Detail",#N/A,FALSE,"Q3 Prof Serv"}</definedName>
    <definedName name="wrn.Q3._.Professional._.service._.detail." hidden="1">{"Professional Service Detail",#N/A,FALSE,"Q3 Prof Serv"}</definedName>
    <definedName name="wrn.Quarterly." localSheetId="0"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1"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3"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localSheetId="0" hidden="1">{#N/A,#N/A,FALSE,"Membership";#N/A,#N/A,FALSE,"Membership cont";#N/A,#N/A,FALSE,"Info Source";#N/A,#N/A,FALSE,"Referral Source";#N/A,#N/A,FALSE,"Presenting";#N/A,#N/A,FALSE,"Case Disposition";#N/A,#N/A,FALSE,"Assessed";#N/A,#N/A,FALSE,"Telephone"}</definedName>
    <definedName name="wrn.Reports." localSheetId="1" hidden="1">{#N/A,#N/A,FALSE,"Membership";#N/A,#N/A,FALSE,"Membership cont";#N/A,#N/A,FALSE,"Info Source";#N/A,#N/A,FALSE,"Referral Source";#N/A,#N/A,FALSE,"Presenting";#N/A,#N/A,FALSE,"Case Disposition";#N/A,#N/A,FALSE,"Assessed";#N/A,#N/A,FALSE,"Telephone"}</definedName>
    <definedName name="wrn.Reports." localSheetId="2" hidden="1">{#N/A,#N/A,FALSE,"Membership";#N/A,#N/A,FALSE,"Membership cont";#N/A,#N/A,FALSE,"Info Source";#N/A,#N/A,FALSE,"Referral Source";#N/A,#N/A,FALSE,"Presenting";#N/A,#N/A,FALSE,"Case Disposition";#N/A,#N/A,FALSE,"Assessed";#N/A,#N/A,FALSE,"Telephone"}</definedName>
    <definedName name="wrn.Reports." localSheetId="3"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taff._.and._.Department._.Summaries." localSheetId="0" hidden="1">{"Staff and Department Summaries",#N/A,FALSE,"Staff Revenue + Comp"}</definedName>
    <definedName name="wrn.Staff._.and._.Department._.Summaries." localSheetId="1" hidden="1">{"Staff and Department Summaries",#N/A,FALSE,"Staff Revenue + Comp"}</definedName>
    <definedName name="wrn.Staff._.and._.Department._.Summaries." localSheetId="2" hidden="1">{"Staff and Department Summaries",#N/A,FALSE,"Staff Revenue + Comp"}</definedName>
    <definedName name="wrn.Staff._.and._.Department._.Summaries." localSheetId="3" hidden="1">{"Staff and Department Summaries",#N/A,FALSE,"Staff Revenue + Comp"}</definedName>
    <definedName name="wrn.Staff._.and._.Department._.Summaries." hidden="1">{"Staff and Department Summaries",#N/A,FALSE,"Staff Revenue + Comp"}</definedName>
    <definedName name="wrn.Staff._.Detail." localSheetId="0" hidden="1">{"Staff Detail",#N/A,FALSE,"Staff Revenue + Comp"}</definedName>
    <definedName name="wrn.Staff._.Detail." localSheetId="1" hidden="1">{"Staff Detail",#N/A,FALSE,"Staff Revenue + Comp"}</definedName>
    <definedName name="wrn.Staff._.Detail." localSheetId="2" hidden="1">{"Staff Detail",#N/A,FALSE,"Staff Revenue + Comp"}</definedName>
    <definedName name="wrn.Staff._.Detail." localSheetId="3" hidden="1">{"Staff Detail",#N/A,FALSE,"Staff Revenue + Comp"}</definedName>
    <definedName name="wrn.Staff._.Detail." hidden="1">{"Staff Detail",#N/A,FALSE,"Staff Revenue + Comp"}</definedName>
    <definedName name="wrn.Staffing1" localSheetId="0" hidden="1">{#N/A,#N/A,FALSE,"Assessment";#N/A,#N/A,FALSE,"Staffing";#N/A,#N/A,FALSE,"Hires";#N/A,#N/A,FALSE,"Assumptions"}</definedName>
    <definedName name="wrn.Staffing1" localSheetId="1" hidden="1">{#N/A,#N/A,FALSE,"Assessment";#N/A,#N/A,FALSE,"Staffing";#N/A,#N/A,FALSE,"Hires";#N/A,#N/A,FALSE,"Assumptions"}</definedName>
    <definedName name="wrn.Staffing1" localSheetId="2" hidden="1">{#N/A,#N/A,FALSE,"Assessment";#N/A,#N/A,FALSE,"Staffing";#N/A,#N/A,FALSE,"Hires";#N/A,#N/A,FALSE,"Assumptions"}</definedName>
    <definedName name="wrn.Staffing1" localSheetId="3" hidden="1">{#N/A,#N/A,FALSE,"Assessment";#N/A,#N/A,FALSE,"Staffing";#N/A,#N/A,FALSE,"Hires";#N/A,#N/A,FALSE,"Assumptions"}</definedName>
    <definedName name="wrn.Staffing1" hidden="1">{#N/A,#N/A,FALSE,"Assessment";#N/A,#N/A,FALSE,"Staffing";#N/A,#N/A,FALSE,"Hires";#N/A,#N/A,FALSE,"Assumptions"}</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rename" localSheetId="0" hidden="1">{"testysht3",#N/A,FALSE,"Sheet3"}</definedName>
    <definedName name="wrn.test.rename" localSheetId="1" hidden="1">{"testysht3",#N/A,FALSE,"Sheet3"}</definedName>
    <definedName name="wrn.test.rename" localSheetId="2" hidden="1">{"testysht3",#N/A,FALSE,"Sheet3"}</definedName>
    <definedName name="wrn.test.rename" localSheetId="3" hidden="1">{"testysht3",#N/A,FALSE,"Sheet3"}</definedName>
    <definedName name="wrn.test.rename" hidden="1">{"testysht3",#N/A,FALSE,"Sheet3"}</definedName>
    <definedName name="wrn1.rename" localSheetId="0" hidden="1">{"rfcjan",#N/A,FALSE,"Stats"}</definedName>
    <definedName name="wrn1.rename" localSheetId="1" hidden="1">{"rfcjan",#N/A,FALSE,"Stats"}</definedName>
    <definedName name="wrn1.rename" localSheetId="2" hidden="1">{"rfcjan",#N/A,FALSE,"Stats"}</definedName>
    <definedName name="wrn1.rename" localSheetId="3" hidden="1">{"rfcjan",#N/A,FALSE,"Stats"}</definedName>
    <definedName name="wrn1.rename" hidden="1">{"rfcjan",#N/A,FALSE,"Stats"}</definedName>
    <definedName name="wrn10.rename" localSheetId="0" hidden="1">{"rfcjan",#N/A,FALSE,"Stats"}</definedName>
    <definedName name="wrn10.rename" localSheetId="1" hidden="1">{"rfcjan",#N/A,FALSE,"Stats"}</definedName>
    <definedName name="wrn10.rename" localSheetId="2" hidden="1">{"rfcjan",#N/A,FALSE,"Stats"}</definedName>
    <definedName name="wrn10.rename" localSheetId="3" hidden="1">{"rfcjan",#N/A,FALSE,"Stats"}</definedName>
    <definedName name="wrn10.rename" hidden="1">{"rfcjan",#N/A,FALSE,"Stats"}</definedName>
    <definedName name="wrn11.rename" localSheetId="0" hidden="1">{"JANRDET",#N/A,FALSE,"detail"}</definedName>
    <definedName name="wrn11.rename" localSheetId="1" hidden="1">{"JANRDET",#N/A,FALSE,"detail"}</definedName>
    <definedName name="wrn11.rename" localSheetId="2" hidden="1">{"JANRDET",#N/A,FALSE,"detail"}</definedName>
    <definedName name="wrn11.rename" localSheetId="3" hidden="1">{"JANRDET",#N/A,FALSE,"detail"}</definedName>
    <definedName name="wrn11.rename" hidden="1">{"JANRDET",#N/A,FALSE,"detail"}</definedName>
    <definedName name="wrn12.rename" localSheetId="0" hidden="1">{"testysht3",#N/A,FALSE,"Sheet3"}</definedName>
    <definedName name="wrn12.rename" localSheetId="1" hidden="1">{"testysht3",#N/A,FALSE,"Sheet3"}</definedName>
    <definedName name="wrn12.rename" localSheetId="2" hidden="1">{"testysht3",#N/A,FALSE,"Sheet3"}</definedName>
    <definedName name="wrn12.rename" localSheetId="3" hidden="1">{"testysht3",#N/A,FALSE,"Sheet3"}</definedName>
    <definedName name="wrn12.rename" hidden="1">{"testysht3",#N/A,FALSE,"Sheet3"}</definedName>
    <definedName name="wrn14.rename" localSheetId="0" hidden="1">{"rfcjan",#N/A,FALSE,"Stats"}</definedName>
    <definedName name="wrn14.rename" localSheetId="1" hidden="1">{"rfcjan",#N/A,FALSE,"Stats"}</definedName>
    <definedName name="wrn14.rename" localSheetId="2" hidden="1">{"rfcjan",#N/A,FALSE,"Stats"}</definedName>
    <definedName name="wrn14.rename" localSheetId="3" hidden="1">{"rfcjan",#N/A,FALSE,"Stats"}</definedName>
    <definedName name="wrn14.rename" hidden="1">{"rfcjan",#N/A,FALSE,"Stats"}</definedName>
    <definedName name="wrn15.rename" localSheetId="0" hidden="1">{"JANRDET",#N/A,FALSE,"detail"}</definedName>
    <definedName name="wrn15.rename" localSheetId="1" hidden="1">{"JANRDET",#N/A,FALSE,"detail"}</definedName>
    <definedName name="wrn15.rename" localSheetId="2" hidden="1">{"JANRDET",#N/A,FALSE,"detail"}</definedName>
    <definedName name="wrn15.rename" localSheetId="3" hidden="1">{"JANRDET",#N/A,FALSE,"detail"}</definedName>
    <definedName name="wrn15.rename" hidden="1">{"JANRDET",#N/A,FALSE,"detail"}</definedName>
    <definedName name="wrn16.rename" localSheetId="0" hidden="1">{"testysht3",#N/A,FALSE,"Sheet3"}</definedName>
    <definedName name="wrn16.rename" localSheetId="1" hidden="1">{"testysht3",#N/A,FALSE,"Sheet3"}</definedName>
    <definedName name="wrn16.rename" localSheetId="2" hidden="1">{"testysht3",#N/A,FALSE,"Sheet3"}</definedName>
    <definedName name="wrn16.rename" localSheetId="3" hidden="1">{"testysht3",#N/A,FALSE,"Sheet3"}</definedName>
    <definedName name="wrn16.rename" hidden="1">{"testysht3",#N/A,FALSE,"Sheet3"}</definedName>
    <definedName name="wrn2.rename" localSheetId="0" hidden="1">{"rfcjan",#N/A,FALSE,"Stats"}</definedName>
    <definedName name="wrn2.rename" localSheetId="1" hidden="1">{"rfcjan",#N/A,FALSE,"Stats"}</definedName>
    <definedName name="wrn2.rename" localSheetId="2" hidden="1">{"rfcjan",#N/A,FALSE,"Stats"}</definedName>
    <definedName name="wrn2.rename" localSheetId="3" hidden="1">{"rfcjan",#N/A,FALSE,"Stats"}</definedName>
    <definedName name="wrn2.rename" hidden="1">{"rfcjan",#N/A,FALSE,"Stats"}</definedName>
    <definedName name="wrn20.rename" localSheetId="0" hidden="1">{"rfcjan",#N/A,FALSE,"Stats"}</definedName>
    <definedName name="wrn20.rename" localSheetId="1" hidden="1">{"rfcjan",#N/A,FALSE,"Stats"}</definedName>
    <definedName name="wrn20.rename" localSheetId="2" hidden="1">{"rfcjan",#N/A,FALSE,"Stats"}</definedName>
    <definedName name="wrn20.rename" localSheetId="3" hidden="1">{"rfcjan",#N/A,FALSE,"Stats"}</definedName>
    <definedName name="wrn20.rename" hidden="1">{"rfcjan",#N/A,FALSE,"Stats"}</definedName>
    <definedName name="wrn21.rename" localSheetId="0" hidden="1">{"JANRDET",#N/A,FALSE,"detail"}</definedName>
    <definedName name="wrn21.rename" localSheetId="1" hidden="1">{"JANRDET",#N/A,FALSE,"detail"}</definedName>
    <definedName name="wrn21.rename" localSheetId="2" hidden="1">{"JANRDET",#N/A,FALSE,"detail"}</definedName>
    <definedName name="wrn21.rename" localSheetId="3" hidden="1">{"JANRDET",#N/A,FALSE,"detail"}</definedName>
    <definedName name="wrn21.rename" hidden="1">{"JANRDET",#N/A,FALSE,"detail"}</definedName>
    <definedName name="wrn22.rename" localSheetId="0" hidden="1">{"testysht3",#N/A,FALSE,"Sheet3"}</definedName>
    <definedName name="wrn22.rename" localSheetId="1" hidden="1">{"testysht3",#N/A,FALSE,"Sheet3"}</definedName>
    <definedName name="wrn22.rename" localSheetId="2" hidden="1">{"testysht3",#N/A,FALSE,"Sheet3"}</definedName>
    <definedName name="wrn22.rename" localSheetId="3" hidden="1">{"testysht3",#N/A,FALSE,"Sheet3"}</definedName>
    <definedName name="wrn22.rename" hidden="1">{"testysht3",#N/A,FALSE,"Sheet3"}</definedName>
    <definedName name="wrn3.rename" localSheetId="0" hidden="1">{"rfcjan",#N/A,FALSE,"Stats"}</definedName>
    <definedName name="wrn3.rename" localSheetId="1" hidden="1">{"rfcjan",#N/A,FALSE,"Stats"}</definedName>
    <definedName name="wrn3.rename" localSheetId="2" hidden="1">{"rfcjan",#N/A,FALSE,"Stats"}</definedName>
    <definedName name="wrn3.rename" localSheetId="3" hidden="1">{"rfcjan",#N/A,FALSE,"Stats"}</definedName>
    <definedName name="wrn3.rename" hidden="1">{"rfcjan",#N/A,FALSE,"Stats"}</definedName>
    <definedName name="wrn4.rename" localSheetId="0" hidden="1">{"testysht3",#N/A,FALSE,"Sheet3"}</definedName>
    <definedName name="wrn4.rename" localSheetId="1" hidden="1">{"testysht3",#N/A,FALSE,"Sheet3"}</definedName>
    <definedName name="wrn4.rename" localSheetId="2" hidden="1">{"testysht3",#N/A,FALSE,"Sheet3"}</definedName>
    <definedName name="wrn4.rename" localSheetId="3" hidden="1">{"testysht3",#N/A,FALSE,"Sheet3"}</definedName>
    <definedName name="wrn4.rename" hidden="1">{"testysht3",#N/A,FALSE,"Sheet3"}</definedName>
    <definedName name="wrnjan2" localSheetId="0" hidden="1">{"JANRDET",#N/A,FALSE,"detail"}</definedName>
    <definedName name="wrnjan2" localSheetId="1" hidden="1">{"JANRDET",#N/A,FALSE,"detail"}</definedName>
    <definedName name="wrnjan2" localSheetId="2" hidden="1">{"JANRDET",#N/A,FALSE,"detail"}</definedName>
    <definedName name="wrnjan2" localSheetId="3" hidden="1">{"JANRDET",#N/A,FALSE,"detail"}</definedName>
    <definedName name="wrnjan2" hidden="1">{"JANRDET",#N/A,FALSE,"detail"}</definedName>
    <definedName name="wrnjan2.rename" localSheetId="0" hidden="1">{"JANRDET",#N/A,FALSE,"detail"}</definedName>
    <definedName name="wrnjan2.rename" localSheetId="1" hidden="1">{"JANRDET",#N/A,FALSE,"detail"}</definedName>
    <definedName name="wrnjan2.rename" localSheetId="2" hidden="1">{"JANRDET",#N/A,FALSE,"detail"}</definedName>
    <definedName name="wrnjan2.rename" localSheetId="3" hidden="1">{"JANRDET",#N/A,FALSE,"detail"}</definedName>
    <definedName name="wrnjan2.rename" hidden="1">{"JANRDET",#N/A,FALSE,"detail"}</definedName>
    <definedName name="wrnjan3" localSheetId="0" hidden="1">{"JANRDET",#N/A,FALSE,"detail"}</definedName>
    <definedName name="wrnjan3" localSheetId="1" hidden="1">{"JANRDET",#N/A,FALSE,"detail"}</definedName>
    <definedName name="wrnjan3" localSheetId="2" hidden="1">{"JANRDET",#N/A,FALSE,"detail"}</definedName>
    <definedName name="wrnjan3" localSheetId="3" hidden="1">{"JANRDET",#N/A,FALSE,"detail"}</definedName>
    <definedName name="wrnjan3" hidden="1">{"JANRDET",#N/A,FALSE,"detail"}</definedName>
    <definedName name="wrnjan3.rename" localSheetId="0" hidden="1">{"JANRDET",#N/A,FALSE,"detail"}</definedName>
    <definedName name="wrnjan3.rename" localSheetId="1" hidden="1">{"JANRDET",#N/A,FALSE,"detail"}</definedName>
    <definedName name="wrnjan3.rename" localSheetId="2" hidden="1">{"JANRDET",#N/A,FALSE,"detail"}</definedName>
    <definedName name="wrnjan3.rename" localSheetId="3" hidden="1">{"JANRDET",#N/A,FALSE,"detail"}</definedName>
    <definedName name="wrnjan3.rename" hidden="1">{"JANRDET",#N/A,FALSE,"detail"}</definedName>
    <definedName name="wrnjanr2" localSheetId="0" hidden="1">{"rfcjan",#N/A,FALSE,"Stats"}</definedName>
    <definedName name="wrnjanr2" localSheetId="1" hidden="1">{"rfcjan",#N/A,FALSE,"Stats"}</definedName>
    <definedName name="wrnjanr2" localSheetId="2" hidden="1">{"rfcjan",#N/A,FALSE,"Stats"}</definedName>
    <definedName name="wrnjanr2" localSheetId="3" hidden="1">{"rfcjan",#N/A,FALSE,"Stats"}</definedName>
    <definedName name="wrnjanr2" hidden="1">{"rfcjan",#N/A,FALSE,"Stats"}</definedName>
    <definedName name="wrnjanr2.rename" localSheetId="0" hidden="1">{"rfcjan",#N/A,FALSE,"Stats"}</definedName>
    <definedName name="wrnjanr2.rename" localSheetId="1" hidden="1">{"rfcjan",#N/A,FALSE,"Stats"}</definedName>
    <definedName name="wrnjanr2.rename" localSheetId="2" hidden="1">{"rfcjan",#N/A,FALSE,"Stats"}</definedName>
    <definedName name="wrnjanr2.rename" localSheetId="3" hidden="1">{"rfcjan",#N/A,FALSE,"Stats"}</definedName>
    <definedName name="wrnjanr2.rename" hidden="1">{"rfcjan",#N/A,FALSE,"Stats"}</definedName>
    <definedName name="wrnjanr22" localSheetId="0" hidden="1">{"rfcjan",#N/A,FALSE,"Stats"}</definedName>
    <definedName name="wrnjanr22" localSheetId="1" hidden="1">{"rfcjan",#N/A,FALSE,"Stats"}</definedName>
    <definedName name="wrnjanr22" localSheetId="2" hidden="1">{"rfcjan",#N/A,FALSE,"Stats"}</definedName>
    <definedName name="wrnjanr22" localSheetId="3" hidden="1">{"rfcjan",#N/A,FALSE,"Stats"}</definedName>
    <definedName name="wrnjanr22" hidden="1">{"rfcjan",#N/A,FALSE,"Stats"}</definedName>
    <definedName name="wrnjanr22.rename" localSheetId="0" hidden="1">{"rfcjan",#N/A,FALSE,"Stats"}</definedName>
    <definedName name="wrnjanr22.rename" localSheetId="1" hidden="1">{"rfcjan",#N/A,FALSE,"Stats"}</definedName>
    <definedName name="wrnjanr22.rename" localSheetId="2" hidden="1">{"rfcjan",#N/A,FALSE,"Stats"}</definedName>
    <definedName name="wrnjanr22.rename" localSheetId="3" hidden="1">{"rfcjan",#N/A,FALSE,"Stats"}</definedName>
    <definedName name="wrnjanr22.rename" hidden="1">{"rfcjan",#N/A,FALSE,"Stats"}</definedName>
    <definedName name="wrnjanrd2" localSheetId="0" hidden="1">{"JANRDET",#N/A,FALSE,"detail"}</definedName>
    <definedName name="wrnjanrd2" localSheetId="1" hidden="1">{"JANRDET",#N/A,FALSE,"detail"}</definedName>
    <definedName name="wrnjanrd2" localSheetId="2" hidden="1">{"JANRDET",#N/A,FALSE,"detail"}</definedName>
    <definedName name="wrnjanrd2" localSheetId="3" hidden="1">{"JANRDET",#N/A,FALSE,"detail"}</definedName>
    <definedName name="wrnjanrd2" hidden="1">{"JANRDET",#N/A,FALSE,"detail"}</definedName>
    <definedName name="wrnjanrd2.rename" localSheetId="0" hidden="1">{"JANRDET",#N/A,FALSE,"detail"}</definedName>
    <definedName name="wrnjanrd2.rename" localSheetId="1" hidden="1">{"JANRDET",#N/A,FALSE,"detail"}</definedName>
    <definedName name="wrnjanrd2.rename" localSheetId="2" hidden="1">{"JANRDET",#N/A,FALSE,"detail"}</definedName>
    <definedName name="wrnjanrd2.rename" localSheetId="3" hidden="1">{"JANRDET",#N/A,FALSE,"detail"}</definedName>
    <definedName name="wrnjanrd2.rename" hidden="1">{"JANRDET",#N/A,FALSE,"detail"}</definedName>
    <definedName name="wrnjanrd3" localSheetId="0" hidden="1">{"JANRDET",#N/A,FALSE,"detail"}</definedName>
    <definedName name="wrnjanrd3" localSheetId="1" hidden="1">{"JANRDET",#N/A,FALSE,"detail"}</definedName>
    <definedName name="wrnjanrd3" localSheetId="2" hidden="1">{"JANRDET",#N/A,FALSE,"detail"}</definedName>
    <definedName name="wrnjanrd3" localSheetId="3" hidden="1">{"JANRDET",#N/A,FALSE,"detail"}</definedName>
    <definedName name="wrnjanrd3" hidden="1">{"JANRDET",#N/A,FALSE,"detail"}</definedName>
    <definedName name="wrnjanrd3.rename" localSheetId="0" hidden="1">{"JANRDET",#N/A,FALSE,"detail"}</definedName>
    <definedName name="wrnjanrd3.rename" localSheetId="1" hidden="1">{"JANRDET",#N/A,FALSE,"detail"}</definedName>
    <definedName name="wrnjanrd3.rename" localSheetId="2" hidden="1">{"JANRDET",#N/A,FALSE,"detail"}</definedName>
    <definedName name="wrnjanrd3.rename" localSheetId="3" hidden="1">{"JANRDET",#N/A,FALSE,"detail"}</definedName>
    <definedName name="wrnjanrd3.rename" hidden="1">{"JANRDET",#N/A,FALSE,"detail"}</definedName>
    <definedName name="wrnjj" localSheetId="0" hidden="1">{"JANRDET",#N/A,FALSE,"detail"}</definedName>
    <definedName name="wrnjj" localSheetId="1" hidden="1">{"JANRDET",#N/A,FALSE,"detail"}</definedName>
    <definedName name="wrnjj" localSheetId="2" hidden="1">{"JANRDET",#N/A,FALSE,"detail"}</definedName>
    <definedName name="wrnjj" localSheetId="3" hidden="1">{"JANRDET",#N/A,FALSE,"detail"}</definedName>
    <definedName name="wrnjj" hidden="1">{"JANRDET",#N/A,FALSE,"detail"}</definedName>
    <definedName name="wrntest" localSheetId="0" hidden="1">{"testysht3",#N/A,FALSE,"Sheet3"}</definedName>
    <definedName name="wrntest" localSheetId="1" hidden="1">{"testysht3",#N/A,FALSE,"Sheet3"}</definedName>
    <definedName name="wrntest" localSheetId="2" hidden="1">{"testysht3",#N/A,FALSE,"Sheet3"}</definedName>
    <definedName name="wrntest" localSheetId="3" hidden="1">{"testysht3",#N/A,FALSE,"Sheet3"}</definedName>
    <definedName name="wrntest" hidden="1">{"testysht3",#N/A,FALSE,"Sheet3"}</definedName>
    <definedName name="wrntest2" localSheetId="0" hidden="1">{"testysht3",#N/A,FALSE,"Sheet3"}</definedName>
    <definedName name="wrntest2" localSheetId="1" hidden="1">{"testysht3",#N/A,FALSE,"Sheet3"}</definedName>
    <definedName name="wrntest2" localSheetId="2" hidden="1">{"testysht3",#N/A,FALSE,"Sheet3"}</definedName>
    <definedName name="wrntest2" localSheetId="3" hidden="1">{"testysht3",#N/A,FALSE,"Sheet3"}</definedName>
    <definedName name="wrntest2" hidden="1">{"testysht3",#N/A,FALSE,"Sheet3"}</definedName>
    <definedName name="wrntest3" localSheetId="0" hidden="1">{"testysht3",#N/A,FALSE,"Sheet3"}</definedName>
    <definedName name="wrntest3" localSheetId="1" hidden="1">{"testysht3",#N/A,FALSE,"Sheet3"}</definedName>
    <definedName name="wrntest3" localSheetId="2" hidden="1">{"testysht3",#N/A,FALSE,"Sheet3"}</definedName>
    <definedName name="wrntest3" localSheetId="3" hidden="1">{"testysht3",#N/A,FALSE,"Sheet3"}</definedName>
    <definedName name="wrntest3" hidden="1">{"testysht3",#N/A,FALSE,"Sheet3"}</definedName>
    <definedName name="wrntest4" localSheetId="0" hidden="1">{"testysht3",#N/A,FALSE,"Sheet3"}</definedName>
    <definedName name="wrntest4" localSheetId="1" hidden="1">{"testysht3",#N/A,FALSE,"Sheet3"}</definedName>
    <definedName name="wrntest4" localSheetId="2" hidden="1">{"testysht3",#N/A,FALSE,"Sheet3"}</definedName>
    <definedName name="wrntest4" localSheetId="3" hidden="1">{"testysht3",#N/A,FALSE,"Sheet3"}</definedName>
    <definedName name="wrntest4" hidden="1">{"testysht3",#N/A,FALSE,"Sheet3"}</definedName>
    <definedName name="wrntt" localSheetId="0" hidden="1">{"testysht3",#N/A,FALSE,"Sheet3"}</definedName>
    <definedName name="wrntt" localSheetId="1" hidden="1">{"testysht3",#N/A,FALSE,"Sheet3"}</definedName>
    <definedName name="wrntt" localSheetId="2" hidden="1">{"testysht3",#N/A,FALSE,"Sheet3"}</definedName>
    <definedName name="wrntt" localSheetId="3" hidden="1">{"testysht3",#N/A,FALSE,"Sheet3"}</definedName>
    <definedName name="wrntt" hidden="1">{"testysht3",#N/A,FALSE,"Sheet3"}</definedName>
    <definedName name="wrnUJANRD.rename" localSheetId="0" hidden="1">{"JANRDET",#N/A,FALSE,"detail"}</definedName>
    <definedName name="wrnUJANRD.rename" localSheetId="1" hidden="1">{"JANRDET",#N/A,FALSE,"detail"}</definedName>
    <definedName name="wrnUJANRD.rename" localSheetId="2" hidden="1">{"JANRDET",#N/A,FALSE,"detail"}</definedName>
    <definedName name="wrnUJANRD.rename" localSheetId="3" hidden="1">{"JANRDET",#N/A,FALSE,"detail"}</definedName>
    <definedName name="wrnUJANRD.rename" hidden="1">{"JANRDET",#N/A,FALSE,"detail"}</definedName>
    <definedName name="xyz" localSheetId="0" hidden="1">{"rfcjan",#N/A,FALSE,"Stats"}</definedName>
    <definedName name="xyz" localSheetId="1" hidden="1">{"rfcjan",#N/A,FALSE,"Stats"}</definedName>
    <definedName name="xyz" localSheetId="2" hidden="1">{"rfcjan",#N/A,FALSE,"Stats"}</definedName>
    <definedName name="xyz" localSheetId="3" hidden="1">{"rfcjan",#N/A,FALSE,"Stats"}</definedName>
    <definedName name="xyz" hidden="1">{"rfcjan",#N/A,FALSE,"Stats"}</definedName>
    <definedName name="zzzz" localSheetId="0" hidden="1">{"rfcjan",#N/A,FALSE,"Stats"}</definedName>
    <definedName name="zzzz" localSheetId="1" hidden="1">{"rfcjan",#N/A,FALSE,"Stats"}</definedName>
    <definedName name="zzzz" localSheetId="2" hidden="1">{"rfcjan",#N/A,FALSE,"Stats"}</definedName>
    <definedName name="zzzz" localSheetId="3" hidden="1">{"rfcjan",#N/A,FALSE,"Stats"}</definedName>
    <definedName name="zzzz" hidden="1">{"rfcjan",#N/A,FALSE,"Stats"}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3" l="1"/>
  <c r="B25" i="23"/>
  <c r="B52" i="23"/>
  <c r="B54" i="23" s="1"/>
  <c r="B35" i="23"/>
  <c r="B37" i="23" s="1"/>
  <c r="B16" i="23"/>
  <c r="B18" i="23" s="1"/>
  <c r="B6" i="23"/>
  <c r="B58" i="22"/>
  <c r="B60" i="22"/>
  <c r="B50" i="22"/>
  <c r="B39" i="22"/>
  <c r="B41" i="22" s="1"/>
  <c r="B31" i="22"/>
  <c r="B18" i="22"/>
  <c r="B20" i="22"/>
  <c r="B10" i="22"/>
  <c r="F9" i="21"/>
  <c r="F8" i="21"/>
  <c r="F7" i="21"/>
  <c r="F11" i="21" s="1"/>
  <c r="E38" i="21"/>
  <c r="D38" i="21"/>
  <c r="C38" i="21"/>
  <c r="B38" i="21"/>
  <c r="F36" i="21"/>
  <c r="E26" i="21"/>
  <c r="D26" i="21"/>
  <c r="C26" i="21"/>
  <c r="B26" i="21"/>
  <c r="F26" i="21" s="1"/>
  <c r="F24" i="21"/>
  <c r="E11" i="21"/>
  <c r="D11" i="21"/>
  <c r="C11" i="21"/>
  <c r="B11" i="21"/>
  <c r="B30" i="21"/>
  <c r="B27" i="19"/>
  <c r="B28" i="19" s="1"/>
  <c r="B29" i="19" s="1"/>
  <c r="C32" i="19" s="1"/>
  <c r="C11" i="19" s="1"/>
  <c r="D11" i="19" s="1"/>
  <c r="B19" i="18"/>
  <c r="B20" i="18" s="1"/>
  <c r="B21" i="18" s="1"/>
  <c r="C24" i="18" s="1"/>
  <c r="E11" i="18" s="1"/>
  <c r="G11" i="18" s="1"/>
  <c r="I11" i="18" s="1"/>
  <c r="J11" i="18" s="1"/>
  <c r="J12" i="18" s="1"/>
  <c r="B27" i="17"/>
  <c r="B28" i="17" s="1"/>
  <c r="B29" i="17" s="1"/>
  <c r="B19" i="16"/>
  <c r="B20" i="16" s="1"/>
  <c r="B21" i="16" s="1"/>
  <c r="B27" i="15"/>
  <c r="B28" i="15" s="1"/>
  <c r="B29" i="15" s="1"/>
  <c r="C32" i="15" s="1"/>
  <c r="C11" i="15" s="1"/>
  <c r="D11" i="15" s="1"/>
  <c r="B19" i="14"/>
  <c r="B20" i="14" s="1"/>
  <c r="B21" i="14" s="1"/>
  <c r="C24" i="14" s="1"/>
  <c r="B27" i="13"/>
  <c r="B28" i="13" s="1"/>
  <c r="B29" i="13" s="1"/>
  <c r="W13" i="13" s="1"/>
  <c r="B19" i="12"/>
  <c r="B20" i="12" s="1"/>
  <c r="B21" i="12" s="1"/>
  <c r="B27" i="11"/>
  <c r="B28" i="11" s="1"/>
  <c r="B29" i="11" s="1"/>
  <c r="C31" i="11" s="1"/>
  <c r="C11" i="11" s="1"/>
  <c r="B19" i="10"/>
  <c r="B20" i="10" s="1"/>
  <c r="B21" i="10" s="1"/>
  <c r="C24" i="10" s="1"/>
  <c r="C11" i="10" s="1"/>
  <c r="D11" i="10" s="1"/>
  <c r="D12" i="10" s="1"/>
  <c r="B27" i="9"/>
  <c r="B28" i="9" s="1"/>
  <c r="B29" i="9" s="1"/>
  <c r="W11" i="9" s="1"/>
  <c r="X11" i="9" s="1"/>
  <c r="Y11" i="9" s="1"/>
  <c r="B19" i="8"/>
  <c r="B20" i="8" s="1"/>
  <c r="B21" i="8" s="1"/>
  <c r="P11" i="8" s="1"/>
  <c r="Q11" i="8" s="1"/>
  <c r="Q12" i="8" s="1"/>
  <c r="Y8" i="17"/>
  <c r="S8" i="16"/>
  <c r="Y8" i="13"/>
  <c r="S8" i="12"/>
  <c r="Y8" i="9"/>
  <c r="P8" i="19"/>
  <c r="P8" i="18"/>
  <c r="G20" i="17"/>
  <c r="G12" i="16"/>
  <c r="P8" i="15"/>
  <c r="G20" i="13"/>
  <c r="G12" i="12"/>
  <c r="P8" i="11"/>
  <c r="P8" i="10"/>
  <c r="G20" i="9"/>
  <c r="G12" i="8"/>
  <c r="S8" i="8"/>
  <c r="F11" i="18" l="1"/>
  <c r="F12" i="18" s="1"/>
  <c r="H11" i="18"/>
  <c r="H12" i="18" s="1"/>
  <c r="K11" i="18"/>
  <c r="E11" i="10"/>
  <c r="F11" i="10" s="1"/>
  <c r="F12" i="10" s="1"/>
  <c r="C11" i="8"/>
  <c r="C15" i="9"/>
  <c r="D15" i="9" s="1"/>
  <c r="W19" i="9"/>
  <c r="X19" i="9" s="1"/>
  <c r="Y19" i="9" s="1"/>
  <c r="H13" i="13"/>
  <c r="I13" i="13" s="1"/>
  <c r="J13" i="13" s="1"/>
  <c r="H12" i="13"/>
  <c r="N13" i="13"/>
  <c r="O13" i="13" s="1"/>
  <c r="P13" i="13" s="1"/>
  <c r="Q16" i="13"/>
  <c r="R16" i="13" s="1"/>
  <c r="S16" i="13" s="1"/>
  <c r="W17" i="13"/>
  <c r="X17" i="13" s="1"/>
  <c r="Y17" i="13" s="1"/>
  <c r="W16" i="13"/>
  <c r="K15" i="17"/>
  <c r="N18" i="17"/>
  <c r="O18" i="17" s="1"/>
  <c r="P18" i="17" s="1"/>
  <c r="Q11" i="17"/>
  <c r="R11" i="17" s="1"/>
  <c r="S11" i="17" s="1"/>
  <c r="T12" i="17"/>
  <c r="W13" i="17"/>
  <c r="X13" i="17" s="1"/>
  <c r="Y13" i="17" s="1"/>
  <c r="H14" i="17"/>
  <c r="I14" i="17" s="1"/>
  <c r="J14" i="17" s="1"/>
  <c r="C15" i="17"/>
  <c r="D15" i="17" s="1"/>
  <c r="K17" i="17"/>
  <c r="L17" i="17" s="1"/>
  <c r="M17" i="17" s="1"/>
  <c r="T13" i="17"/>
  <c r="H17" i="17"/>
  <c r="K12" i="17"/>
  <c r="L12" i="17" s="1"/>
  <c r="M12" i="17" s="1"/>
  <c r="C11" i="17"/>
  <c r="D11" i="17" s="1"/>
  <c r="C19" i="17"/>
  <c r="D19" i="17" s="1"/>
  <c r="H18" i="17"/>
  <c r="I18" i="17" s="1"/>
  <c r="J18" i="17" s="1"/>
  <c r="W17" i="17"/>
  <c r="X17" i="17" s="1"/>
  <c r="Y17" i="17" s="1"/>
  <c r="T16" i="17"/>
  <c r="U16" i="17" s="1"/>
  <c r="V16" i="17" s="1"/>
  <c r="Q15" i="17"/>
  <c r="N14" i="17"/>
  <c r="K13" i="17"/>
  <c r="L13" i="17" s="1"/>
  <c r="M13" i="17" s="1"/>
  <c r="H15" i="17"/>
  <c r="I15" i="17" s="1"/>
  <c r="J15" i="17" s="1"/>
  <c r="T15" i="17"/>
  <c r="U15" i="17" s="1"/>
  <c r="V15" i="17" s="1"/>
  <c r="C12" i="17"/>
  <c r="D12" i="17" s="1"/>
  <c r="H11" i="17"/>
  <c r="H19" i="17"/>
  <c r="I19" i="17" s="1"/>
  <c r="J19" i="17" s="1"/>
  <c r="W18" i="17"/>
  <c r="T17" i="17"/>
  <c r="Q16" i="17"/>
  <c r="R16" i="17" s="1"/>
  <c r="S16" i="17" s="1"/>
  <c r="N15" i="17"/>
  <c r="O15" i="17" s="1"/>
  <c r="P15" i="17" s="1"/>
  <c r="K14" i="17"/>
  <c r="L14" i="17" s="1"/>
  <c r="M14" i="17" s="1"/>
  <c r="C16" i="17"/>
  <c r="D16" i="17" s="1"/>
  <c r="W16" i="17"/>
  <c r="X16" i="17" s="1"/>
  <c r="Y16" i="17" s="1"/>
  <c r="Q14" i="17"/>
  <c r="R14" i="17" s="1"/>
  <c r="S14" i="17" s="1"/>
  <c r="C13" i="17"/>
  <c r="D13" i="17" s="1"/>
  <c r="H12" i="17"/>
  <c r="I12" i="17" s="1"/>
  <c r="J12" i="17" s="1"/>
  <c r="W11" i="17"/>
  <c r="X11" i="17" s="1"/>
  <c r="Y11" i="17" s="1"/>
  <c r="W19" i="17"/>
  <c r="T18" i="17"/>
  <c r="U18" i="17" s="1"/>
  <c r="V18" i="17" s="1"/>
  <c r="Q17" i="17"/>
  <c r="R17" i="17" s="1"/>
  <c r="S17" i="17" s="1"/>
  <c r="N16" i="17"/>
  <c r="O16" i="17" s="1"/>
  <c r="P16" i="17" s="1"/>
  <c r="C18" i="17"/>
  <c r="D18" i="17" s="1"/>
  <c r="N13" i="17"/>
  <c r="C14" i="17"/>
  <c r="H13" i="17"/>
  <c r="I13" i="17" s="1"/>
  <c r="J13" i="17" s="1"/>
  <c r="W12" i="17"/>
  <c r="X12" i="17" s="1"/>
  <c r="Y12" i="17" s="1"/>
  <c r="T11" i="17"/>
  <c r="U11" i="17" s="1"/>
  <c r="V11" i="17" s="1"/>
  <c r="T19" i="17"/>
  <c r="U19" i="17" s="1"/>
  <c r="V19" i="17" s="1"/>
  <c r="Q18" i="17"/>
  <c r="N17" i="17"/>
  <c r="O17" i="17" s="1"/>
  <c r="P17" i="17" s="1"/>
  <c r="K16" i="17"/>
  <c r="Q19" i="17"/>
  <c r="R19" i="17" s="1"/>
  <c r="S19" i="17" s="1"/>
  <c r="W14" i="17"/>
  <c r="X14" i="17" s="1"/>
  <c r="Y14" i="17" s="1"/>
  <c r="Q12" i="17"/>
  <c r="R12" i="17" s="1"/>
  <c r="S12" i="17" s="1"/>
  <c r="N11" i="17"/>
  <c r="O11" i="17" s="1"/>
  <c r="P11" i="17" s="1"/>
  <c r="N19" i="17"/>
  <c r="O19" i="17" s="1"/>
  <c r="P19" i="17" s="1"/>
  <c r="K18" i="17"/>
  <c r="C17" i="17"/>
  <c r="D17" i="17" s="1"/>
  <c r="H16" i="17"/>
  <c r="W15" i="17"/>
  <c r="X15" i="17" s="1"/>
  <c r="Y15" i="17" s="1"/>
  <c r="T14" i="17"/>
  <c r="U14" i="17" s="1"/>
  <c r="V14" i="17" s="1"/>
  <c r="Q13" i="17"/>
  <c r="R13" i="17" s="1"/>
  <c r="S13" i="17" s="1"/>
  <c r="N12" i="17"/>
  <c r="O12" i="17" s="1"/>
  <c r="P12" i="17" s="1"/>
  <c r="K11" i="17"/>
  <c r="L11" i="17" s="1"/>
  <c r="M11" i="17" s="1"/>
  <c r="K19" i="17"/>
  <c r="L19" i="17" s="1"/>
  <c r="M19" i="17" s="1"/>
  <c r="P11" i="16"/>
  <c r="Q11" i="16" s="1"/>
  <c r="Q12" i="16" s="1"/>
  <c r="N11" i="16"/>
  <c r="O11" i="16" s="1"/>
  <c r="O12" i="16" s="1"/>
  <c r="L11" i="16"/>
  <c r="M11" i="16" s="1"/>
  <c r="M12" i="16" s="1"/>
  <c r="J11" i="16"/>
  <c r="K11" i="16" s="1"/>
  <c r="K12" i="16" s="1"/>
  <c r="H11" i="16"/>
  <c r="I11" i="16" s="1"/>
  <c r="I12" i="16" s="1"/>
  <c r="C11" i="16"/>
  <c r="C12" i="16" s="1"/>
  <c r="R11" i="16"/>
  <c r="S11" i="16" s="1"/>
  <c r="S12" i="16" s="1"/>
  <c r="C11" i="13"/>
  <c r="K11" i="13"/>
  <c r="Q15" i="13"/>
  <c r="C12" i="13"/>
  <c r="D12" i="13" s="1"/>
  <c r="K14" i="13"/>
  <c r="L14" i="13" s="1"/>
  <c r="M14" i="13" s="1"/>
  <c r="Q14" i="13"/>
  <c r="R14" i="13" s="1"/>
  <c r="S14" i="13" s="1"/>
  <c r="C13" i="13"/>
  <c r="D13" i="13" s="1"/>
  <c r="K13" i="13"/>
  <c r="L13" i="13" s="1"/>
  <c r="M13" i="13" s="1"/>
  <c r="T17" i="13"/>
  <c r="U17" i="13" s="1"/>
  <c r="V17" i="13" s="1"/>
  <c r="C19" i="13"/>
  <c r="K12" i="13"/>
  <c r="T16" i="13"/>
  <c r="U16" i="13" s="1"/>
  <c r="V16" i="13" s="1"/>
  <c r="H11" i="13"/>
  <c r="I11" i="13" s="1"/>
  <c r="J11" i="13" s="1"/>
  <c r="N15" i="13"/>
  <c r="O15" i="13" s="1"/>
  <c r="P15" i="13" s="1"/>
  <c r="T15" i="13"/>
  <c r="U15" i="13" s="1"/>
  <c r="V15" i="13" s="1"/>
  <c r="H19" i="13"/>
  <c r="I19" i="13" s="1"/>
  <c r="J19" i="13" s="1"/>
  <c r="N14" i="13"/>
  <c r="O14" i="13" s="1"/>
  <c r="P14" i="13" s="1"/>
  <c r="W18" i="13"/>
  <c r="P11" i="12"/>
  <c r="N11" i="12"/>
  <c r="L11" i="12"/>
  <c r="J11" i="12"/>
  <c r="H11" i="12"/>
  <c r="I11" i="12" s="1"/>
  <c r="I12" i="12" s="1"/>
  <c r="C11" i="12"/>
  <c r="C12" i="12" s="1"/>
  <c r="C24" i="12"/>
  <c r="R11" i="12"/>
  <c r="S11" i="12" s="1"/>
  <c r="S12" i="12" s="1"/>
  <c r="T18" i="9"/>
  <c r="U18" i="9" s="1"/>
  <c r="V18" i="9" s="1"/>
  <c r="K13" i="9"/>
  <c r="L13" i="9" s="1"/>
  <c r="M13" i="9" s="1"/>
  <c r="N12" i="9"/>
  <c r="O12" i="9" s="1"/>
  <c r="P12" i="9" s="1"/>
  <c r="W17" i="9"/>
  <c r="X17" i="9" s="1"/>
  <c r="Y17" i="9" s="1"/>
  <c r="N14" i="9"/>
  <c r="O14" i="9" s="1"/>
  <c r="P14" i="9" s="1"/>
  <c r="Q11" i="9"/>
  <c r="R11" i="9" s="1"/>
  <c r="S11" i="9" s="1"/>
  <c r="C17" i="13"/>
  <c r="D17" i="13" s="1"/>
  <c r="H15" i="13"/>
  <c r="K16" i="13"/>
  <c r="N17" i="13"/>
  <c r="O17" i="13" s="1"/>
  <c r="P17" i="13" s="1"/>
  <c r="Q18" i="13"/>
  <c r="R18" i="13" s="1"/>
  <c r="S18" i="13" s="1"/>
  <c r="T19" i="13"/>
  <c r="U19" i="13" s="1"/>
  <c r="V19" i="13" s="1"/>
  <c r="W11" i="13"/>
  <c r="X11" i="13" s="1"/>
  <c r="Y11" i="13" s="1"/>
  <c r="W12" i="13"/>
  <c r="X12" i="13" s="1"/>
  <c r="Y12" i="13" s="1"/>
  <c r="C18" i="13"/>
  <c r="D18" i="13" s="1"/>
  <c r="H14" i="13"/>
  <c r="K15" i="13"/>
  <c r="L15" i="13" s="1"/>
  <c r="M15" i="13" s="1"/>
  <c r="N16" i="13"/>
  <c r="O16" i="13" s="1"/>
  <c r="P16" i="13" s="1"/>
  <c r="Q17" i="13"/>
  <c r="R17" i="13" s="1"/>
  <c r="S17" i="13" s="1"/>
  <c r="T18" i="13"/>
  <c r="U18" i="13" s="1"/>
  <c r="V18" i="13" s="1"/>
  <c r="W19" i="13"/>
  <c r="X19" i="13" s="1"/>
  <c r="Y19" i="13" s="1"/>
  <c r="C32" i="13"/>
  <c r="C14" i="13"/>
  <c r="D14" i="13" s="1"/>
  <c r="H18" i="13"/>
  <c r="K19" i="13"/>
  <c r="N11" i="13"/>
  <c r="O11" i="13" s="1"/>
  <c r="P11" i="13" s="1"/>
  <c r="N12" i="13"/>
  <c r="O12" i="13" s="1"/>
  <c r="P12" i="13" s="1"/>
  <c r="Q13" i="13"/>
  <c r="R13" i="13" s="1"/>
  <c r="S13" i="13" s="1"/>
  <c r="T14" i="13"/>
  <c r="U14" i="13" s="1"/>
  <c r="V14" i="13" s="1"/>
  <c r="W15" i="13"/>
  <c r="X15" i="13" s="1"/>
  <c r="Y15" i="13" s="1"/>
  <c r="C15" i="13"/>
  <c r="H17" i="13"/>
  <c r="K18" i="13"/>
  <c r="N19" i="13"/>
  <c r="O19" i="13" s="1"/>
  <c r="P19" i="13" s="1"/>
  <c r="Q11" i="13"/>
  <c r="R11" i="13" s="1"/>
  <c r="S11" i="13" s="1"/>
  <c r="Q12" i="13"/>
  <c r="R12" i="13" s="1"/>
  <c r="S12" i="13" s="1"/>
  <c r="T13" i="13"/>
  <c r="U13" i="13" s="1"/>
  <c r="V13" i="13" s="1"/>
  <c r="W14" i="13"/>
  <c r="X14" i="13" s="1"/>
  <c r="Y14" i="13" s="1"/>
  <c r="C16" i="13"/>
  <c r="D16" i="13" s="1"/>
  <c r="H16" i="13"/>
  <c r="K17" i="13"/>
  <c r="N18" i="13"/>
  <c r="O18" i="13" s="1"/>
  <c r="P18" i="13" s="1"/>
  <c r="Q19" i="13"/>
  <c r="R19" i="13" s="1"/>
  <c r="S19" i="13" s="1"/>
  <c r="T11" i="13"/>
  <c r="U11" i="13" s="1"/>
  <c r="V11" i="13" s="1"/>
  <c r="T12" i="13"/>
  <c r="U12" i="13" s="1"/>
  <c r="V12" i="13" s="1"/>
  <c r="E11" i="19"/>
  <c r="C12" i="19"/>
  <c r="C12" i="11"/>
  <c r="E11" i="11"/>
  <c r="E11" i="15"/>
  <c r="C12" i="15"/>
  <c r="D11" i="11"/>
  <c r="R11" i="8"/>
  <c r="S11" i="8" s="1"/>
  <c r="S12" i="8" s="1"/>
  <c r="N11" i="8"/>
  <c r="O11" i="8" s="1"/>
  <c r="O12" i="8" s="1"/>
  <c r="L11" i="8"/>
  <c r="M11" i="8" s="1"/>
  <c r="M12" i="8" s="1"/>
  <c r="J11" i="8"/>
  <c r="K11" i="8" s="1"/>
  <c r="K12" i="8" s="1"/>
  <c r="H11" i="8"/>
  <c r="I11" i="8" s="1"/>
  <c r="I12" i="8" s="1"/>
  <c r="C24" i="8"/>
  <c r="C12" i="8"/>
  <c r="L16" i="13"/>
  <c r="M16" i="13" s="1"/>
  <c r="I17" i="13"/>
  <c r="J17" i="13" s="1"/>
  <c r="X18" i="13"/>
  <c r="Y18" i="13" s="1"/>
  <c r="I15" i="13"/>
  <c r="J15" i="13" s="1"/>
  <c r="I14" i="13"/>
  <c r="J14" i="13" s="1"/>
  <c r="D15" i="13"/>
  <c r="X16" i="13"/>
  <c r="Y16" i="13" s="1"/>
  <c r="L12" i="13"/>
  <c r="M12" i="13" s="1"/>
  <c r="L19" i="13"/>
  <c r="M19" i="13" s="1"/>
  <c r="L11" i="13"/>
  <c r="M11" i="13" s="1"/>
  <c r="I12" i="13"/>
  <c r="J12" i="13" s="1"/>
  <c r="L18" i="13"/>
  <c r="M18" i="13" s="1"/>
  <c r="D11" i="13"/>
  <c r="K15" i="9"/>
  <c r="L15" i="9" s="1"/>
  <c r="M15" i="9" s="1"/>
  <c r="L17" i="13"/>
  <c r="M17" i="13" s="1"/>
  <c r="X13" i="13"/>
  <c r="Y13" i="13" s="1"/>
  <c r="E11" i="14"/>
  <c r="C11" i="14"/>
  <c r="D11" i="14" s="1"/>
  <c r="D12" i="14" s="1"/>
  <c r="D27" i="21"/>
  <c r="B27" i="21"/>
  <c r="F27" i="21" s="1"/>
  <c r="C27" i="21"/>
  <c r="E39" i="21"/>
  <c r="W18" i="9"/>
  <c r="X18" i="9" s="1"/>
  <c r="Y18" i="9" s="1"/>
  <c r="T19" i="9"/>
  <c r="U19" i="9" s="1"/>
  <c r="V19" i="9" s="1"/>
  <c r="T11" i="9"/>
  <c r="U11" i="9" s="1"/>
  <c r="V11" i="9" s="1"/>
  <c r="Q12" i="9"/>
  <c r="R12" i="9" s="1"/>
  <c r="S12" i="9" s="1"/>
  <c r="N13" i="9"/>
  <c r="O13" i="9" s="1"/>
  <c r="P13" i="9" s="1"/>
  <c r="K14" i="9"/>
  <c r="L14" i="9" s="1"/>
  <c r="M14" i="9" s="1"/>
  <c r="H15" i="9"/>
  <c r="I15" i="9" s="1"/>
  <c r="J15" i="9" s="1"/>
  <c r="C16" i="9"/>
  <c r="D16" i="9" s="1"/>
  <c r="W16" i="9"/>
  <c r="X16" i="9" s="1"/>
  <c r="Y16" i="9" s="1"/>
  <c r="T17" i="9"/>
  <c r="U17" i="9" s="1"/>
  <c r="V17" i="9" s="1"/>
  <c r="Q18" i="9"/>
  <c r="R18" i="9" s="1"/>
  <c r="S18" i="9" s="1"/>
  <c r="N19" i="9"/>
  <c r="O19" i="9" s="1"/>
  <c r="P19" i="9" s="1"/>
  <c r="N11" i="9"/>
  <c r="O11" i="9" s="1"/>
  <c r="P11" i="9" s="1"/>
  <c r="K12" i="9"/>
  <c r="L12" i="9" s="1"/>
  <c r="M12" i="9" s="1"/>
  <c r="H13" i="9"/>
  <c r="I13" i="9" s="1"/>
  <c r="J13" i="9" s="1"/>
  <c r="C14" i="9"/>
  <c r="D14" i="9" s="1"/>
  <c r="W15" i="9"/>
  <c r="X15" i="9" s="1"/>
  <c r="Y15" i="9" s="1"/>
  <c r="T16" i="9"/>
  <c r="U16" i="9" s="1"/>
  <c r="V16" i="9" s="1"/>
  <c r="Q17" i="9"/>
  <c r="R17" i="9" s="1"/>
  <c r="S17" i="9" s="1"/>
  <c r="N18" i="9"/>
  <c r="O18" i="9" s="1"/>
  <c r="P18" i="9" s="1"/>
  <c r="K19" i="9"/>
  <c r="L19" i="9" s="1"/>
  <c r="M19" i="9" s="1"/>
  <c r="K11" i="9"/>
  <c r="L11" i="9" s="1"/>
  <c r="M11" i="9" s="1"/>
  <c r="H12" i="9"/>
  <c r="I12" i="9" s="1"/>
  <c r="J12" i="9" s="1"/>
  <c r="C13" i="9"/>
  <c r="D13" i="9" s="1"/>
  <c r="C32" i="9"/>
  <c r="W14" i="9"/>
  <c r="X14" i="9" s="1"/>
  <c r="Y14" i="9" s="1"/>
  <c r="T15" i="9"/>
  <c r="U15" i="9" s="1"/>
  <c r="V15" i="9" s="1"/>
  <c r="Q16" i="9"/>
  <c r="R16" i="9" s="1"/>
  <c r="S16" i="9" s="1"/>
  <c r="N17" i="9"/>
  <c r="O17" i="9" s="1"/>
  <c r="P17" i="9" s="1"/>
  <c r="K18" i="9"/>
  <c r="L18" i="9" s="1"/>
  <c r="M18" i="9" s="1"/>
  <c r="H19" i="9"/>
  <c r="I19" i="9" s="1"/>
  <c r="J19" i="9" s="1"/>
  <c r="H11" i="9"/>
  <c r="I11" i="9" s="1"/>
  <c r="J11" i="9" s="1"/>
  <c r="C12" i="9"/>
  <c r="D12" i="9" s="1"/>
  <c r="C11" i="9"/>
  <c r="D11" i="9" s="1"/>
  <c r="W13" i="9"/>
  <c r="X13" i="9" s="1"/>
  <c r="Y13" i="9" s="1"/>
  <c r="T14" i="9"/>
  <c r="U14" i="9" s="1"/>
  <c r="V14" i="9" s="1"/>
  <c r="Q15" i="9"/>
  <c r="R15" i="9" s="1"/>
  <c r="S15" i="9" s="1"/>
  <c r="N16" i="9"/>
  <c r="O16" i="9" s="1"/>
  <c r="P16" i="9" s="1"/>
  <c r="K17" i="9"/>
  <c r="L17" i="9" s="1"/>
  <c r="M17" i="9" s="1"/>
  <c r="H18" i="9"/>
  <c r="I18" i="9" s="1"/>
  <c r="J18" i="9" s="1"/>
  <c r="C19" i="9"/>
  <c r="D19" i="9" s="1"/>
  <c r="W12" i="9"/>
  <c r="X12" i="9" s="1"/>
  <c r="Y12" i="9" s="1"/>
  <c r="T13" i="9"/>
  <c r="U13" i="9" s="1"/>
  <c r="V13" i="9" s="1"/>
  <c r="Q14" i="9"/>
  <c r="R14" i="9" s="1"/>
  <c r="S14" i="9" s="1"/>
  <c r="N15" i="9"/>
  <c r="O15" i="9" s="1"/>
  <c r="P15" i="9" s="1"/>
  <c r="K16" i="9"/>
  <c r="L16" i="9" s="1"/>
  <c r="M16" i="9" s="1"/>
  <c r="H17" i="9"/>
  <c r="I17" i="9" s="1"/>
  <c r="J17" i="9" s="1"/>
  <c r="C18" i="9"/>
  <c r="D18" i="9" s="1"/>
  <c r="B15" i="21"/>
  <c r="C12" i="21"/>
  <c r="E12" i="21"/>
  <c r="B12" i="21"/>
  <c r="F12" i="21" s="1"/>
  <c r="E27" i="21"/>
  <c r="C11" i="18"/>
  <c r="D11" i="18" s="1"/>
  <c r="D12" i="18" s="1"/>
  <c r="C17" i="9"/>
  <c r="D17" i="9" s="1"/>
  <c r="Q13" i="9"/>
  <c r="R13" i="9" s="1"/>
  <c r="S13" i="9" s="1"/>
  <c r="D19" i="13"/>
  <c r="R15" i="13"/>
  <c r="S15" i="13" s="1"/>
  <c r="H14" i="9"/>
  <c r="I14" i="9" s="1"/>
  <c r="J14" i="9" s="1"/>
  <c r="Q19" i="9"/>
  <c r="R19" i="9" s="1"/>
  <c r="S19" i="9" s="1"/>
  <c r="I16" i="13"/>
  <c r="J16" i="13" s="1"/>
  <c r="Q11" i="12"/>
  <c r="Q12" i="12" s="1"/>
  <c r="O11" i="12"/>
  <c r="O12" i="12" s="1"/>
  <c r="M11" i="12"/>
  <c r="M12" i="12" s="1"/>
  <c r="K11" i="12"/>
  <c r="K12" i="12" s="1"/>
  <c r="U17" i="17"/>
  <c r="V17" i="17" s="1"/>
  <c r="R18" i="17"/>
  <c r="S18" i="17" s="1"/>
  <c r="D14" i="17"/>
  <c r="L18" i="17"/>
  <c r="M18" i="17" s="1"/>
  <c r="I11" i="17"/>
  <c r="J11" i="17" s="1"/>
  <c r="R15" i="17"/>
  <c r="S15" i="17" s="1"/>
  <c r="U13" i="17"/>
  <c r="V13" i="17" s="1"/>
  <c r="L16" i="17"/>
  <c r="M16" i="17" s="1"/>
  <c r="I17" i="17"/>
  <c r="J17" i="17" s="1"/>
  <c r="X19" i="17"/>
  <c r="Y19" i="17" s="1"/>
  <c r="U12" i="17"/>
  <c r="V12" i="17" s="1"/>
  <c r="O14" i="17"/>
  <c r="P14" i="17" s="1"/>
  <c r="L15" i="17"/>
  <c r="M15" i="17" s="1"/>
  <c r="I16" i="17"/>
  <c r="J16" i="17" s="1"/>
  <c r="X18" i="17"/>
  <c r="Y18" i="17" s="1"/>
  <c r="O13" i="17"/>
  <c r="P13" i="17" s="1"/>
  <c r="D12" i="21"/>
  <c r="H16" i="9"/>
  <c r="I16" i="9" s="1"/>
  <c r="J16" i="9" s="1"/>
  <c r="T12" i="9"/>
  <c r="U12" i="9" s="1"/>
  <c r="V12" i="9" s="1"/>
  <c r="I18" i="13"/>
  <c r="J18" i="13" s="1"/>
  <c r="F38" i="21"/>
  <c r="C39" i="21" s="1"/>
  <c r="G11" i="10" l="1"/>
  <c r="M11" i="18"/>
  <c r="L11" i="18"/>
  <c r="L12" i="18" s="1"/>
  <c r="Y20" i="9"/>
  <c r="M20" i="17"/>
  <c r="S20" i="17"/>
  <c r="C14" i="16"/>
  <c r="B25" i="20" s="1"/>
  <c r="Y20" i="13"/>
  <c r="V20" i="13"/>
  <c r="D20" i="13"/>
  <c r="G11" i="19"/>
  <c r="F11" i="19"/>
  <c r="E12" i="19"/>
  <c r="M20" i="9"/>
  <c r="C14" i="8"/>
  <c r="B5" i="20" s="1"/>
  <c r="D12" i="15"/>
  <c r="C13" i="15"/>
  <c r="C14" i="12"/>
  <c r="B15" i="20" s="1"/>
  <c r="P20" i="9"/>
  <c r="J20" i="13"/>
  <c r="G11" i="15"/>
  <c r="E12" i="15"/>
  <c r="F11" i="15"/>
  <c r="I11" i="10"/>
  <c r="H11" i="10"/>
  <c r="H12" i="10" s="1"/>
  <c r="J20" i="9"/>
  <c r="P20" i="17"/>
  <c r="V20" i="17"/>
  <c r="S20" i="9"/>
  <c r="V20" i="9"/>
  <c r="F11" i="14"/>
  <c r="F12" i="14" s="1"/>
  <c r="G11" i="14"/>
  <c r="M20" i="13"/>
  <c r="F11" i="11"/>
  <c r="E12" i="11"/>
  <c r="G11" i="11"/>
  <c r="D20" i="17"/>
  <c r="D20" i="9"/>
  <c r="P20" i="13"/>
  <c r="C13" i="11"/>
  <c r="D12" i="11"/>
  <c r="B42" i="21"/>
  <c r="B39" i="21"/>
  <c r="F39" i="21" s="1"/>
  <c r="D39" i="21"/>
  <c r="Y20" i="17"/>
  <c r="J20" i="17"/>
  <c r="S20" i="13"/>
  <c r="D12" i="19"/>
  <c r="C13" i="19"/>
  <c r="O11" i="18" l="1"/>
  <c r="P11" i="18" s="1"/>
  <c r="P12" i="18" s="1"/>
  <c r="N11" i="18"/>
  <c r="N12" i="18" s="1"/>
  <c r="C22" i="17"/>
  <c r="B26" i="20" s="1"/>
  <c r="I11" i="11"/>
  <c r="H11" i="11"/>
  <c r="G12" i="11"/>
  <c r="E13" i="15"/>
  <c r="F12" i="15"/>
  <c r="K11" i="10"/>
  <c r="J11" i="10"/>
  <c r="J12" i="10" s="1"/>
  <c r="H11" i="15"/>
  <c r="G12" i="15"/>
  <c r="I11" i="15"/>
  <c r="E13" i="19"/>
  <c r="F12" i="19"/>
  <c r="D13" i="11"/>
  <c r="C14" i="11"/>
  <c r="G12" i="19"/>
  <c r="I11" i="19"/>
  <c r="H11" i="19"/>
  <c r="C14" i="19"/>
  <c r="D13" i="19"/>
  <c r="F12" i="11"/>
  <c r="E13" i="11"/>
  <c r="I11" i="14"/>
  <c r="H11" i="14"/>
  <c r="H12" i="14" s="1"/>
  <c r="C22" i="9"/>
  <c r="B6" i="20" s="1"/>
  <c r="C14" i="15"/>
  <c r="D13" i="15"/>
  <c r="C22" i="13"/>
  <c r="B16" i="20" s="1"/>
  <c r="C14" i="18" l="1"/>
  <c r="B27" i="20" s="1"/>
  <c r="E14" i="15"/>
  <c r="F13" i="15"/>
  <c r="K11" i="14"/>
  <c r="J11" i="14"/>
  <c r="J12" i="14" s="1"/>
  <c r="C15" i="19"/>
  <c r="D14" i="19"/>
  <c r="E14" i="19"/>
  <c r="F13" i="19"/>
  <c r="H12" i="11"/>
  <c r="G13" i="11"/>
  <c r="J11" i="15"/>
  <c r="K11" i="15"/>
  <c r="I12" i="15"/>
  <c r="F13" i="11"/>
  <c r="E14" i="11"/>
  <c r="K11" i="19"/>
  <c r="I12" i="19"/>
  <c r="J11" i="19"/>
  <c r="G13" i="15"/>
  <c r="H12" i="15"/>
  <c r="J11" i="11"/>
  <c r="I12" i="11"/>
  <c r="K11" i="11"/>
  <c r="H12" i="19"/>
  <c r="G13" i="19"/>
  <c r="D14" i="11"/>
  <c r="C15" i="11"/>
  <c r="D14" i="15"/>
  <c r="C15" i="15"/>
  <c r="M11" i="10"/>
  <c r="L11" i="10"/>
  <c r="L12" i="10" s="1"/>
  <c r="M11" i="19" l="1"/>
  <c r="L11" i="19"/>
  <c r="K12" i="19"/>
  <c r="H13" i="11"/>
  <c r="G14" i="11"/>
  <c r="M11" i="11"/>
  <c r="L11" i="11"/>
  <c r="K12" i="11"/>
  <c r="F14" i="11"/>
  <c r="E15" i="11"/>
  <c r="F14" i="15"/>
  <c r="E15" i="15"/>
  <c r="J12" i="11"/>
  <c r="I13" i="11"/>
  <c r="D15" i="11"/>
  <c r="C16" i="11"/>
  <c r="F14" i="19"/>
  <c r="E15" i="19"/>
  <c r="J12" i="15"/>
  <c r="I13" i="15"/>
  <c r="M11" i="15"/>
  <c r="K12" i="15"/>
  <c r="L11" i="15"/>
  <c r="D15" i="19"/>
  <c r="C16" i="19"/>
  <c r="G14" i="19"/>
  <c r="H13" i="19"/>
  <c r="D15" i="15"/>
  <c r="C16" i="15"/>
  <c r="G14" i="15"/>
  <c r="H13" i="15"/>
  <c r="O11" i="10"/>
  <c r="P11" i="10" s="1"/>
  <c r="P12" i="10" s="1"/>
  <c r="N11" i="10"/>
  <c r="N12" i="10" s="1"/>
  <c r="I13" i="19"/>
  <c r="J12" i="19"/>
  <c r="M11" i="14"/>
  <c r="L11" i="14"/>
  <c r="L12" i="14" s="1"/>
  <c r="C14" i="10" l="1"/>
  <c r="B7" i="20" s="1"/>
  <c r="F15" i="11"/>
  <c r="E16" i="11"/>
  <c r="D16" i="11"/>
  <c r="C17" i="11"/>
  <c r="G15" i="15"/>
  <c r="H14" i="15"/>
  <c r="L12" i="15"/>
  <c r="K13" i="15"/>
  <c r="L12" i="11"/>
  <c r="K13" i="11"/>
  <c r="O11" i="19"/>
  <c r="N11" i="19"/>
  <c r="M12" i="19"/>
  <c r="N11" i="14"/>
  <c r="N12" i="14" s="1"/>
  <c r="O11" i="14"/>
  <c r="P11" i="14" s="1"/>
  <c r="P12" i="14" s="1"/>
  <c r="C14" i="14" s="1"/>
  <c r="B17" i="20" s="1"/>
  <c r="O11" i="15"/>
  <c r="M12" i="15"/>
  <c r="N11" i="15"/>
  <c r="C17" i="15"/>
  <c r="D16" i="15"/>
  <c r="J13" i="19"/>
  <c r="I14" i="19"/>
  <c r="I14" i="11"/>
  <c r="J13" i="11"/>
  <c r="N11" i="11"/>
  <c r="O11" i="11"/>
  <c r="M12" i="11"/>
  <c r="K13" i="19"/>
  <c r="L12" i="19"/>
  <c r="H14" i="19"/>
  <c r="G15" i="19"/>
  <c r="E16" i="15"/>
  <c r="F15" i="15"/>
  <c r="H14" i="11"/>
  <c r="G15" i="11"/>
  <c r="I14" i="15"/>
  <c r="J13" i="15"/>
  <c r="C17" i="19"/>
  <c r="D16" i="19"/>
  <c r="F15" i="19"/>
  <c r="E16" i="19"/>
  <c r="F16" i="15" l="1"/>
  <c r="E17" i="15"/>
  <c r="L13" i="11"/>
  <c r="K14" i="11"/>
  <c r="D17" i="19"/>
  <c r="C18" i="19"/>
  <c r="G16" i="19"/>
  <c r="H15" i="19"/>
  <c r="N12" i="15"/>
  <c r="M13" i="15"/>
  <c r="L13" i="15"/>
  <c r="K14" i="15"/>
  <c r="F16" i="11"/>
  <c r="E17" i="11"/>
  <c r="J14" i="19"/>
  <c r="I15" i="19"/>
  <c r="H15" i="11"/>
  <c r="G16" i="11"/>
  <c r="H15" i="15"/>
  <c r="G16" i="15"/>
  <c r="O12" i="15"/>
  <c r="P11" i="15"/>
  <c r="I15" i="15"/>
  <c r="J14" i="15"/>
  <c r="L13" i="19"/>
  <c r="K14" i="19"/>
  <c r="F16" i="19"/>
  <c r="E17" i="19"/>
  <c r="M13" i="11"/>
  <c r="N12" i="11"/>
  <c r="C18" i="15"/>
  <c r="D17" i="15"/>
  <c r="J14" i="11"/>
  <c r="I15" i="11"/>
  <c r="N12" i="19"/>
  <c r="M13" i="19"/>
  <c r="P11" i="11"/>
  <c r="O12" i="11"/>
  <c r="P11" i="19"/>
  <c r="O12" i="19"/>
  <c r="D17" i="11"/>
  <c r="C18" i="11"/>
  <c r="D18" i="15" l="1"/>
  <c r="C19" i="15"/>
  <c r="D19" i="15" s="1"/>
  <c r="J15" i="19"/>
  <c r="I16" i="19"/>
  <c r="G17" i="19"/>
  <c r="H16" i="19"/>
  <c r="E18" i="15"/>
  <c r="F17" i="15"/>
  <c r="D18" i="11"/>
  <c r="C19" i="11"/>
  <c r="D19" i="11" s="1"/>
  <c r="D20" i="11" s="1"/>
  <c r="F17" i="11"/>
  <c r="E18" i="11"/>
  <c r="P12" i="15"/>
  <c r="O13" i="15"/>
  <c r="O13" i="19"/>
  <c r="P12" i="19"/>
  <c r="G17" i="15"/>
  <c r="H16" i="15"/>
  <c r="K15" i="15"/>
  <c r="L14" i="15"/>
  <c r="L14" i="11"/>
  <c r="K15" i="11"/>
  <c r="F17" i="19"/>
  <c r="E18" i="19"/>
  <c r="L14" i="19"/>
  <c r="K15" i="19"/>
  <c r="H16" i="11"/>
  <c r="G17" i="11"/>
  <c r="M14" i="15"/>
  <c r="N13" i="15"/>
  <c r="I16" i="15"/>
  <c r="J15" i="15"/>
  <c r="N13" i="19"/>
  <c r="M14" i="19"/>
  <c r="M14" i="11"/>
  <c r="N13" i="11"/>
  <c r="D18" i="19"/>
  <c r="C19" i="19"/>
  <c r="D19" i="19" s="1"/>
  <c r="D20" i="19" s="1"/>
  <c r="J15" i="11"/>
  <c r="I16" i="11"/>
  <c r="O13" i="11"/>
  <c r="P12" i="11"/>
  <c r="D20" i="15" l="1"/>
  <c r="N14" i="11"/>
  <c r="M15" i="11"/>
  <c r="K16" i="15"/>
  <c r="L15" i="15"/>
  <c r="I17" i="19"/>
  <c r="J16" i="19"/>
  <c r="O14" i="11"/>
  <c r="P13" i="11"/>
  <c r="I17" i="11"/>
  <c r="J16" i="11"/>
  <c r="F18" i="19"/>
  <c r="E19" i="19"/>
  <c r="F19" i="19" s="1"/>
  <c r="G18" i="11"/>
  <c r="H17" i="11"/>
  <c r="M15" i="19"/>
  <c r="N14" i="19"/>
  <c r="O14" i="19"/>
  <c r="P13" i="19"/>
  <c r="E19" i="15"/>
  <c r="F19" i="15" s="1"/>
  <c r="F18" i="15"/>
  <c r="L15" i="11"/>
  <c r="K16" i="11"/>
  <c r="O14" i="15"/>
  <c r="P13" i="15"/>
  <c r="F18" i="11"/>
  <c r="E19" i="11"/>
  <c r="F19" i="11" s="1"/>
  <c r="F20" i="11" s="1"/>
  <c r="L15" i="19"/>
  <c r="K16" i="19"/>
  <c r="H17" i="15"/>
  <c r="G18" i="15"/>
  <c r="I17" i="15"/>
  <c r="J16" i="15"/>
  <c r="M15" i="15"/>
  <c r="N14" i="15"/>
  <c r="H17" i="19"/>
  <c r="G18" i="19"/>
  <c r="F20" i="15" l="1"/>
  <c r="J17" i="15"/>
  <c r="I18" i="15"/>
  <c r="O15" i="15"/>
  <c r="P14" i="15"/>
  <c r="J17" i="19"/>
  <c r="I18" i="19"/>
  <c r="G19" i="19"/>
  <c r="H19" i="19" s="1"/>
  <c r="H18" i="19"/>
  <c r="J17" i="11"/>
  <c r="I18" i="11"/>
  <c r="L16" i="15"/>
  <c r="K17" i="15"/>
  <c r="K17" i="19"/>
  <c r="L16" i="19"/>
  <c r="M16" i="19"/>
  <c r="N15" i="19"/>
  <c r="M16" i="11"/>
  <c r="N15" i="11"/>
  <c r="H18" i="15"/>
  <c r="G19" i="15"/>
  <c r="H19" i="15" s="1"/>
  <c r="H20" i="15" s="1"/>
  <c r="L16" i="11"/>
  <c r="K17" i="11"/>
  <c r="H18" i="11"/>
  <c r="G19" i="11"/>
  <c r="H19" i="11" s="1"/>
  <c r="P14" i="19"/>
  <c r="O15" i="19"/>
  <c r="M16" i="15"/>
  <c r="N15" i="15"/>
  <c r="F20" i="19"/>
  <c r="P14" i="11"/>
  <c r="O15" i="11"/>
  <c r="H20" i="11" l="1"/>
  <c r="L17" i="15"/>
  <c r="K18" i="15"/>
  <c r="L17" i="19"/>
  <c r="K18" i="19"/>
  <c r="J18" i="11"/>
  <c r="I19" i="11"/>
  <c r="J19" i="11" s="1"/>
  <c r="P15" i="15"/>
  <c r="O16" i="15"/>
  <c r="P15" i="11"/>
  <c r="O16" i="11"/>
  <c r="M17" i="11"/>
  <c r="N16" i="11"/>
  <c r="I19" i="15"/>
  <c r="J19" i="15" s="1"/>
  <c r="J18" i="15"/>
  <c r="N16" i="15"/>
  <c r="M17" i="15"/>
  <c r="N16" i="19"/>
  <c r="M17" i="19"/>
  <c r="H20" i="19"/>
  <c r="P15" i="19"/>
  <c r="O16" i="19"/>
  <c r="L17" i="11"/>
  <c r="K18" i="11"/>
  <c r="I19" i="19"/>
  <c r="J19" i="19" s="1"/>
  <c r="J20" i="19" s="1"/>
  <c r="J18" i="19"/>
  <c r="J20" i="15" l="1"/>
  <c r="K19" i="19"/>
  <c r="L19" i="19" s="1"/>
  <c r="L18" i="19"/>
  <c r="N17" i="11"/>
  <c r="M18" i="11"/>
  <c r="P16" i="11"/>
  <c r="O17" i="11"/>
  <c r="L18" i="15"/>
  <c r="K19" i="15"/>
  <c r="L19" i="15" s="1"/>
  <c r="L18" i="11"/>
  <c r="K19" i="11"/>
  <c r="L19" i="11" s="1"/>
  <c r="P16" i="15"/>
  <c r="O17" i="15"/>
  <c r="N17" i="19"/>
  <c r="M18" i="19"/>
  <c r="N17" i="15"/>
  <c r="M18" i="15"/>
  <c r="O17" i="19"/>
  <c r="P16" i="19"/>
  <c r="J20" i="11"/>
  <c r="L20" i="11" l="1"/>
  <c r="N18" i="19"/>
  <c r="M19" i="19"/>
  <c r="N19" i="19" s="1"/>
  <c r="N20" i="19" s="1"/>
  <c r="M19" i="11"/>
  <c r="N19" i="11" s="1"/>
  <c r="N18" i="11"/>
  <c r="P17" i="19"/>
  <c r="O18" i="19"/>
  <c r="N18" i="15"/>
  <c r="M19" i="15"/>
  <c r="N19" i="15" s="1"/>
  <c r="L20" i="19"/>
  <c r="O18" i="11"/>
  <c r="P17" i="11"/>
  <c r="P17" i="15"/>
  <c r="O18" i="15"/>
  <c r="L20" i="15"/>
  <c r="N20" i="15" l="1"/>
  <c r="O19" i="19"/>
  <c r="P19" i="19" s="1"/>
  <c r="P18" i="19"/>
  <c r="P18" i="15"/>
  <c r="O19" i="15"/>
  <c r="P19" i="15" s="1"/>
  <c r="N20" i="11"/>
  <c r="P18" i="11"/>
  <c r="O19" i="11"/>
  <c r="P19" i="11" s="1"/>
  <c r="P20" i="11" s="1"/>
  <c r="C22" i="11" s="1"/>
  <c r="B8" i="20" s="1"/>
  <c r="B10" i="20" s="1"/>
  <c r="P20" i="15" l="1"/>
  <c r="C22" i="15" s="1"/>
  <c r="B18" i="20" s="1"/>
  <c r="B20" i="20" s="1"/>
  <c r="P20" i="19"/>
  <c r="C22" i="19" s="1"/>
  <c r="B28" i="20" s="1"/>
  <c r="B30" i="20" s="1"/>
</calcChain>
</file>

<file path=xl/sharedStrings.xml><?xml version="1.0" encoding="utf-8"?>
<sst xmlns="http://schemas.openxmlformats.org/spreadsheetml/2006/main" count="971" uniqueCount="307">
  <si>
    <t>DDI</t>
  </si>
  <si>
    <t>Provider Services Schedule E - Resource Hourly Rates</t>
  </si>
  <si>
    <t>Schedule E - Resource Hourly Rates</t>
  </si>
  <si>
    <t>Type of resource</t>
  </si>
  <si>
    <t>Phases</t>
  </si>
  <si>
    <t>DDI and Certification</t>
  </si>
  <si>
    <t>Operations</t>
  </si>
  <si>
    <t>This schedule represents the hourly rates for resources in both the DDI and Certification phases and Operations phases</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</si>
  <si>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</si>
  <si>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</si>
  <si>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</si>
  <si>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</si>
  <si>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</si>
  <si>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</si>
  <si>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</si>
  <si>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</si>
  <si>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</si>
  <si>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</si>
  <si>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</si>
  <si>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</si>
  <si>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</si>
  <si>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</si>
  <si>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</si>
  <si>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</si>
  <si>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</si>
  <si>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Group Provider Range:</t>
  </si>
  <si>
    <t>Median Providers:</t>
  </si>
  <si>
    <t>No Variable Pricing in Group 1</t>
  </si>
  <si>
    <t>Base Cost Amount</t>
  </si>
  <si>
    <t>Variable Rate</t>
  </si>
  <si>
    <t>Monthly Variable Cost</t>
  </si>
  <si>
    <t>Annual Variable Cost</t>
  </si>
  <si>
    <t>Variable Cost</t>
  </si>
  <si>
    <t>N/A</t>
  </si>
  <si>
    <t>COLA Percentage:</t>
  </si>
  <si>
    <t>Year 1 Variable Rate:</t>
  </si>
  <si>
    <t>Variable Rate Factor Group 2-7:</t>
  </si>
  <si>
    <t>Operations Year</t>
  </si>
  <si>
    <t>Monthly Base Cost</t>
  </si>
  <si>
    <t>Annual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</si>
  <si>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</si>
  <si>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</si>
  <si>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</si>
  <si>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</si>
  <si>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</si>
  <si>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</si>
  <si>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</si>
  <si>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</si>
  <si>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</si>
  <si>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DDI Enhancement Pool Hours:</t>
  </si>
  <si>
    <t>Pool Hour Rate</t>
  </si>
  <si>
    <t>Pool Hour Cost</t>
  </si>
  <si>
    <t>DDI:</t>
  </si>
  <si>
    <t>Year 1 Hourly Rate:</t>
  </si>
  <si>
    <t>Operations Annual Enhancement Pool Hours:</t>
  </si>
  <si>
    <t>Schedule G - Provider Services Option A Scope of Work Costs
Schedule G-1 Provider Services DDI Costs</t>
  </si>
  <si>
    <t>Schedule G - Provider Services Option A Scope of Work Costs
Schedule G-2 Provider Services Operations Costs</t>
  </si>
  <si>
    <t>Schedule G - Provider Services Option A Scope of Work Costs
Schedule G-3 Provider Services DDI Enhancement Pool Hour Costs</t>
  </si>
  <si>
    <t>Schedule G - Provider Services Option A Scope of Work Costs
Schedule G-4 Provider Services Operations Enhancement Pool Hour Costs</t>
  </si>
  <si>
    <t>Schedule H - Provider Services Option B Scope of Work Costs
Schedule H-1 Provider Services DDI Costs</t>
  </si>
  <si>
    <t>Schedule H - Provider Services Option B Scope of Work Costs
Schedule H-2 Provider Services Operations Costs</t>
  </si>
  <si>
    <t>Schedule H - Provider Services Option B Scope of Work Costs
Schedule H-3 Provider Services DDI Enhancement Pool Hour Costs</t>
  </si>
  <si>
    <t>Schedule H - Provider Services Option B Scope of Work Costs
Schedule H-4 Provider Services Operations Enhancement Pool Hour Costs</t>
  </si>
  <si>
    <t>Project Manager</t>
  </si>
  <si>
    <t>Contract Manager</t>
  </si>
  <si>
    <t>Testing Lead</t>
  </si>
  <si>
    <t>Integration Lead</t>
  </si>
  <si>
    <t>Certification Lead</t>
  </si>
  <si>
    <t>Business Operation Manager</t>
  </si>
  <si>
    <t>Business Analyst</t>
  </si>
  <si>
    <t>Technical Writer</t>
  </si>
  <si>
    <t>Training Lead</t>
  </si>
  <si>
    <t>Tester</t>
  </si>
  <si>
    <t>Project Scheduler</t>
  </si>
  <si>
    <t>Project Controls</t>
  </si>
  <si>
    <t>Management</t>
  </si>
  <si>
    <t>Business Architect</t>
  </si>
  <si>
    <t>Technical Architect</t>
  </si>
  <si>
    <t>Technical Architect (PCS)</t>
  </si>
  <si>
    <t>Development Manager</t>
  </si>
  <si>
    <t>Technical Lead</t>
  </si>
  <si>
    <t>Java Developer</t>
  </si>
  <si>
    <t>Pl/SQL Developer</t>
  </si>
  <si>
    <t>EDI Lead</t>
  </si>
  <si>
    <t>EDI Developer</t>
  </si>
  <si>
    <t>Siebel Developer</t>
  </si>
  <si>
    <t>IVR Developer</t>
  </si>
  <si>
    <t>DBA - Mgmt</t>
  </si>
  <si>
    <t>CM-Mgmt</t>
  </si>
  <si>
    <t>DS-Mgmt</t>
  </si>
  <si>
    <t>SysAdmin- Mgmt</t>
  </si>
  <si>
    <t>Database Administrator</t>
  </si>
  <si>
    <t>Configuration Specialist</t>
  </si>
  <si>
    <t>Sys Admin</t>
  </si>
  <si>
    <t>Security Engineer</t>
  </si>
  <si>
    <t>Reports Developer</t>
  </si>
  <si>
    <t>Conversion Lead</t>
  </si>
  <si>
    <t>Conversion Developer</t>
  </si>
  <si>
    <t>Interface Lead</t>
  </si>
  <si>
    <t>Interface Developer</t>
  </si>
  <si>
    <t>Quality Assurance</t>
  </si>
  <si>
    <t>SOA Lead</t>
  </si>
  <si>
    <t>System Operations Manager</t>
  </si>
  <si>
    <t>Application Services Manager</t>
  </si>
  <si>
    <t>Infrastructure Manager</t>
  </si>
  <si>
    <t>Ops Support Analyst</t>
  </si>
  <si>
    <t>NOC Engineer</t>
  </si>
  <si>
    <t>COGNOS Administrator</t>
  </si>
  <si>
    <t>DataStage (ETL) Administrator</t>
  </si>
  <si>
    <t>Data Modeler</t>
  </si>
  <si>
    <t>Total DDI Costs:</t>
  </si>
  <si>
    <t>Consumer Price Index Urban (CPI-U) Adjustment:</t>
  </si>
  <si>
    <t>A. CPI-U for Master Agreement Date 6/1/2018:</t>
  </si>
  <si>
    <t>B. CPI-U for Participating Addendum Date:</t>
  </si>
  <si>
    <t>C. Index Point Change equals B minus A:</t>
  </si>
  <si>
    <t>E. CPI-U Inflation Percentage equals B plus 1.00:</t>
  </si>
  <si>
    <t>D. Equals C divided by A:</t>
  </si>
  <si>
    <t>Core DDI Costs:</t>
  </si>
  <si>
    <t>Total Core DDI Costs:</t>
  </si>
  <si>
    <t>Provider Services Core DDI Costs (Based on Number of Active De-duplicated Providers)</t>
  </si>
  <si>
    <t>Schedule F - Provider Services Core Scope of Work Costs
Schedule F-2 Provider Services Operations Costs</t>
  </si>
  <si>
    <t>Operations Core Costs:</t>
  </si>
  <si>
    <t>Total Core Operations Costs:</t>
  </si>
  <si>
    <t>Provider Services Core Operations Costs (Based on Number of Active De-duplicated Providers)</t>
  </si>
  <si>
    <t>OMC17: The Contractor shall provide 1,500 system enhancement pool hours for the duration of the DDI phase of the contract. The cost of these 1,500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</si>
  <si>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Provider Services Core DDI Enhancement Pool Costs (Based on Number of Active De-duplicated Providers)</t>
  </si>
  <si>
    <t>Schedule F - Provider Services Core Scope of Work Costs
Schedule F-3 Provider Services DDI Enhancement Pool Hour Costs</t>
  </si>
  <si>
    <t>Core DDI Enhancement Pool Hour Costs:</t>
  </si>
  <si>
    <t>OMC21:The Contractor will provide 500 system enhancement pool hours during the Operations phase per operations year. The cost of these annual 500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</si>
  <si>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Schedule F - Provider Services Core Scope of Work Costs
Schedule F-4 Provider Services Operations Enhancement Pool Hour Costs</t>
  </si>
  <si>
    <t>Provider Services Core Scope of Work Operations Enhancement Pool Hour Costs (Based on Number of Active De-duplicated Providers)</t>
  </si>
  <si>
    <t>Total Core Operations Enhancement Pool Hour Costs:</t>
  </si>
  <si>
    <t>Core Operations Enhancement Pool Hour Costs:</t>
  </si>
  <si>
    <t>Total Option A DDI Costs:</t>
  </si>
  <si>
    <t>Provider Services Option A DDI Costs (Based on Number of Active De-duplicated Providers)</t>
  </si>
  <si>
    <t>Option A Operations Costs:</t>
  </si>
  <si>
    <t>Total Option A Operations Costs:</t>
  </si>
  <si>
    <t>Provider Services Option A Operations Costs (Based on Number of Active De-duplicated Providers)</t>
  </si>
  <si>
    <t>Provider Services Option A DDI Enhancement Pool Costs (Based on Number of Active De-duplicated Providers)</t>
  </si>
  <si>
    <t>Option A DDI Enhancement Pool Hour Costs:</t>
  </si>
  <si>
    <t>Total Option A DDI Enhancement Pool Hour Costs:</t>
  </si>
  <si>
    <t>OMC22: The Contractor shall provide 500 system enhancement pool hours for the duration of the DDI phase of the contract. The cost of these 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</si>
  <si>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OMC23: The Contractor will provide 100 system enhancement pool hours during the Operations phase per operations year. The cost of these annual 100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 Schedule D-Enhancement Pool Hours. The cost of the contract will be reduced proportional to the cost of the unused hours using the rates provided in Attachment G Pricing Schedules, Schedule D-Enhancement Pool Hours.</t>
  </si>
  <si>
    <t>Provider Services Option A Scope of Work Operations Enhancement Pool Hour Costs (Based on Number of Active De-duplicated Providers)</t>
  </si>
  <si>
    <t>Option A Operations Enhancement Pool Hour Costs:</t>
  </si>
  <si>
    <t>Total Option A Operations Enhancement Pool Hour Costs:</t>
  </si>
  <si>
    <t>Schedule F - Provider Services Core  of Work Costs
Schedule F-1 Provider Services DDI Costs</t>
  </si>
  <si>
    <t>Total Core DDI Enhancement Pool Hour Costs:</t>
  </si>
  <si>
    <t>Provider Services Option B DDI Costs (Based on Number of Active De-duplicated Providers)</t>
  </si>
  <si>
    <t>Option B DDI Costs:</t>
  </si>
  <si>
    <t>Total Option B DDI Costs:</t>
  </si>
  <si>
    <t>Provider Services Option B Operations Costs (Based on Number of Active De-duplicated Providers)</t>
  </si>
  <si>
    <t>Option B Operations Costs:</t>
  </si>
  <si>
    <t>Total Option B Operations Costs:</t>
  </si>
  <si>
    <t>OMC24: The Contractor will provide 250 system enhancement pool hours for the duration of the DDI phase of the contract. The cost of these 250 system enhancement pool hours are included in the offeror’s fixed price and included in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Provider Pricing Schedules, Schedule D-Enhancement Pool Hours.</t>
  </si>
  <si>
    <t>Provider Services Option B DDI Enhancement Pool Costs (Based on Number of Active De-duplicated Providers)</t>
  </si>
  <si>
    <t>Option B DDI Enhancement Pool Hour Costs:</t>
  </si>
  <si>
    <t>Total Option B DDI Enhancement Pool Hour Costs:</t>
  </si>
  <si>
    <t>OMC25:  The Contractor will provide 100 system enhancement pool hours during the Operations phase per operations year. The cost of these annual 100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 Schedule D-Enhancement Pool Hours. The cost of the contract will be reduced proportional to the cost of the unused hours using the rates provided in Attachment G Pricing Schedules, Schedule D-Enhancement Pool Hours.</t>
  </si>
  <si>
    <t>Provider Services Option B Scope of Work Operations Enhancement Pool Hour Costs (Based on Number of Active De-duplicated Providers)</t>
  </si>
  <si>
    <t>Option B Operations Enhancement Pool Hour Costs:</t>
  </si>
  <si>
    <t>Total Option B Operations Enhancement Pool Hour Costs:</t>
  </si>
  <si>
    <t xml:space="preserve">Provider Services Schedule A - Cost Summary </t>
  </si>
  <si>
    <t xml:space="preserve"> Schedule A - Provider Services Core Scope of Work Costs</t>
  </si>
  <si>
    <t>Phase</t>
  </si>
  <si>
    <t xml:space="preserve">Cost </t>
  </si>
  <si>
    <t xml:space="preserve">Instruction </t>
  </si>
  <si>
    <r>
      <rPr>
        <b/>
        <sz val="12"/>
        <color theme="1"/>
        <rFont val="Arial"/>
        <family val="2"/>
      </rPr>
      <t xml:space="preserve">Provider Services Core Scope of Work </t>
    </r>
    <r>
      <rPr>
        <sz val="12"/>
        <color theme="1"/>
        <rFont val="Arial"/>
        <family val="2"/>
      </rPr>
      <t xml:space="preserve"> DDI</t>
    </r>
  </si>
  <si>
    <t>Insert "Total DDI Cost" from Schedule F, Tab F-1</t>
  </si>
  <si>
    <r>
      <rPr>
        <b/>
        <sz val="12"/>
        <color theme="1"/>
        <rFont val="Arial"/>
        <family val="2"/>
      </rPr>
      <t xml:space="preserve">Provider Services Core Scope of Work </t>
    </r>
    <r>
      <rPr>
        <sz val="12"/>
        <color theme="1"/>
        <rFont val="Arial"/>
        <family val="2"/>
      </rPr>
      <t>Operations</t>
    </r>
  </si>
  <si>
    <t>Insert "Total Operations Costs" from Schedule F, Tab F-2</t>
  </si>
  <si>
    <r>
      <rPr>
        <b/>
        <sz val="12"/>
        <color theme="1"/>
        <rFont val="Arial"/>
        <family val="2"/>
      </rPr>
      <t xml:space="preserve">Provider Services Core Scope of Work </t>
    </r>
    <r>
      <rPr>
        <sz val="12"/>
        <color theme="1"/>
        <rFont val="Arial"/>
        <family val="2"/>
      </rPr>
      <t>DDI</t>
    </r>
    <r>
      <rPr>
        <b/>
        <sz val="12"/>
        <color theme="1"/>
        <rFont val="Arial"/>
        <family val="2"/>
      </rPr>
      <t xml:space="preserve"> </t>
    </r>
    <r>
      <rPr>
        <sz val="12"/>
        <color theme="1"/>
        <rFont val="Arial"/>
        <family val="2"/>
      </rPr>
      <t>Enhancement Pool Hours</t>
    </r>
  </si>
  <si>
    <t>Insert "Total DDI Enhancement Pool Hour Costs" from Schedule F, Tab F-3</t>
  </si>
  <si>
    <r>
      <rPr>
        <b/>
        <sz val="12"/>
        <color theme="1"/>
        <rFont val="Arial"/>
        <family val="2"/>
      </rPr>
      <t xml:space="preserve">Provider Services Core Scope of Work </t>
    </r>
    <r>
      <rPr>
        <sz val="12"/>
        <color theme="1"/>
        <rFont val="Arial"/>
        <family val="2"/>
      </rPr>
      <t>Operations</t>
    </r>
    <r>
      <rPr>
        <b/>
        <sz val="12"/>
        <color theme="1"/>
        <rFont val="Arial"/>
        <family val="2"/>
      </rPr>
      <t xml:space="preserve"> </t>
    </r>
    <r>
      <rPr>
        <sz val="12"/>
        <color theme="1"/>
        <rFont val="Arial"/>
        <family val="2"/>
      </rPr>
      <t>Enhancement Pool Hours</t>
    </r>
  </si>
  <si>
    <t>Insert "Total Operations Enhancement Pool Hour Costs" from Schedule F, Tab F-4</t>
  </si>
  <si>
    <t>All Inclusive Provider Services Core Scope of Work Costs</t>
  </si>
  <si>
    <t>Schedule A - Provider Services Option A Scope of Work Costs</t>
  </si>
  <si>
    <r>
      <rPr>
        <b/>
        <sz val="12"/>
        <color theme="1"/>
        <rFont val="Arial"/>
        <family val="2"/>
      </rPr>
      <t>Provider Services Option A</t>
    </r>
    <r>
      <rPr>
        <sz val="12"/>
        <color theme="1"/>
        <rFont val="Arial"/>
        <family val="2"/>
      </rPr>
      <t xml:space="preserve"> DDI</t>
    </r>
  </si>
  <si>
    <t>Insert "Total DDI Costs" from Schedule G, Tab G-1</t>
  </si>
  <si>
    <r>
      <rPr>
        <b/>
        <sz val="12"/>
        <color theme="1"/>
        <rFont val="Arial"/>
        <family val="2"/>
      </rPr>
      <t>Provider Services Option A</t>
    </r>
    <r>
      <rPr>
        <sz val="12"/>
        <color theme="1"/>
        <rFont val="Arial"/>
        <family val="2"/>
      </rPr>
      <t xml:space="preserve"> Operations</t>
    </r>
  </si>
  <si>
    <t>Insert "Total Operations Costs" from Schedule G, Tab G-2</t>
  </si>
  <si>
    <r>
      <rPr>
        <b/>
        <sz val="12"/>
        <color theme="1"/>
        <rFont val="Arial"/>
        <family val="2"/>
      </rPr>
      <t xml:space="preserve">Provider Services Option A </t>
    </r>
    <r>
      <rPr>
        <sz val="12"/>
        <color theme="1"/>
        <rFont val="Arial"/>
        <family val="2"/>
      </rPr>
      <t>DDI</t>
    </r>
    <r>
      <rPr>
        <b/>
        <sz val="12"/>
        <color theme="1"/>
        <rFont val="Arial"/>
        <family val="2"/>
      </rPr>
      <t xml:space="preserve"> </t>
    </r>
    <r>
      <rPr>
        <sz val="12"/>
        <color theme="1"/>
        <rFont val="Arial"/>
        <family val="2"/>
      </rPr>
      <t>Enhancement Pool Hours</t>
    </r>
  </si>
  <si>
    <t>Insert "Total DDI Enhancement Pool Hour Costs" from Schedule G, Tab G-3</t>
  </si>
  <si>
    <r>
      <rPr>
        <b/>
        <sz val="12"/>
        <color theme="1"/>
        <rFont val="Arial"/>
        <family val="2"/>
      </rPr>
      <t xml:space="preserve">Provider Services Option A </t>
    </r>
    <r>
      <rPr>
        <sz val="12"/>
        <color theme="1"/>
        <rFont val="Arial"/>
        <family val="2"/>
      </rPr>
      <t>Operations Enhancement Pool Hours</t>
    </r>
  </si>
  <si>
    <t>Insert "Total Operations Enhancement Pool Hour Costs" from Schedule G, Tab G-4</t>
  </si>
  <si>
    <t>All Inclusive Provider Services Option A Costs</t>
  </si>
  <si>
    <t xml:space="preserve"> Schedule A - Provider Services Option B Scope of Work Costs</t>
  </si>
  <si>
    <t>Cost</t>
  </si>
  <si>
    <r>
      <rPr>
        <b/>
        <sz val="12"/>
        <color theme="1"/>
        <rFont val="Arial"/>
        <family val="2"/>
      </rPr>
      <t>Provider Services Option B</t>
    </r>
    <r>
      <rPr>
        <sz val="12"/>
        <color theme="1"/>
        <rFont val="Arial"/>
        <family val="2"/>
      </rPr>
      <t xml:space="preserve"> DDI</t>
    </r>
  </si>
  <si>
    <t>Insert "Total DDI Costs" from Schedule H, Tab H-1</t>
  </si>
  <si>
    <r>
      <rPr>
        <b/>
        <sz val="12"/>
        <color theme="1"/>
        <rFont val="Arial"/>
        <family val="2"/>
      </rPr>
      <t xml:space="preserve">Provider Services Option B </t>
    </r>
    <r>
      <rPr>
        <sz val="12"/>
        <color theme="1"/>
        <rFont val="Arial"/>
        <family val="2"/>
      </rPr>
      <t>Operations</t>
    </r>
  </si>
  <si>
    <t>Insert "Total Operations Costs" from Schedule H, Tab H-2</t>
  </si>
  <si>
    <r>
      <rPr>
        <b/>
        <sz val="12"/>
        <color theme="1"/>
        <rFont val="Arial"/>
        <family val="2"/>
      </rPr>
      <t xml:space="preserve">Provider Services Option B </t>
    </r>
    <r>
      <rPr>
        <sz val="12"/>
        <color theme="1"/>
        <rFont val="Arial"/>
        <family val="2"/>
      </rPr>
      <t>DDI</t>
    </r>
    <r>
      <rPr>
        <b/>
        <sz val="12"/>
        <color theme="1"/>
        <rFont val="Arial"/>
        <family val="2"/>
      </rPr>
      <t xml:space="preserve"> </t>
    </r>
    <r>
      <rPr>
        <sz val="12"/>
        <color theme="1"/>
        <rFont val="Arial"/>
        <family val="2"/>
      </rPr>
      <t>Enhancement Pool Hours</t>
    </r>
  </si>
  <si>
    <t>Insert "Total DDI Enhancement Pool Hour Costs" from Schedule H, Tab H-3</t>
  </si>
  <si>
    <r>
      <rPr>
        <b/>
        <sz val="12"/>
        <color theme="1"/>
        <rFont val="Arial"/>
        <family val="2"/>
      </rPr>
      <t xml:space="preserve">Provider Services Option B </t>
    </r>
    <r>
      <rPr>
        <sz val="12"/>
        <color theme="1"/>
        <rFont val="Arial"/>
        <family val="2"/>
      </rPr>
      <t>Operations Enhancement Pool Hours</t>
    </r>
  </si>
  <si>
    <t>Insert "Total Operations Enhancement Pool Hour Costs" from Schedule H, Tab H-4</t>
  </si>
  <si>
    <t>All Inclusive Provider Services Option B Costs</t>
  </si>
  <si>
    <t xml:space="preserve">Provider Services Schedule B DDI Payment Milestones by Phase </t>
  </si>
  <si>
    <t xml:space="preserve"> </t>
  </si>
  <si>
    <t>Schedule B-1: Provider Services Core Scope of Work 
 Design, Development &amp; Implementation (DDI) Payment Milestone by Phase</t>
  </si>
  <si>
    <t>Payment Milestone</t>
  </si>
  <si>
    <t>DDI Phase</t>
  </si>
  <si>
    <t xml:space="preserve">Development Configuration and Build </t>
  </si>
  <si>
    <t>User Acceptance Testing and Integration Testing</t>
  </si>
  <si>
    <t>Implementation and Acceptance</t>
  </si>
  <si>
    <t>Certification</t>
  </si>
  <si>
    <t>Total Cost</t>
  </si>
  <si>
    <t xml:space="preserve">Provider Enrollment </t>
  </si>
  <si>
    <t xml:space="preserve">Provider Maintenance </t>
  </si>
  <si>
    <t xml:space="preserve">Provider Self-Service Portal </t>
  </si>
  <si>
    <t xml:space="preserve">Total Cost By Phase </t>
  </si>
  <si>
    <t xml:space="preserve">Total Percentage By Phase </t>
  </si>
  <si>
    <t>Minimum percent of total DDI cost cannot be less than the following percentages for each phase.**</t>
  </si>
  <si>
    <t>Maximum percent of total DDI cost cannot exceed the following percentages for each phase.**</t>
  </si>
  <si>
    <t xml:space="preserve">Grand Total </t>
  </si>
  <si>
    <t>*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</si>
  <si>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B-2: Provider Services Option A Scope of Work 
 Design, Development &amp; Implementation (DDI) Payment Milestone by Phase</t>
  </si>
  <si>
    <t xml:space="preserve">DDI Phase </t>
  </si>
  <si>
    <t>Development Configuration and Build</t>
  </si>
  <si>
    <t xml:space="preserve">Total Cost </t>
  </si>
  <si>
    <t>Provider Services Option A</t>
  </si>
  <si>
    <t>GRAND TOTAL</t>
  </si>
  <si>
    <t>Schedule B-3: Provider Services Option B Scope of Work 
 Design, Development &amp; Implementation (DDI) Payment Milestone by Phase</t>
  </si>
  <si>
    <t>Provider Services Option B</t>
  </si>
  <si>
    <t>Provider Services Schedule C - Cost of Operations</t>
  </si>
  <si>
    <t>Schedule C - Cost of Operations Core</t>
  </si>
  <si>
    <t>Core Operations Year 1</t>
  </si>
  <si>
    <t>Core Operations Year 2</t>
  </si>
  <si>
    <t>Core Operations Year 3</t>
  </si>
  <si>
    <t>Core Operations Year 4</t>
  </si>
  <si>
    <t>Core TOTAL</t>
  </si>
  <si>
    <t>Core Operations Optional Year 5</t>
  </si>
  <si>
    <t>Core Operations Optional Year 6</t>
  </si>
  <si>
    <t>Core Operations Optional Year 7</t>
  </si>
  <si>
    <t>Core Operations Optional Year 8</t>
  </si>
  <si>
    <t>Core Operations Optional Year 9</t>
  </si>
  <si>
    <t>Core GRAND TOTAL</t>
  </si>
  <si>
    <t>Operations Year one begins the first day of the month following the implementation of the MPATH Module.</t>
  </si>
  <si>
    <t>Schedule C - Cost of Operations Option A</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</si>
  <si>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</si>
  <si>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</si>
  <si>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</si>
  <si>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</si>
  <si>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t>Option A TOTAL</t>
  </si>
  <si>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</si>
  <si>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</si>
  <si>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</si>
  <si>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</si>
  <si>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</si>
  <si>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t>Option A GRAND TOTAL</t>
  </si>
  <si>
    <t>Schedule C - Cost of Operations Option B</t>
  </si>
  <si>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</si>
  <si>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</si>
  <si>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</si>
  <si>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</si>
  <si>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t>Option B TOTAL</t>
  </si>
  <si>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</si>
  <si>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</si>
  <si>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</si>
  <si>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</si>
  <si>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</si>
  <si>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Option B GRAND TOTAL</t>
  </si>
  <si>
    <t xml:space="preserve">Provider Services Schedule D Enhancement Pool Hours </t>
  </si>
  <si>
    <t xml:space="preserve"> Schedule D - Enhancement Pool Hours Core</t>
  </si>
  <si>
    <t>Core DDI - 1,500 hours</t>
  </si>
  <si>
    <t>Total Core DDI</t>
  </si>
  <si>
    <t>Core Operations Year 1 - 500 hours</t>
  </si>
  <si>
    <t>Core Operations Year 2 - 500 hours</t>
  </si>
  <si>
    <t>Core Operations Year 3 - 500 hours</t>
  </si>
  <si>
    <t>Core Operations Year 4 - 500 hours</t>
  </si>
  <si>
    <t>Core Optional Operations Year 1 - 500 hours</t>
  </si>
  <si>
    <t>Core Optional Operations Year 2 - 500 hours</t>
  </si>
  <si>
    <t>Core Optional Operations Year 3 - 500 hours</t>
  </si>
  <si>
    <t>Core Optional Operations Year 4 - 500 hours</t>
  </si>
  <si>
    <t>Core Optional Operations Year 5 - 500 hours</t>
  </si>
  <si>
    <t>Total Core Operations</t>
  </si>
  <si>
    <t>Core Grand Total</t>
  </si>
  <si>
    <t>Operations Year one begins the first day of the month following the implementation of the MPATH Module and overlaps with the year of Certification.</t>
  </si>
  <si>
    <t xml:space="preserve"> Schedule D - Enhancement Pool Hours Option A</t>
  </si>
  <si>
    <t>Option A DDI - 500 hours</t>
  </si>
  <si>
    <t>Total Option A DDI</t>
  </si>
  <si>
    <t>Option A Operations Year 1 - 100 hours</t>
  </si>
  <si>
    <t>Option A Operations Year 2 - 100 hours</t>
  </si>
  <si>
    <t>Option A Operations Year 3 - 100 hours</t>
  </si>
  <si>
    <t>Option A Operations Year 4 - 100 hours</t>
  </si>
  <si>
    <t>Option A Optional Operations Year 1 -100 hours</t>
  </si>
  <si>
    <t>Option A Optional Operations Year 2 - 100 hours</t>
  </si>
  <si>
    <t>Option A Optional Operations Year 3 - 100 hours</t>
  </si>
  <si>
    <t>Option A Optional Operations Year 4 - 100 hours</t>
  </si>
  <si>
    <t>Option A Optional Operations Year 5 - 100 hours</t>
  </si>
  <si>
    <t>Total Option A Operations</t>
  </si>
  <si>
    <t>Option A Grand Total</t>
  </si>
  <si>
    <t xml:space="preserve"> Schedule D - Enhancement Pool Hours Option B</t>
  </si>
  <si>
    <t>Option B DDI - 250 hours</t>
  </si>
  <si>
    <t>Total Option B DDI</t>
  </si>
  <si>
    <t>Option B Operations Year 1 - 100 hours</t>
  </si>
  <si>
    <t>Option B Operations Year 2 - 100 hours</t>
  </si>
  <si>
    <t>Option B Operations Year 3 - 100 hours</t>
  </si>
  <si>
    <t>Option B Operations Year 4 - 100 hours</t>
  </si>
  <si>
    <t>Option B Optional Operations Year 1 - 100 hours</t>
  </si>
  <si>
    <t>Option B Optional Operations Year 2 -100 hours</t>
  </si>
  <si>
    <t>Option B Optional Operations Year 3 - 100 hours</t>
  </si>
  <si>
    <t>Option B Optional Operations Year 4 - 100 hours</t>
  </si>
  <si>
    <t>Option B Optional Operations Year 5 - 100 hours</t>
  </si>
  <si>
    <t>Total Option B Operations</t>
  </si>
  <si>
    <t>Option B Grand Total</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</si>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</sst>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_(&quot;$&quot;* #,##0.000_);_(&quot;$&quot;* \(#,##0.000\);_(&quot;$&quot;* &quot;-&quot;??_);_(@_)"/>
    <numFmt numFmtId="166" formatCode="_(&quot;$&quot;* #,##0.0000_);_(&quot;$&quot;* \(#,##0.0000\);_(&quot;$&quot;* &quot;-&quot;??_);_(@_)"/>
    <numFmt numFmtId="167" formatCode="0.0000"/>
    <numFmt numFmtId="168" formatCode="_(&quot;$&quot;* #,##0.0000_);_(&quot;$&quot;* \(#,##0.0000\);_(&quot;$&quot;* &quot;-&quot;????_);_(@_)"/>
    <numFmt numFmtId="169" formatCode="0.000000"/>
    <numFmt numFmtId="170" formatCode="&quot;$&quot;#,##0.00;[Red]&quot;$&quot;#,##0.00"/>
    <numFmt numFmtId="171" formatCode="&quot;$&quot;#,##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u/>
      <sz val="10"/>
      <color indexed="12"/>
      <name val="Arial"/>
      <family val="2"/>
    </font>
    <font>
      <sz val="12"/>
      <color theme="1"/>
      <name val="Arial"/>
      <family val="2"/>
    </font>
    <font>
      <b/>
      <sz val="12"/>
      <color theme="0"/>
      <name val="Arial"/>
      <family val="2"/>
    </font>
    <font>
      <b/>
      <sz val="12"/>
      <color theme="1"/>
      <name val="Arial"/>
      <family val="2"/>
    </font>
    <font>
      <b/>
      <sz val="14"/>
      <color theme="0"/>
      <name val="Arial"/>
      <family val="2"/>
    </font>
    <font>
      <sz val="10"/>
      <name val="Arial"/>
      <family val="2"/>
    </font>
    <font>
      <b/>
      <sz val="12"/>
      <color rgb="FFFF0000"/>
      <name val="Arial"/>
      <family val="2"/>
    </font>
    <font>
      <sz val="11"/>
      <color theme="1"/>
      <name val="Arial"/>
      <family val="2"/>
    </font>
    <font>
      <b/>
      <sz val="11"/>
      <color theme="1"/>
      <name val="Arial"/>
      <family val="2"/>
    </font>
    <font>
      <sz val="12"/>
      <color theme="0"/>
      <name val="Arial"/>
      <family val="2"/>
    </font>
    <font>
      <sz val="11"/>
      <color rgb="FFFF0000"/>
      <name val="Arial"/>
      <family val="2"/>
    </font>
    <font>
      <i/>
      <sz val="11"/>
      <color theme="1"/>
      <name val="Arial"/>
      <family val="2"/>
    </font>
    <font>
      <i/>
      <sz val="11"/>
      <color theme="0"/>
      <name val="Arial"/>
      <family val="2"/>
    </font>
    <font>
      <b/>
      <i/>
      <sz val="9"/>
      <color theme="1"/>
      <name val="Arial"/>
      <family val="2"/>
    </font>
    <font>
      <b/>
      <sz val="11"/>
      <color rgb="FFFF0000"/>
      <name val="Arial"/>
      <family val="2"/>
    </font>
    <font>
      <sz val="10"/>
      <name val="Arial"/>
      <family val="2"/>
    </font>
    <font>
      <b/>
      <sz val="11"/>
      <color theme="1"/>
      <name val="Calibri"/>
      <family val="2"/>
      <scheme val="minor"/>
    </font>
    <font>
      <sz val="10"/>
      <color theme="1"/>
      <name val="Arial"/>
      <family val="2"/>
    </font>
    <font>
      <sz val="14"/>
      <color theme="0"/>
      <name val="Arial"/>
      <family val="2"/>
    </font>
    <font>
      <sz val="14"/>
      <color theme="1"/>
      <name val="Arial"/>
      <family val="2"/>
    </font>
    <font>
      <sz val="11"/>
      <color theme="0"/>
      <name val="Arial"/>
      <family val="2"/>
    </font>
    <font>
      <b/>
      <sz val="11"/>
      <color theme="0"/>
      <name val="Arial"/>
      <family val="2"/>
    </font>
    <font>
      <b/>
      <sz val="12"/>
      <name val="Arial"/>
      <family val="2"/>
    </font>
    <font>
      <i/>
      <sz val="10"/>
      <color theme="1"/>
      <name val="Arial"/>
      <family val="2"/>
    </font>
    <font>
      <b/>
      <i/>
      <sz val="11"/>
      <color theme="1"/>
      <name val="Arial"/>
      <family val="2"/>
    </font>
  </fonts>
  <fills count="10">
    <fill>
      <patternFill patternType="none"/>
    </fill>
    <fill>
      <patternFill patternType="gray125"/>
    </fill>
    <fill>
      <patternFill patternType="solid">
        <fgColor rgb="FF002060"/>
        <bgColor indexed="64"/>
      </patternFill>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0.14999847407452621"/>
        <bgColor indexed="64"/>
      </patternFill>
    </fill>
  </fills>
  <borders count="52">
    <border>
      <left/>
      <right/>
      <top/>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bottom style="thin">
        <color auto="1"/>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auto="1"/>
      </top>
      <bottom style="medium">
        <color auto="1"/>
      </bottom>
      <diagonal/>
    </border>
    <border>
      <left style="thin">
        <color indexed="64"/>
      </left>
      <right/>
      <top style="medium">
        <color indexed="64"/>
      </top>
      <bottom style="medium">
        <color indexed="64"/>
      </bottom>
      <diagonal/>
    </border>
    <border>
      <left style="medium">
        <color auto="1"/>
      </left>
      <right style="medium">
        <color auto="1"/>
      </right>
      <top style="medium">
        <color auto="1"/>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6">
    <xf numFmtId="0" fontId="0" fillId="0" borderId="0"/>
    <xf numFmtId="43" fontId="10"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0"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63">
    <xf numFmtId="0" fontId="0" fillId="0" borderId="0" xfId="0"/>
    <xf numFmtId="0" fontId="6" fillId="0" borderId="0" xfId="3" applyFont="1"/>
    <xf numFmtId="0" fontId="12" fillId="0" borderId="0" xfId="3" applyFont="1"/>
    <xf numFmtId="0" fontId="7" fillId="2" borderId="17" xfId="3" applyFont="1" applyFill="1" applyBorder="1" applyAlignment="1">
      <alignment horizontal="center"/>
    </xf>
    <xf numFmtId="0" fontId="7" fillId="2" borderId="7" xfId="3" applyFont="1" applyFill="1" applyBorder="1" applyAlignment="1">
      <alignment horizontal="center"/>
    </xf>
    <xf numFmtId="0" fontId="15" fillId="0" borderId="0" xfId="3" applyFont="1"/>
    <xf numFmtId="0" fontId="6" fillId="0" borderId="19" xfId="3" applyFont="1" applyBorder="1"/>
    <xf numFmtId="0" fontId="6" fillId="0" borderId="5" xfId="3" applyFont="1" applyBorder="1"/>
    <xf numFmtId="0" fontId="6" fillId="0" borderId="6" xfId="3" applyFont="1" applyBorder="1"/>
    <xf numFmtId="0" fontId="12" fillId="0" borderId="0" xfId="3" applyFont="1" applyAlignment="1">
      <alignment wrapText="1"/>
    </xf>
    <xf numFmtId="164" fontId="12" fillId="0" borderId="0" xfId="3" applyNumberFormat="1" applyFont="1"/>
    <xf numFmtId="0" fontId="12" fillId="0" borderId="0" xfId="3" applyFont="1" applyAlignment="1">
      <alignment horizontal="center"/>
    </xf>
    <xf numFmtId="0" fontId="12" fillId="0" borderId="1" xfId="3" applyFont="1" applyBorder="1"/>
    <xf numFmtId="0" fontId="12" fillId="0" borderId="21" xfId="3" applyFont="1" applyBorder="1"/>
    <xf numFmtId="0" fontId="13" fillId="0" borderId="0" xfId="3" applyFont="1" applyAlignment="1">
      <alignment horizontal="right"/>
    </xf>
    <xf numFmtId="0" fontId="13" fillId="0" borderId="26" xfId="3" applyFont="1" applyBorder="1" applyAlignment="1">
      <alignment horizontal="right"/>
    </xf>
    <xf numFmtId="0" fontId="13" fillId="0" borderId="27" xfId="3" applyFont="1" applyBorder="1" applyAlignment="1">
      <alignment horizontal="right"/>
    </xf>
    <xf numFmtId="0" fontId="12" fillId="0" borderId="26" xfId="3" applyFont="1" applyBorder="1"/>
    <xf numFmtId="0" fontId="12" fillId="0" borderId="27" xfId="3" applyFont="1" applyBorder="1"/>
    <xf numFmtId="164" fontId="12" fillId="0" borderId="1" xfId="5" applyNumberFormat="1" applyFont="1" applyBorder="1" applyProtection="1"/>
    <xf numFmtId="0" fontId="16" fillId="0" borderId="26" xfId="3" applyFont="1" applyBorder="1" applyAlignment="1">
      <alignment horizontal="right"/>
    </xf>
    <xf numFmtId="3" fontId="16" fillId="0" borderId="27" xfId="3" applyNumberFormat="1" applyFont="1" applyBorder="1" applyAlignment="1">
      <alignment horizontal="right"/>
    </xf>
    <xf numFmtId="164" fontId="16" fillId="0" borderId="26" xfId="5" applyNumberFormat="1" applyFont="1" applyBorder="1" applyProtection="1"/>
    <xf numFmtId="164" fontId="16" fillId="0" borderId="0" xfId="5" applyNumberFormat="1" applyFont="1" applyBorder="1" applyProtection="1"/>
    <xf numFmtId="164" fontId="16" fillId="0" borderId="27" xfId="5" applyNumberFormat="1" applyFont="1" applyBorder="1" applyProtection="1"/>
    <xf numFmtId="164" fontId="17" fillId="0" borderId="21" xfId="5" applyNumberFormat="1" applyFont="1" applyBorder="1" applyProtection="1"/>
    <xf numFmtId="164" fontId="12" fillId="0" borderId="0" xfId="5" applyNumberFormat="1" applyFont="1" applyProtection="1"/>
    <xf numFmtId="164" fontId="12" fillId="0" borderId="1" xfId="3" applyNumberFormat="1" applyFont="1" applyBorder="1"/>
    <xf numFmtId="164" fontId="13" fillId="0" borderId="0" xfId="3" applyNumberFormat="1" applyFont="1" applyAlignment="1">
      <alignment horizontal="right"/>
    </xf>
    <xf numFmtId="164" fontId="13" fillId="0" borderId="26" xfId="3" applyNumberFormat="1" applyFont="1" applyBorder="1" applyAlignment="1">
      <alignment horizontal="right"/>
    </xf>
    <xf numFmtId="0" fontId="13" fillId="0" borderId="1" xfId="3" applyFont="1" applyBorder="1" applyAlignment="1">
      <alignment wrapText="1"/>
    </xf>
    <xf numFmtId="0" fontId="18" fillId="0" borderId="26" xfId="3" applyFont="1" applyBorder="1" applyAlignment="1">
      <alignment horizontal="center" wrapText="1"/>
    </xf>
    <xf numFmtId="0" fontId="18" fillId="0" borderId="0" xfId="3" applyFont="1" applyAlignment="1">
      <alignment horizontal="center" wrapText="1"/>
    </xf>
    <xf numFmtId="0" fontId="18" fillId="0" borderId="27" xfId="3" applyFont="1" applyBorder="1" applyAlignment="1">
      <alignment horizontal="center" wrapText="1"/>
    </xf>
    <xf numFmtId="0" fontId="18" fillId="0" borderId="26" xfId="3" applyFont="1" applyBorder="1" applyAlignment="1" applyProtection="1">
      <alignment horizontal="center" wrapText="1"/>
      <protection locked="0"/>
    </xf>
    <xf numFmtId="0" fontId="18" fillId="0" borderId="21" xfId="3" applyFont="1" applyBorder="1" applyAlignment="1">
      <alignment horizontal="center" wrapText="1"/>
    </xf>
    <xf numFmtId="0" fontId="12" fillId="0" borderId="1" xfId="3" applyFont="1" applyBorder="1" applyAlignment="1">
      <alignment horizontal="right"/>
    </xf>
    <xf numFmtId="165" fontId="12" fillId="0" borderId="26" xfId="6" applyNumberFormat="1" applyFont="1" applyBorder="1" applyProtection="1"/>
    <xf numFmtId="165" fontId="12" fillId="0" borderId="0" xfId="6" applyNumberFormat="1" applyFont="1" applyBorder="1" applyProtection="1"/>
    <xf numFmtId="165" fontId="12" fillId="0" borderId="27" xfId="6" applyNumberFormat="1" applyFont="1" applyBorder="1" applyProtection="1"/>
    <xf numFmtId="166" fontId="12" fillId="6" borderId="26" xfId="6" applyNumberFormat="1" applyFont="1" applyFill="1" applyBorder="1" applyProtection="1"/>
    <xf numFmtId="44" fontId="12" fillId="0" borderId="27" xfId="6" applyFont="1" applyBorder="1" applyProtection="1"/>
    <xf numFmtId="44" fontId="12" fillId="0" borderId="21" xfId="6" applyFont="1" applyBorder="1" applyProtection="1"/>
    <xf numFmtId="44" fontId="12" fillId="0" borderId="0" xfId="6" applyFont="1" applyBorder="1" applyProtection="1"/>
    <xf numFmtId="0" fontId="13" fillId="0" borderId="28" xfId="3" applyFont="1" applyBorder="1"/>
    <xf numFmtId="0" fontId="13" fillId="0" borderId="11" xfId="3" applyFont="1" applyBorder="1"/>
    <xf numFmtId="44" fontId="13" fillId="0" borderId="18" xfId="3" applyNumberFormat="1" applyFont="1" applyBorder="1"/>
    <xf numFmtId="44" fontId="13" fillId="0" borderId="29" xfId="3" applyNumberFormat="1" applyFont="1" applyBorder="1"/>
    <xf numFmtId="0" fontId="13" fillId="0" borderId="0" xfId="3" applyFont="1"/>
    <xf numFmtId="10" fontId="12" fillId="7" borderId="0" xfId="4" applyNumberFormat="1" applyFont="1" applyFill="1" applyBorder="1" applyProtection="1">
      <protection locked="0"/>
    </xf>
    <xf numFmtId="165" fontId="12" fillId="7" borderId="0" xfId="3" applyNumberFormat="1" applyFont="1" applyFill="1" applyProtection="1">
      <protection locked="0"/>
    </xf>
    <xf numFmtId="0" fontId="12" fillId="0" borderId="0" xfId="3" applyFont="1" applyProtection="1">
      <protection locked="0"/>
    </xf>
    <xf numFmtId="0" fontId="12" fillId="0" borderId="10" xfId="3" applyFont="1" applyBorder="1"/>
    <xf numFmtId="0" fontId="12" fillId="0" borderId="31" xfId="3" applyFont="1" applyBorder="1"/>
    <xf numFmtId="167" fontId="12" fillId="7" borderId="31" xfId="3" applyNumberFormat="1" applyFont="1" applyFill="1" applyBorder="1" applyProtection="1">
      <protection locked="0"/>
    </xf>
    <xf numFmtId="0" fontId="12" fillId="0" borderId="3" xfId="3" applyFont="1" applyBorder="1"/>
    <xf numFmtId="166" fontId="12" fillId="6" borderId="26" xfId="6" applyNumberFormat="1" applyFont="1" applyFill="1" applyBorder="1" applyProtection="1">
      <protection locked="0"/>
    </xf>
    <xf numFmtId="0" fontId="12" fillId="7" borderId="31" xfId="3" applyFont="1" applyFill="1" applyBorder="1" applyProtection="1">
      <protection locked="0"/>
    </xf>
    <xf numFmtId="164" fontId="11" fillId="0" borderId="0" xfId="1" applyNumberFormat="1" applyFont="1" applyBorder="1" applyProtection="1"/>
    <xf numFmtId="0" fontId="19" fillId="0" borderId="0" xfId="3" applyFont="1"/>
    <xf numFmtId="0" fontId="12" fillId="0" borderId="26" xfId="3" applyFont="1" applyBorder="1" applyAlignment="1">
      <alignment wrapText="1"/>
    </xf>
    <xf numFmtId="7" fontId="12" fillId="5" borderId="26" xfId="6" applyNumberFormat="1" applyFont="1" applyFill="1" applyBorder="1" applyProtection="1"/>
    <xf numFmtId="0" fontId="13" fillId="0" borderId="28" xfId="3" applyFont="1" applyBorder="1" applyAlignment="1">
      <alignment horizontal="right"/>
    </xf>
    <xf numFmtId="44" fontId="13" fillId="0" borderId="18" xfId="3" applyNumberFormat="1" applyFont="1" applyBorder="1" applyAlignment="1">
      <alignment horizontal="right"/>
    </xf>
    <xf numFmtId="0" fontId="19" fillId="0" borderId="21" xfId="3" applyFont="1" applyBorder="1"/>
    <xf numFmtId="44" fontId="12" fillId="0" borderId="0" xfId="3" applyNumberFormat="1" applyFont="1"/>
    <xf numFmtId="168" fontId="12" fillId="0" borderId="0" xfId="3" applyNumberFormat="1" applyFont="1"/>
    <xf numFmtId="10" fontId="12" fillId="7" borderId="0" xfId="4" applyNumberFormat="1" applyFont="1" applyFill="1" applyBorder="1" applyProtection="1"/>
    <xf numFmtId="165" fontId="12" fillId="7" borderId="0" xfId="3" applyNumberFormat="1" applyFont="1" applyFill="1"/>
    <xf numFmtId="0" fontId="12" fillId="0" borderId="10" xfId="3" applyFont="1" applyBorder="1" applyAlignment="1">
      <alignment horizontal="right"/>
    </xf>
    <xf numFmtId="43" fontId="12" fillId="7" borderId="31" xfId="3" applyNumberFormat="1" applyFont="1" applyFill="1" applyBorder="1"/>
    <xf numFmtId="164" fontId="17" fillId="0" borderId="27" xfId="5" applyNumberFormat="1" applyFont="1" applyBorder="1" applyProtection="1"/>
    <xf numFmtId="164" fontId="12" fillId="0" borderId="21" xfId="5" applyNumberFormat="1" applyFont="1" applyBorder="1" applyProtection="1"/>
    <xf numFmtId="164" fontId="12" fillId="4" borderId="21" xfId="3" applyNumberFormat="1" applyFont="1" applyFill="1" applyBorder="1"/>
    <xf numFmtId="164" fontId="12" fillId="4" borderId="0" xfId="3" applyNumberFormat="1" applyFont="1" applyFill="1"/>
    <xf numFmtId="0" fontId="12" fillId="0" borderId="21" xfId="3" applyFont="1" applyBorder="1" applyAlignment="1">
      <alignment wrapText="1"/>
    </xf>
    <xf numFmtId="44" fontId="12" fillId="0" borderId="27" xfId="6" applyFont="1" applyBorder="1"/>
    <xf numFmtId="0" fontId="13" fillId="0" borderId="21" xfId="3" applyFont="1" applyBorder="1"/>
    <xf numFmtId="164" fontId="12" fillId="0" borderId="21" xfId="3" applyNumberFormat="1" applyFont="1" applyBorder="1"/>
    <xf numFmtId="43" fontId="12" fillId="7" borderId="31" xfId="3" applyNumberFormat="1" applyFont="1" applyFill="1" applyBorder="1" applyProtection="1">
      <protection locked="0"/>
    </xf>
    <xf numFmtId="166" fontId="12" fillId="6" borderId="26" xfId="6" applyNumberFormat="1" applyFont="1" applyFill="1" applyBorder="1"/>
    <xf numFmtId="164" fontId="13" fillId="0" borderId="27" xfId="3" applyNumberFormat="1" applyFont="1" applyBorder="1" applyAlignment="1">
      <alignment horizontal="right"/>
    </xf>
    <xf numFmtId="44" fontId="13" fillId="0" borderId="2" xfId="3" applyNumberFormat="1" applyFont="1" applyBorder="1" applyAlignment="1">
      <alignment horizontal="right"/>
    </xf>
    <xf numFmtId="0" fontId="13" fillId="0" borderId="1" xfId="3" applyFont="1" applyBorder="1"/>
    <xf numFmtId="44" fontId="6" fillId="0" borderId="12" xfId="11" applyFont="1" applyBorder="1" applyAlignment="1">
      <alignment horizontal="left"/>
    </xf>
    <xf numFmtId="44" fontId="6" fillId="0" borderId="13" xfId="11" applyFont="1" applyBorder="1" applyAlignment="1">
      <alignment horizontal="left"/>
    </xf>
    <xf numFmtId="44" fontId="6" fillId="0" borderId="12" xfId="11" applyFont="1" applyFill="1" applyBorder="1" applyAlignment="1">
      <alignment horizontal="left"/>
    </xf>
    <xf numFmtId="44" fontId="6" fillId="0" borderId="13" xfId="11" applyFont="1" applyFill="1" applyBorder="1" applyAlignment="1">
      <alignment horizontal="left"/>
    </xf>
    <xf numFmtId="44" fontId="6" fillId="0" borderId="17" xfId="11" applyFont="1" applyBorder="1" applyAlignment="1">
      <alignment horizontal="left"/>
    </xf>
    <xf numFmtId="44" fontId="6" fillId="0" borderId="7" xfId="11" applyFont="1" applyBorder="1" applyAlignment="1">
      <alignment horizontal="left"/>
    </xf>
    <xf numFmtId="0" fontId="13" fillId="0" borderId="1" xfId="0" applyFont="1" applyBorder="1" applyAlignment="1">
      <alignment horizontal="left" vertical="top"/>
    </xf>
    <xf numFmtId="0" fontId="13" fillId="0" borderId="0" xfId="0" applyFont="1" applyAlignment="1">
      <alignment horizontal="right"/>
    </xf>
    <xf numFmtId="0" fontId="12" fillId="0" borderId="1" xfId="0" applyFont="1" applyBorder="1" applyAlignment="1">
      <alignment horizontal="left" indent="1"/>
    </xf>
    <xf numFmtId="169" fontId="13" fillId="0" borderId="0" xfId="0" applyNumberFormat="1" applyFont="1" applyAlignment="1">
      <alignment horizontal="right"/>
    </xf>
    <xf numFmtId="0" fontId="6" fillId="0" borderId="0" xfId="12" applyFont="1"/>
    <xf numFmtId="0" fontId="7" fillId="2" borderId="34" xfId="12" applyFont="1" applyFill="1" applyBorder="1" applyAlignment="1">
      <alignment horizontal="center"/>
    </xf>
    <xf numFmtId="0" fontId="7" fillId="2" borderId="35" xfId="12" applyFont="1" applyFill="1" applyBorder="1" applyAlignment="1">
      <alignment horizontal="center" wrapText="1"/>
    </xf>
    <xf numFmtId="0" fontId="6" fillId="0" borderId="12" xfId="12" applyFont="1" applyBorder="1"/>
    <xf numFmtId="170" fontId="6" fillId="0" borderId="13" xfId="12" applyNumberFormat="1" applyFont="1" applyBorder="1"/>
    <xf numFmtId="0" fontId="8" fillId="8" borderId="36" xfId="12" applyFont="1" applyFill="1" applyBorder="1" applyAlignment="1">
      <alignment wrapText="1"/>
    </xf>
    <xf numFmtId="0" fontId="8" fillId="8" borderId="33" xfId="12" applyFont="1" applyFill="1" applyBorder="1" applyAlignment="1">
      <alignment wrapText="1"/>
    </xf>
    <xf numFmtId="170" fontId="6" fillId="8" borderId="37" xfId="12" applyNumberFormat="1" applyFont="1" applyFill="1" applyBorder="1"/>
    <xf numFmtId="0" fontId="8" fillId="0" borderId="6" xfId="12" applyFont="1" applyBorder="1" applyAlignment="1">
      <alignment horizontal="right"/>
    </xf>
    <xf numFmtId="0" fontId="6" fillId="0" borderId="7" xfId="12" applyFont="1" applyBorder="1"/>
    <xf numFmtId="0" fontId="8" fillId="0" borderId="0" xfId="12" applyFont="1" applyAlignment="1">
      <alignment horizontal="right"/>
    </xf>
    <xf numFmtId="0" fontId="6" fillId="0" borderId="36" xfId="12" applyFont="1" applyBorder="1"/>
    <xf numFmtId="0" fontId="8" fillId="0" borderId="36" xfId="12" applyFont="1" applyBorder="1" applyAlignment="1">
      <alignment horizontal="right"/>
    </xf>
    <xf numFmtId="0" fontId="6" fillId="0" borderId="37" xfId="12" applyFont="1" applyBorder="1"/>
    <xf numFmtId="0" fontId="6" fillId="0" borderId="36" xfId="12" applyFont="1" applyBorder="1" applyAlignment="1">
      <alignment wrapText="1"/>
    </xf>
    <xf numFmtId="0" fontId="12" fillId="0" borderId="0" xfId="12" applyFont="1"/>
    <xf numFmtId="0" fontId="12" fillId="0" borderId="0" xfId="12" applyFont="1" applyAlignment="1">
      <alignment wrapText="1"/>
    </xf>
    <xf numFmtId="0" fontId="26" fillId="2" borderId="46" xfId="12" applyFont="1" applyFill="1" applyBorder="1" applyAlignment="1">
      <alignment horizontal="center" wrapText="1"/>
    </xf>
    <xf numFmtId="0" fontId="26" fillId="2" borderId="17" xfId="12" applyFont="1" applyFill="1" applyBorder="1" applyAlignment="1">
      <alignment horizontal="center" wrapText="1"/>
    </xf>
    <xf numFmtId="0" fontId="26" fillId="2" borderId="7" xfId="12" applyFont="1" applyFill="1" applyBorder="1" applyAlignment="1">
      <alignment horizontal="center" wrapText="1"/>
    </xf>
    <xf numFmtId="0" fontId="8" fillId="0" borderId="47" xfId="12" applyFont="1" applyBorder="1" applyAlignment="1">
      <alignment horizontal="left" wrapText="1"/>
    </xf>
    <xf numFmtId="171" fontId="6" fillId="0" borderId="18" xfId="12" applyNumberFormat="1" applyFont="1" applyBorder="1"/>
    <xf numFmtId="171" fontId="6" fillId="4" borderId="12" xfId="12" applyNumberFormat="1" applyFont="1" applyFill="1" applyBorder="1"/>
    <xf numFmtId="171" fontId="6" fillId="4" borderId="13" xfId="12" applyNumberFormat="1" applyFont="1" applyFill="1" applyBorder="1"/>
    <xf numFmtId="170" fontId="8" fillId="8" borderId="48" xfId="12" applyNumberFormat="1" applyFont="1" applyFill="1" applyBorder="1"/>
    <xf numFmtId="10" fontId="6" fillId="8" borderId="49" xfId="12" applyNumberFormat="1" applyFont="1" applyFill="1" applyBorder="1"/>
    <xf numFmtId="10" fontId="6" fillId="8" borderId="36" xfId="12" applyNumberFormat="1" applyFont="1" applyFill="1" applyBorder="1"/>
    <xf numFmtId="10" fontId="6" fillId="8" borderId="37" xfId="12" applyNumberFormat="1" applyFont="1" applyFill="1" applyBorder="1"/>
    <xf numFmtId="0" fontId="27" fillId="0" borderId="45" xfId="12" applyFont="1" applyBorder="1" applyAlignment="1">
      <alignment horizontal="right" wrapText="1"/>
    </xf>
    <xf numFmtId="171" fontId="6" fillId="0" borderId="46" xfId="12" applyNumberFormat="1" applyFont="1" applyBorder="1"/>
    <xf numFmtId="10" fontId="6" fillId="9" borderId="17" xfId="13" applyNumberFormat="1" applyFont="1" applyFill="1" applyBorder="1"/>
    <xf numFmtId="10" fontId="6" fillId="9" borderId="46" xfId="12" applyNumberFormat="1" applyFont="1" applyFill="1" applyBorder="1"/>
    <xf numFmtId="0" fontId="10" fillId="0" borderId="0" xfId="12" applyFont="1" applyAlignment="1">
      <alignment horizontal="left" wrapText="1"/>
    </xf>
    <xf numFmtId="9" fontId="22" fillId="0" borderId="0" xfId="12" applyNumberFormat="1" applyFont="1" applyAlignment="1">
      <alignment horizontal="center"/>
    </xf>
    <xf numFmtId="9" fontId="28" fillId="0" borderId="0" xfId="12" applyNumberFormat="1" applyFont="1"/>
    <xf numFmtId="0" fontId="28" fillId="0" borderId="0" xfId="12" applyFont="1"/>
    <xf numFmtId="171" fontId="8" fillId="0" borderId="50" xfId="12" applyNumberFormat="1" applyFont="1" applyBorder="1" applyAlignment="1">
      <alignment horizontal="right"/>
    </xf>
    <xf numFmtId="171" fontId="12" fillId="0" borderId="2" xfId="12" applyNumberFormat="1" applyFont="1" applyBorder="1"/>
    <xf numFmtId="171" fontId="6" fillId="0" borderId="0" xfId="12" applyNumberFormat="1" applyFont="1"/>
    <xf numFmtId="4" fontId="28" fillId="0" borderId="0" xfId="14" applyNumberFormat="1" applyFont="1"/>
    <xf numFmtId="4" fontId="12" fillId="0" borderId="0" xfId="12" applyNumberFormat="1" applyFont="1"/>
    <xf numFmtId="0" fontId="27" fillId="0" borderId="0" xfId="12" applyFont="1" applyAlignment="1">
      <alignment horizontal="center" wrapText="1"/>
    </xf>
    <xf numFmtId="0" fontId="12" fillId="0" borderId="0" xfId="12" applyFont="1" applyAlignment="1">
      <alignment vertical="top" wrapText="1"/>
    </xf>
    <xf numFmtId="0" fontId="27" fillId="0" borderId="48" xfId="12" applyFont="1" applyBorder="1" applyAlignment="1">
      <alignment horizontal="left" wrapText="1"/>
    </xf>
    <xf numFmtId="171" fontId="6" fillId="4" borderId="49" xfId="12" applyNumberFormat="1" applyFont="1" applyFill="1" applyBorder="1"/>
    <xf numFmtId="4" fontId="6" fillId="8" borderId="49" xfId="12" applyNumberFormat="1" applyFont="1" applyFill="1" applyBorder="1"/>
    <xf numFmtId="4" fontId="6" fillId="8" borderId="36" xfId="12" applyNumberFormat="1" applyFont="1" applyFill="1" applyBorder="1"/>
    <xf numFmtId="4" fontId="6" fillId="8" borderId="37" xfId="12" applyNumberFormat="1" applyFont="1" applyFill="1" applyBorder="1"/>
    <xf numFmtId="0" fontId="8" fillId="0" borderId="50" xfId="12" applyFont="1" applyBorder="1" applyAlignment="1">
      <alignment horizontal="right"/>
    </xf>
    <xf numFmtId="171" fontId="12" fillId="0" borderId="2" xfId="15" applyNumberFormat="1" applyFont="1" applyBorder="1"/>
    <xf numFmtId="0" fontId="8" fillId="0" borderId="48" xfId="12" applyFont="1" applyBorder="1" applyAlignment="1">
      <alignment horizontal="left" wrapText="1"/>
    </xf>
    <xf numFmtId="171" fontId="6" fillId="4" borderId="36" xfId="12" applyNumberFormat="1" applyFont="1" applyFill="1" applyBorder="1"/>
    <xf numFmtId="9" fontId="6" fillId="8" borderId="49" xfId="12" applyNumberFormat="1" applyFont="1" applyFill="1" applyBorder="1"/>
    <xf numFmtId="9" fontId="6" fillId="8" borderId="36" xfId="12" applyNumberFormat="1" applyFont="1" applyFill="1" applyBorder="1"/>
    <xf numFmtId="9" fontId="6" fillId="8" borderId="37" xfId="12" applyNumberFormat="1" applyFont="1" applyFill="1" applyBorder="1"/>
    <xf numFmtId="9" fontId="6" fillId="0" borderId="46" xfId="12" applyNumberFormat="1" applyFont="1" applyBorder="1"/>
    <xf numFmtId="0" fontId="7" fillId="2" borderId="51" xfId="12" applyFont="1" applyFill="1" applyBorder="1" applyAlignment="1">
      <alignment horizontal="center"/>
    </xf>
    <xf numFmtId="0" fontId="6" fillId="0" borderId="19" xfId="12" applyFont="1" applyBorder="1"/>
    <xf numFmtId="0" fontId="6" fillId="0" borderId="5" xfId="12" applyFont="1" applyBorder="1"/>
    <xf numFmtId="170" fontId="6" fillId="0" borderId="37" xfId="12" applyNumberFormat="1" applyFont="1" applyBorder="1"/>
    <xf numFmtId="0" fontId="8" fillId="8" borderId="5" xfId="12" applyFont="1" applyFill="1" applyBorder="1" applyAlignment="1">
      <alignment wrapText="1"/>
    </xf>
    <xf numFmtId="0" fontId="8" fillId="0" borderId="5" xfId="12" applyFont="1" applyBorder="1" applyAlignment="1">
      <alignment horizontal="right"/>
    </xf>
    <xf numFmtId="0" fontId="1" fillId="0" borderId="0" xfId="12"/>
    <xf numFmtId="0" fontId="8" fillId="0" borderId="5" xfId="12" applyFont="1" applyBorder="1" applyAlignment="1">
      <alignment horizontal="right" wrapText="1"/>
    </xf>
    <xf numFmtId="0" fontId="6" fillId="0" borderId="5" xfId="12" applyFont="1" applyBorder="1" applyAlignment="1">
      <alignment wrapText="1"/>
    </xf>
    <xf numFmtId="0" fontId="6" fillId="0" borderId="5" xfId="12" applyFont="1" applyBorder="1" applyAlignment="1">
      <alignment vertical="top" wrapText="1"/>
    </xf>
    <xf numFmtId="0" fontId="8" fillId="0" borderId="5" xfId="12" applyFont="1" applyBorder="1" applyAlignment="1">
      <alignment horizontal="right" vertical="top" wrapText="1"/>
    </xf>
    <xf numFmtId="0" fontId="8" fillId="0" borderId="6" xfId="12" applyFont="1" applyBorder="1" applyAlignment="1">
      <alignment horizontal="right" wrapText="1"/>
    </xf>
    <xf numFmtId="0" fontId="8" fillId="0" borderId="0" xfId="12" applyFont="1" applyAlignment="1">
      <alignment horizontal="right" wrapText="1"/>
    </xf>
    <xf numFmtId="44" fontId="8" fillId="0" borderId="38" xfId="11" applyFont="1" applyBorder="1" applyAlignment="1">
      <alignment horizontal="right"/>
    </xf>
    <xf numFmtId="44" fontId="8" fillId="0" borderId="33" xfId="11" applyFont="1" applyBorder="1" applyAlignment="1">
      <alignment horizontal="right"/>
    </xf>
    <xf numFmtId="171" fontId="6" fillId="0" borderId="13" xfId="7" applyNumberFormat="1" applyFont="1" applyBorder="1"/>
    <xf numFmtId="10" fontId="6" fillId="8" borderId="37" xfId="7" applyNumberFormat="1" applyFont="1" applyFill="1" applyBorder="1"/>
    <xf numFmtId="171" fontId="6" fillId="0" borderId="46" xfId="7" applyNumberFormat="1" applyFont="1" applyBorder="1"/>
    <xf numFmtId="44" fontId="6" fillId="0" borderId="13" xfId="11" applyFont="1" applyBorder="1"/>
    <xf numFmtId="44" fontId="6" fillId="0" borderId="37" xfId="11" applyFont="1" applyBorder="1"/>
    <xf numFmtId="44" fontId="6" fillId="8" borderId="37" xfId="11" applyFont="1" applyFill="1" applyBorder="1"/>
    <xf numFmtId="44" fontId="12" fillId="0" borderId="37" xfId="11" applyFont="1" applyBorder="1"/>
    <xf numFmtId="44" fontId="12" fillId="0" borderId="7" xfId="11" applyFont="1" applyBorder="1"/>
    <xf numFmtId="170" fontId="8" fillId="0" borderId="37" xfId="7" applyNumberFormat="1" applyFont="1" applyBorder="1"/>
    <xf numFmtId="170" fontId="6" fillId="8" borderId="37" xfId="7" applyNumberFormat="1" applyFont="1" applyFill="1" applyBorder="1"/>
    <xf numFmtId="170" fontId="8" fillId="0" borderId="7" xfId="7" applyNumberFormat="1" applyFont="1" applyBorder="1"/>
    <xf numFmtId="44" fontId="6" fillId="0" borderId="11" xfId="12" applyNumberFormat="1" applyFont="1" applyBorder="1"/>
    <xf numFmtId="44" fontId="6" fillId="0" borderId="11" xfId="12" applyNumberFormat="1" applyFont="1" applyBorder="1" applyAlignment="1">
      <alignment wrapText="1"/>
    </xf>
    <xf numFmtId="44" fontId="6" fillId="0" borderId="11" xfId="11" applyFont="1" applyBorder="1" applyAlignment="1"/>
    <xf numFmtId="44" fontId="6" fillId="0" borderId="11" xfId="11" applyFont="1" applyBorder="1"/>
    <xf numFmtId="44" fontId="6" fillId="0" borderId="11" xfId="11" applyFont="1" applyBorder="1" applyAlignment="1">
      <alignment wrapText="1"/>
    </xf>
    <xf numFmtId="44" fontId="8" fillId="8" borderId="33" xfId="11" applyFont="1" applyFill="1" applyBorder="1" applyAlignment="1">
      <alignment wrapText="1"/>
    </xf>
    <xf numFmtId="9" fontId="6" fillId="0" borderId="0" xfId="12" applyNumberFormat="1" applyFont="1"/>
    <xf numFmtId="0" fontId="9" fillId="2" borderId="1" xfId="12" applyFont="1" applyFill="1" applyBorder="1" applyAlignment="1">
      <alignment horizontal="center"/>
    </xf>
    <xf numFmtId="0" fontId="9" fillId="2" borderId="0" xfId="12" applyFont="1" applyFill="1" applyAlignment="1">
      <alignment horizontal="center"/>
    </xf>
    <xf numFmtId="0" fontId="4" fillId="3" borderId="32" xfId="12" applyFont="1" applyFill="1" applyBorder="1" applyAlignment="1">
      <alignment horizontal="center"/>
    </xf>
    <xf numFmtId="0" fontId="4" fillId="3" borderId="33" xfId="12" applyFont="1" applyFill="1" applyBorder="1" applyAlignment="1">
      <alignment horizontal="center"/>
    </xf>
    <xf numFmtId="0" fontId="7" fillId="2" borderId="40" xfId="12" applyFont="1" applyFill="1" applyBorder="1" applyAlignment="1">
      <alignment horizontal="center" vertical="center" wrapText="1"/>
    </xf>
    <xf numFmtId="0" fontId="25" fillId="2" borderId="45" xfId="12" applyFont="1" applyFill="1" applyBorder="1" applyAlignment="1">
      <alignment vertical="center" wrapText="1"/>
    </xf>
    <xf numFmtId="0" fontId="7" fillId="2" borderId="41" xfId="12" applyFont="1" applyFill="1" applyBorder="1" applyAlignment="1">
      <alignment horizontal="center" wrapText="1"/>
    </xf>
    <xf numFmtId="0" fontId="7" fillId="2" borderId="42" xfId="12" applyFont="1" applyFill="1" applyBorder="1" applyAlignment="1">
      <alignment horizontal="center" wrapText="1"/>
    </xf>
    <xf numFmtId="0" fontId="7" fillId="2" borderId="43" xfId="12" applyFont="1" applyFill="1" applyBorder="1" applyAlignment="1">
      <alignment horizontal="center" wrapText="1"/>
    </xf>
    <xf numFmtId="0" fontId="7" fillId="2" borderId="44" xfId="12" applyFont="1" applyFill="1" applyBorder="1" applyAlignment="1">
      <alignment horizontal="center" wrapText="1"/>
    </xf>
    <xf numFmtId="0" fontId="4" fillId="3" borderId="14" xfId="12" applyFont="1" applyFill="1" applyBorder="1" applyAlignment="1">
      <alignment horizontal="center" vertical="top" wrapText="1"/>
    </xf>
    <xf numFmtId="0" fontId="24" fillId="3" borderId="15" xfId="12" applyFont="1" applyFill="1" applyBorder="1" applyAlignment="1">
      <alignment horizontal="center" vertical="top"/>
    </xf>
    <xf numFmtId="0" fontId="24" fillId="3" borderId="39" xfId="12" applyFont="1" applyFill="1" applyBorder="1" applyAlignment="1">
      <alignment horizontal="center" vertical="top"/>
    </xf>
    <xf numFmtId="0" fontId="24" fillId="3" borderId="16" xfId="12" applyFont="1" applyFill="1" applyBorder="1" applyAlignment="1">
      <alignment horizontal="center" vertical="top"/>
    </xf>
    <xf numFmtId="0" fontId="9" fillId="2" borderId="14" xfId="12" applyFont="1" applyFill="1" applyBorder="1" applyAlignment="1">
      <alignment horizontal="center"/>
    </xf>
    <xf numFmtId="0" fontId="23" fillId="2" borderId="15" xfId="12" applyFont="1" applyFill="1" applyBorder="1" applyAlignment="1">
      <alignment horizontal="center"/>
    </xf>
    <xf numFmtId="0" fontId="23" fillId="2" borderId="39" xfId="12" applyFont="1" applyFill="1" applyBorder="1" applyAlignment="1">
      <alignment horizontal="center"/>
    </xf>
    <xf numFmtId="0" fontId="23" fillId="2" borderId="16" xfId="12" applyFont="1" applyFill="1" applyBorder="1" applyAlignment="1">
      <alignment horizontal="center"/>
    </xf>
    <xf numFmtId="0" fontId="29" fillId="0" borderId="0" xfId="12" applyFont="1" applyAlignment="1">
      <alignment horizontal="left" vertical="top" wrapText="1"/>
    </xf>
    <xf numFmtId="0" fontId="4" fillId="3" borderId="14" xfId="12" applyFont="1" applyFill="1" applyBorder="1" applyAlignment="1">
      <alignment horizontal="center"/>
    </xf>
    <xf numFmtId="0" fontId="4" fillId="3" borderId="16" xfId="12" applyFont="1" applyFill="1" applyBorder="1" applyAlignment="1">
      <alignment horizontal="center"/>
    </xf>
    <xf numFmtId="0" fontId="9" fillId="2" borderId="16" xfId="12" applyFont="1" applyFill="1" applyBorder="1" applyAlignment="1">
      <alignment horizontal="center"/>
    </xf>
    <xf numFmtId="0" fontId="13" fillId="0" borderId="0" xfId="12" applyFont="1" applyAlignment="1">
      <alignment wrapText="1"/>
    </xf>
    <xf numFmtId="0" fontId="1" fillId="0" borderId="0" xfId="12" applyAlignment="1">
      <alignment wrapText="1"/>
    </xf>
    <xf numFmtId="0" fontId="21" fillId="0" borderId="0" xfId="12" applyFont="1" applyAlignment="1">
      <alignment wrapText="1"/>
    </xf>
    <xf numFmtId="0" fontId="8" fillId="0" borderId="0" xfId="12" applyFont="1" applyAlignment="1">
      <alignment horizontal="left" vertical="center" wrapText="1"/>
    </xf>
    <xf numFmtId="0" fontId="9" fillId="2" borderId="14" xfId="3" applyFont="1" applyFill="1" applyBorder="1" applyAlignment="1">
      <alignment horizontal="center"/>
    </xf>
    <xf numFmtId="0" fontId="9" fillId="2" borderId="15" xfId="3" applyFont="1" applyFill="1" applyBorder="1" applyAlignment="1">
      <alignment horizontal="center"/>
    </xf>
    <xf numFmtId="0" fontId="9" fillId="2" borderId="16" xfId="3" applyFont="1" applyFill="1" applyBorder="1" applyAlignment="1">
      <alignment horizontal="center"/>
    </xf>
    <xf numFmtId="0" fontId="4" fillId="3" borderId="14" xfId="3" applyFont="1" applyFill="1" applyBorder="1" applyAlignment="1">
      <alignment horizontal="center"/>
    </xf>
    <xf numFmtId="0" fontId="4" fillId="3" borderId="15" xfId="3" applyFont="1" applyFill="1" applyBorder="1" applyAlignment="1">
      <alignment horizontal="center"/>
    </xf>
    <xf numFmtId="0" fontId="4" fillId="3" borderId="16" xfId="3" applyFont="1" applyFill="1" applyBorder="1" applyAlignment="1">
      <alignment horizontal="center"/>
    </xf>
    <xf numFmtId="0" fontId="7" fillId="2" borderId="19" xfId="3" applyFont="1" applyFill="1" applyBorder="1" applyAlignment="1">
      <alignment horizontal="center" vertical="center" wrapText="1"/>
    </xf>
    <xf numFmtId="0" fontId="14" fillId="2" borderId="6" xfId="3" applyFont="1" applyFill="1" applyBorder="1" applyAlignment="1">
      <alignment horizontal="center" vertical="center" wrapText="1"/>
    </xf>
    <xf numFmtId="0" fontId="7" fillId="2" borderId="12" xfId="3" applyFont="1" applyFill="1" applyBorder="1" applyAlignment="1">
      <alignment horizontal="center"/>
    </xf>
    <xf numFmtId="0" fontId="7" fillId="2" borderId="13" xfId="3" applyFont="1" applyFill="1" applyBorder="1" applyAlignment="1">
      <alignment horizontal="center"/>
    </xf>
    <xf numFmtId="0" fontId="8" fillId="0" borderId="0" xfId="3" applyFont="1" applyAlignment="1">
      <alignment horizontal="left" vertical="center" wrapText="1"/>
    </xf>
    <xf numFmtId="0" fontId="4" fillId="0" borderId="0" xfId="3" applyFont="1" applyAlignment="1">
      <alignment horizontal="center" wrapText="1"/>
    </xf>
    <xf numFmtId="0" fontId="5" fillId="0" borderId="0" xfId="2" applyAlignment="1" applyProtection="1">
      <alignment horizontal="center" wrapText="1"/>
    </xf>
    <xf numFmtId="0" fontId="13" fillId="0" borderId="8" xfId="3" applyFont="1" applyBorder="1" applyAlignment="1">
      <alignment horizontal="center"/>
    </xf>
    <xf numFmtId="0" fontId="13" fillId="0" borderId="20" xfId="3" applyFont="1" applyBorder="1" applyAlignment="1">
      <alignment horizontal="center"/>
    </xf>
    <xf numFmtId="0" fontId="13" fillId="0" borderId="9" xfId="3" applyFont="1" applyBorder="1" applyAlignment="1">
      <alignment horizontal="center"/>
    </xf>
    <xf numFmtId="0" fontId="13" fillId="0" borderId="22" xfId="3" applyFont="1" applyBorder="1" applyAlignment="1">
      <alignment horizontal="center"/>
    </xf>
    <xf numFmtId="0" fontId="13" fillId="0" borderId="23" xfId="3" applyFont="1" applyBorder="1" applyAlignment="1">
      <alignment horizontal="center"/>
    </xf>
    <xf numFmtId="0" fontId="13" fillId="0" borderId="24" xfId="3" applyFont="1" applyBorder="1" applyAlignment="1">
      <alignment horizontal="center"/>
    </xf>
    <xf numFmtId="0" fontId="13" fillId="0" borderId="25" xfId="3" applyFont="1" applyBorder="1" applyAlignment="1">
      <alignment horizontal="center"/>
    </xf>
    <xf numFmtId="0" fontId="13" fillId="0" borderId="4" xfId="3" applyFont="1" applyBorder="1" applyAlignment="1">
      <alignment horizontal="right"/>
    </xf>
    <xf numFmtId="0" fontId="13" fillId="0" borderId="30" xfId="3" applyFont="1" applyBorder="1" applyAlignment="1">
      <alignment horizontal="right"/>
    </xf>
    <xf numFmtId="164" fontId="13" fillId="0" borderId="26" xfId="3" applyNumberFormat="1" applyFont="1" applyBorder="1" applyAlignment="1">
      <alignment horizontal="center"/>
    </xf>
    <xf numFmtId="164" fontId="13" fillId="0" borderId="0" xfId="3" applyNumberFormat="1" applyFont="1" applyAlignment="1">
      <alignment horizontal="center"/>
    </xf>
    <xf numFmtId="164" fontId="13" fillId="0" borderId="27" xfId="3" applyNumberFormat="1" applyFont="1" applyBorder="1" applyAlignment="1">
      <alignment horizontal="center"/>
    </xf>
    <xf numFmtId="164" fontId="13" fillId="0" borderId="26" xfId="3" applyNumberFormat="1" applyFont="1" applyBorder="1"/>
    <xf numFmtId="164" fontId="13" fillId="0" borderId="27" xfId="3" applyNumberFormat="1" applyFont="1" applyBorder="1"/>
    <xf numFmtId="164" fontId="13" fillId="0" borderId="21" xfId="3" applyNumberFormat="1" applyFont="1" applyBorder="1"/>
    <xf numFmtId="0" fontId="18" fillId="0" borderId="26" xfId="3" applyFont="1" applyBorder="1" applyAlignment="1">
      <alignment horizontal="center" wrapText="1"/>
    </xf>
    <xf numFmtId="0" fontId="18" fillId="0" borderId="27" xfId="3" applyFont="1" applyBorder="1" applyAlignment="1">
      <alignment horizontal="center" wrapText="1"/>
    </xf>
    <xf numFmtId="5" fontId="12" fillId="5" borderId="26" xfId="6" applyNumberFormat="1" applyFont="1" applyFill="1" applyBorder="1" applyAlignment="1" applyProtection="1">
      <alignment horizontal="center"/>
      <protection locked="0"/>
    </xf>
    <xf numFmtId="44" fontId="12" fillId="5" borderId="27" xfId="6" applyFont="1" applyFill="1" applyBorder="1" applyAlignment="1" applyProtection="1">
      <alignment horizontal="center"/>
      <protection locked="0"/>
    </xf>
    <xf numFmtId="0" fontId="13" fillId="0" borderId="1" xfId="3" applyFont="1" applyBorder="1" applyAlignment="1">
      <alignment horizontal="right"/>
    </xf>
    <xf numFmtId="0" fontId="13" fillId="0" borderId="0" xfId="3" applyFont="1" applyAlignment="1">
      <alignment horizontal="right"/>
    </xf>
    <xf numFmtId="44" fontId="13" fillId="0" borderId="28" xfId="3" applyNumberFormat="1" applyFont="1" applyBorder="1" applyAlignment="1">
      <alignment horizontal="center"/>
    </xf>
    <xf numFmtId="44" fontId="13" fillId="0" borderId="18" xfId="3" applyNumberFormat="1" applyFont="1" applyBorder="1" applyAlignment="1">
      <alignment horizontal="center"/>
    </xf>
    <xf numFmtId="0" fontId="13" fillId="0" borderId="1" xfId="3" applyFont="1" applyBorder="1" applyAlignment="1">
      <alignment horizontal="center"/>
    </xf>
    <xf numFmtId="0" fontId="13" fillId="0" borderId="27" xfId="3" applyFont="1" applyBorder="1" applyAlignment="1">
      <alignment horizontal="center"/>
    </xf>
    <xf numFmtId="0" fontId="4" fillId="0" borderId="0" xfId="3" applyFont="1" applyAlignment="1">
      <alignment horizontal="center"/>
    </xf>
    <xf numFmtId="0" fontId="5" fillId="0" borderId="0" xfId="2" applyAlignment="1" applyProtection="1">
      <alignment horizontal="center"/>
    </xf>
    <xf numFmtId="164" fontId="13" fillId="0" borderId="0" xfId="3" applyNumberFormat="1" applyFont="1"/>
    <xf numFmtId="0" fontId="12" fillId="0" borderId="1" xfId="3" applyFont="1" applyBorder="1" applyAlignment="1">
      <alignment horizontal="right"/>
    </xf>
    <xf numFmtId="0" fontId="12" fillId="0" borderId="27" xfId="3" applyFont="1" applyBorder="1" applyAlignment="1">
      <alignment horizontal="right"/>
    </xf>
    <xf numFmtId="0" fontId="12" fillId="0" borderId="0" xfId="0" applyFont="1" applyAlignment="1">
      <alignment horizontal="left" vertical="top" wrapText="1"/>
    </xf>
    <xf numFmtId="0" fontId="12" fillId="0" borderId="0" xfId="0" applyFont="1" applyAlignment="1">
      <alignment horizontal="left" vertical="top"/>
    </xf>
    <xf numFmtId="0" fontId="13" fillId="0" borderId="27" xfId="3" applyFont="1" applyBorder="1" applyAlignment="1">
      <alignment horizontal="right"/>
    </xf>
    <xf numFmtId="0" fontId="13" fillId="4" borderId="1" xfId="3" applyFont="1" applyFill="1" applyBorder="1" applyAlignment="1">
      <alignment horizontal="right"/>
    </xf>
    <xf numFmtId="0" fontId="13" fillId="4" borderId="27" xfId="3" applyFont="1" applyFill="1" applyBorder="1" applyAlignment="1">
      <alignment horizontal="right"/>
    </xf>
    <xf numFmtId="164" fontId="13" fillId="4" borderId="26" xfId="3" applyNumberFormat="1" applyFont="1" applyFill="1" applyBorder="1" applyAlignment="1">
      <alignment horizontal="center"/>
    </xf>
    <xf numFmtId="164" fontId="13" fillId="4" borderId="27" xfId="3" applyNumberFormat="1" applyFont="1" applyFill="1" applyBorder="1" applyAlignment="1">
      <alignment horizontal="center"/>
    </xf>
    <xf numFmtId="164" fontId="13" fillId="4" borderId="26" xfId="3" applyNumberFormat="1" applyFont="1" applyFill="1" applyBorder="1"/>
    <xf numFmtId="164" fontId="13" fillId="4" borderId="27" xfId="3" applyNumberFormat="1" applyFont="1" applyFill="1" applyBorder="1"/>
    <xf numFmtId="0" fontId="13" fillId="0" borderId="1" xfId="3" applyFont="1" applyBorder="1" applyAlignment="1">
      <alignment horizontal="center" wrapText="1"/>
    </xf>
    <xf numFmtId="0" fontId="13" fillId="0" borderId="27" xfId="3" applyFont="1" applyBorder="1" applyAlignment="1">
      <alignment horizontal="center" wrapText="1"/>
    </xf>
  </cellXfs>
  <cellStyles count="16">
    <cellStyle name="Comma" xfId="1" builtinId="3"/>
    <cellStyle name="Comma 125" xfId="5" xr:uid="{00000000-0005-0000-0000-000001000000}"/>
    <cellStyle name="Comma 2" xfId="9" xr:uid="{B04F44A1-1BDC-4DC0-BFE3-9AFD5F7F3B28}"/>
    <cellStyle name="Comma 2 2" xfId="14" xr:uid="{916FBFF9-8367-4275-95D1-D5F60C182E81}"/>
    <cellStyle name="Currency" xfId="11" builtinId="4"/>
    <cellStyle name="Currency 123" xfId="6" xr:uid="{00000000-0005-0000-0000-000002000000}"/>
    <cellStyle name="Currency 2" xfId="10" xr:uid="{5CB19F75-04BD-4AF5-959F-37F296B215C9}"/>
    <cellStyle name="Currency 2 2" xfId="15" xr:uid="{04E3B1FA-9704-4F76-A05E-F2E2D4A4C80D}"/>
    <cellStyle name="Hyperlink" xfId="2" builtinId="8"/>
    <cellStyle name="Normal" xfId="0" builtinId="0"/>
    <cellStyle name="Normal 2" xfId="7" xr:uid="{BB5AD8C6-5EDB-4CCA-A6E3-E4D312F310BF}"/>
    <cellStyle name="Normal 2 2" xfId="12" xr:uid="{336AC8C6-4C2C-493F-80E1-2CF8A1829D5C}"/>
    <cellStyle name="Normal 74" xfId="3" xr:uid="{00000000-0005-0000-0000-000005000000}"/>
    <cellStyle name="Percent 18" xfId="4" xr:uid="{00000000-0005-0000-0000-000006000000}"/>
    <cellStyle name="Percent 2" xfId="8" xr:uid="{A5CB47C2-3844-4649-9F87-E926D65E3369}"/>
    <cellStyle name="Percent 2 2" xfId="13" xr:uid="{046A96E7-9F84-491B-BA99-29C76E38E32C}"/>
  </cellStyles>
  <dxfs count="24">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1137-75E7-4B36-9906-0B8284F5D5E5}">
  <sheetPr>
    <tabColor rgb="FF002060"/>
    <pageSetUpPr fitToPage="1"/>
  </sheetPr>
  <dimension ref="A1:F30"/>
  <sheetViews>
    <sheetView tabSelected="1" zoomScale="90" zoomScaleNormal="90" workbookViewId="0">
      <selection activeCell="B35" sqref="B35"/>
    </sheetView>
  </sheetViews>
  <sheetFormatPr defaultColWidth="8.7109375" defaultRowHeight="15" x14ac:dyDescent="0.2"/>
  <cols>
    <col min="1" max="1" width="76.5703125" style="94" bestFit="1" customWidth="1"/>
    <col min="2" max="2" width="29.140625" style="94" customWidth="1"/>
    <col min="3" max="3" width="85.7109375" style="94" customWidth="1"/>
    <col min="4" max="16384" width="8.7109375" style="94"/>
  </cols>
  <sheetData>
    <row r="1" spans="1:6" ht="18" x14ac:dyDescent="0.25">
      <c r="A1" s="183" t="s">
        <v>162</v>
      </c>
      <c r="B1" s="184"/>
      <c r="C1" s="184"/>
    </row>
    <row r="3" spans="1:6" ht="18" x14ac:dyDescent="0.25">
      <c r="A3" s="185" t="s">
        <v>163</v>
      </c>
      <c r="B3" s="186"/>
      <c r="C3" s="186"/>
    </row>
    <row r="4" spans="1:6" ht="16.5" thickBot="1" x14ac:dyDescent="0.3">
      <c r="A4" s="95" t="s">
        <v>164</v>
      </c>
      <c r="B4" s="96" t="s">
        <v>165</v>
      </c>
      <c r="C4" s="96" t="s">
        <v>166</v>
      </c>
    </row>
    <row r="5" spans="1:6" ht="18" customHeight="1" x14ac:dyDescent="0.25">
      <c r="A5" s="97" t="s">
        <v>167</v>
      </c>
      <c r="B5" s="178">
        <f>'F-1 Provider Svcs DDI Costs'!C14</f>
        <v>4797290.6995716402</v>
      </c>
      <c r="C5" s="98" t="s">
        <v>168</v>
      </c>
    </row>
    <row r="6" spans="1:6" ht="18" customHeight="1" x14ac:dyDescent="0.25">
      <c r="A6" s="97" t="s">
        <v>169</v>
      </c>
      <c r="B6" s="179">
        <f>'F-2 Provider Svcs Ops Costs'!C22</f>
        <v>23692606.841154121</v>
      </c>
      <c r="C6" s="98" t="s">
        <v>170</v>
      </c>
    </row>
    <row r="7" spans="1:6" ht="18" customHeight="1" x14ac:dyDescent="0.25">
      <c r="A7" s="97" t="s">
        <v>171</v>
      </c>
      <c r="B7" s="179">
        <f>'F-3 Provider Svcs DDI Pool Cost'!C14</f>
        <v>0</v>
      </c>
      <c r="C7" s="98" t="s">
        <v>172</v>
      </c>
    </row>
    <row r="8" spans="1:6" ht="18" customHeight="1" x14ac:dyDescent="0.25">
      <c r="A8" s="97" t="s">
        <v>173</v>
      </c>
      <c r="B8" s="180">
        <f>'F-4 Provider Svcs Ops Pool'!C22</f>
        <v>0</v>
      </c>
      <c r="C8" s="98" t="s">
        <v>174</v>
      </c>
    </row>
    <row r="9" spans="1:6" ht="1.9" customHeight="1" x14ac:dyDescent="0.25">
      <c r="A9" s="99"/>
      <c r="B9" s="181"/>
      <c r="C9" s="101"/>
    </row>
    <row r="10" spans="1:6" ht="16.5" thickBot="1" x14ac:dyDescent="0.3">
      <c r="A10" s="102" t="s">
        <v>175</v>
      </c>
      <c r="B10" s="163">
        <f>SUM(B5:B8)</f>
        <v>28489897.54072576</v>
      </c>
      <c r="C10" s="103"/>
    </row>
    <row r="11" spans="1:6" ht="15.75" x14ac:dyDescent="0.25">
      <c r="A11" s="104"/>
      <c r="B11" s="104"/>
    </row>
    <row r="13" spans="1:6" ht="18" x14ac:dyDescent="0.25">
      <c r="A13" s="185" t="s">
        <v>176</v>
      </c>
      <c r="B13" s="186"/>
      <c r="C13" s="186"/>
    </row>
    <row r="14" spans="1:6" ht="16.5" thickBot="1" x14ac:dyDescent="0.3">
      <c r="A14" s="95" t="s">
        <v>164</v>
      </c>
      <c r="B14" s="96" t="s">
        <v>165</v>
      </c>
      <c r="C14" s="96" t="s">
        <v>166</v>
      </c>
    </row>
    <row r="15" spans="1:6" ht="15.75" x14ac:dyDescent="0.25">
      <c r="A15" s="105" t="s">
        <v>177</v>
      </c>
      <c r="B15" s="176">
        <f>'G-1 Provider Svcs DDI Cost'!C14</f>
        <v>1448173.09409812</v>
      </c>
      <c r="C15" s="98" t="s">
        <v>178</v>
      </c>
    </row>
    <row r="16" spans="1:6" ht="15.75" x14ac:dyDescent="0.25">
      <c r="A16" s="97" t="s">
        <v>179</v>
      </c>
      <c r="B16" s="176">
        <f>'G-2 Provider Svcs Ops Cost'!C22</f>
        <v>6056695.9549059421</v>
      </c>
      <c r="C16" s="98" t="s">
        <v>180</v>
      </c>
      <c r="F16" s="182"/>
    </row>
    <row r="17" spans="1:6" ht="18" customHeight="1" x14ac:dyDescent="0.25">
      <c r="A17" s="97" t="s">
        <v>181</v>
      </c>
      <c r="B17" s="177">
        <f>'G-3 Provider Svcs DDI Pool'!C14</f>
        <v>0</v>
      </c>
      <c r="C17" s="98" t="s">
        <v>182</v>
      </c>
      <c r="F17" s="182"/>
    </row>
    <row r="18" spans="1:6" ht="15.75" x14ac:dyDescent="0.25">
      <c r="A18" s="105" t="s">
        <v>183</v>
      </c>
      <c r="B18" s="176">
        <f>'G-4 Provider Svcs Ops Pool'!C22</f>
        <v>0</v>
      </c>
      <c r="C18" s="98" t="s">
        <v>184</v>
      </c>
    </row>
    <row r="19" spans="1:6" ht="2.65" customHeight="1" x14ac:dyDescent="0.25">
      <c r="A19" s="99"/>
      <c r="B19" s="100"/>
      <c r="C19" s="101"/>
    </row>
    <row r="20" spans="1:6" ht="15.75" x14ac:dyDescent="0.25">
      <c r="A20" s="106" t="s">
        <v>185</v>
      </c>
      <c r="B20" s="164">
        <f>SUM(B15:B18)</f>
        <v>7504869.0490040621</v>
      </c>
      <c r="C20" s="107"/>
    </row>
    <row r="21" spans="1:6" ht="15.75" x14ac:dyDescent="0.25">
      <c r="A21" s="104"/>
      <c r="B21" s="104"/>
    </row>
    <row r="23" spans="1:6" ht="18" x14ac:dyDescent="0.25">
      <c r="A23" s="185" t="s">
        <v>186</v>
      </c>
      <c r="B23" s="186"/>
      <c r="C23" s="186"/>
    </row>
    <row r="24" spans="1:6" ht="16.5" thickBot="1" x14ac:dyDescent="0.3">
      <c r="A24" s="95" t="s">
        <v>164</v>
      </c>
      <c r="B24" s="96" t="s">
        <v>187</v>
      </c>
      <c r="C24" s="96" t="s">
        <v>166</v>
      </c>
    </row>
    <row r="25" spans="1:6" ht="15.75" x14ac:dyDescent="0.25">
      <c r="A25" s="105" t="s">
        <v>188</v>
      </c>
      <c r="B25" s="176">
        <f>'H-1 Provider Svcs DDI Cost'!C14</f>
        <v>2029952.77662586</v>
      </c>
      <c r="C25" s="98" t="s">
        <v>189</v>
      </c>
      <c r="F25" s="182"/>
    </row>
    <row r="26" spans="1:6" ht="15.75" x14ac:dyDescent="0.25">
      <c r="A26" s="105" t="s">
        <v>190</v>
      </c>
      <c r="B26" s="176">
        <f>'H-2 Provider Svcs Ops Cost'!C22</f>
        <v>17224033.537507355</v>
      </c>
      <c r="C26" s="98" t="s">
        <v>191</v>
      </c>
      <c r="F26" s="182"/>
    </row>
    <row r="27" spans="1:6" ht="15.75" x14ac:dyDescent="0.25">
      <c r="A27" s="97" t="s">
        <v>192</v>
      </c>
      <c r="B27" s="177">
        <f>'H-3 Provider Svcs DDI Pool'!C14</f>
        <v>0</v>
      </c>
      <c r="C27" s="98" t="s">
        <v>193</v>
      </c>
    </row>
    <row r="28" spans="1:6" ht="15.75" x14ac:dyDescent="0.25">
      <c r="A28" s="108" t="s">
        <v>194</v>
      </c>
      <c r="B28" s="176">
        <f>'H-4 Provider Svcs Ops Pool'!C22</f>
        <v>0</v>
      </c>
      <c r="C28" s="98" t="s">
        <v>195</v>
      </c>
    </row>
    <row r="29" spans="1:6" ht="2.65" customHeight="1" x14ac:dyDescent="0.25">
      <c r="A29" s="99"/>
      <c r="B29" s="100"/>
      <c r="C29" s="101"/>
    </row>
    <row r="30" spans="1:6" ht="15.75" x14ac:dyDescent="0.25">
      <c r="A30" s="106" t="s">
        <v>196</v>
      </c>
      <c r="B30" s="164">
        <f>SUM(B25:B28)</f>
        <v>19253986.314133216</v>
      </c>
      <c r="C30" s="107"/>
    </row>
  </sheetData>
  <mergeCells count="4">
    <mergeCell ref="A1:C1"/>
    <mergeCell ref="A3:C3"/>
    <mergeCell ref="A13:C13"/>
    <mergeCell ref="A23:C23"/>
  </mergeCells>
  <pageMargins left="0.7" right="0.7" top="0.75" bottom="0.75" header="0.3" footer="0.3"/>
  <pageSetup scale="48" fitToHeight="0" orientation="portrait" horizontalDpi="300" verticalDpi="300" r:id="rId1"/>
  <headerFooter>
    <oddFooter>&amp;RPage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pageSetUpPr fitToPage="1"/>
  </sheetPr>
  <dimension ref="A1:S36"/>
  <sheetViews>
    <sheetView zoomScale="90" zoomScaleNormal="90" workbookViewId="0">
      <selection activeCell="K19" sqref="K19"/>
    </sheetView>
  </sheetViews>
  <sheetFormatPr defaultColWidth="9.140625" defaultRowHeight="14.25" x14ac:dyDescent="0.2"/>
  <cols>
    <col min="1" max="1" width="46.7109375" style="2" customWidth="1"/>
    <col min="2" max="2" width="11.5703125" style="2" customWidth="1"/>
    <col min="3" max="3" width="17" style="2" bestFit="1" customWidth="1"/>
    <col min="4" max="4" width="8.28515625" style="2" bestFit="1" customWidth="1"/>
    <col min="5" max="7" width="12.7109375" style="2" customWidth="1"/>
    <col min="8" max="8" width="15.7109375" style="2" bestFit="1" customWidth="1"/>
    <col min="9" max="9" width="16.7109375" style="2" bestFit="1" customWidth="1"/>
    <col min="10" max="10" width="16.28515625" style="2" bestFit="1" customWidth="1"/>
    <col min="11" max="11" width="16.7109375" style="2" bestFit="1" customWidth="1"/>
    <col min="12" max="12" width="18.140625" style="2" bestFit="1" customWidth="1"/>
    <col min="13" max="13" width="16.7109375" style="2" bestFit="1" customWidth="1"/>
    <col min="14" max="14" width="18.140625" style="2" bestFit="1" customWidth="1"/>
    <col min="15" max="15" width="16.7109375" style="2" bestFit="1" customWidth="1"/>
    <col min="16" max="16" width="18.140625" style="2" bestFit="1" customWidth="1"/>
    <col min="17" max="17" width="16.7109375" style="2" bestFit="1" customWidth="1"/>
    <col min="18" max="18" width="12.7109375" style="2" customWidth="1"/>
    <col min="19" max="19" width="16.7109375" style="2" bestFit="1" customWidth="1"/>
    <col min="20" max="16384" width="9.140625" style="2"/>
  </cols>
  <sheetData>
    <row r="1" spans="1:19" s="9" customFormat="1" ht="36.75" customHeight="1" x14ac:dyDescent="0.25">
      <c r="A1" s="220" t="s">
        <v>55</v>
      </c>
      <c r="B1" s="247"/>
      <c r="C1" s="247"/>
      <c r="D1" s="247"/>
      <c r="E1" s="247"/>
      <c r="F1" s="247"/>
      <c r="G1" s="247"/>
      <c r="H1" s="248"/>
      <c r="I1" s="247"/>
      <c r="J1" s="247"/>
      <c r="K1" s="247"/>
      <c r="L1" s="247"/>
      <c r="M1" s="247"/>
      <c r="N1" s="247"/>
      <c r="O1" s="247"/>
      <c r="P1" s="247"/>
      <c r="Q1" s="247"/>
      <c r="R1" s="247"/>
      <c r="S1" s="247"/>
    </row>
    <row r="3" spans="1:19" ht="15" thickBot="1" x14ac:dyDescent="0.25"/>
    <row r="4" spans="1:19" ht="15" x14ac:dyDescent="0.25">
      <c r="A4" s="222" t="s">
        <v>134</v>
      </c>
      <c r="B4" s="223"/>
      <c r="C4" s="223"/>
      <c r="D4" s="223"/>
      <c r="E4" s="223"/>
      <c r="F4" s="223"/>
      <c r="G4" s="223"/>
      <c r="H4" s="223"/>
      <c r="I4" s="223"/>
      <c r="J4" s="223"/>
      <c r="K4" s="223"/>
      <c r="L4" s="223"/>
      <c r="M4" s="223"/>
      <c r="N4" s="223"/>
      <c r="O4" s="223"/>
      <c r="P4" s="223"/>
      <c r="Q4" s="223"/>
      <c r="R4" s="223"/>
      <c r="S4" s="224"/>
    </row>
    <row r="5" spans="1:19" x14ac:dyDescent="0.2">
      <c r="A5" s="12"/>
      <c r="S5" s="13"/>
    </row>
    <row r="6" spans="1:19" ht="15" x14ac:dyDescent="0.25">
      <c r="A6" s="12"/>
      <c r="B6" s="14" t="s">
        <v>8</v>
      </c>
      <c r="C6" s="225" t="s">
        <v>9</v>
      </c>
      <c r="D6" s="226"/>
      <c r="E6" s="225" t="s">
        <v>10</v>
      </c>
      <c r="F6" s="227"/>
      <c r="G6" s="226"/>
      <c r="H6" s="225" t="s">
        <v>11</v>
      </c>
      <c r="I6" s="226"/>
      <c r="J6" s="225" t="s">
        <v>12</v>
      </c>
      <c r="K6" s="226"/>
      <c r="L6" s="225" t="s">
        <v>13</v>
      </c>
      <c r="M6" s="226"/>
      <c r="N6" s="225" t="s">
        <v>14</v>
      </c>
      <c r="O6" s="226"/>
      <c r="P6" s="225" t="s">
        <v>15</v>
      </c>
      <c r="Q6" s="226"/>
      <c r="R6" s="225" t="s">
        <v>16</v>
      </c>
      <c r="S6" s="228"/>
    </row>
    <row r="7" spans="1:19" ht="15" hidden="1" customHeight="1" x14ac:dyDescent="0.25">
      <c r="A7" s="12"/>
      <c r="B7" s="14" t="s">
        <v>17</v>
      </c>
      <c r="C7" s="15"/>
      <c r="D7" s="16"/>
      <c r="E7" s="17" t="s">
        <v>18</v>
      </c>
      <c r="G7" s="18"/>
      <c r="H7" s="17" t="s">
        <v>19</v>
      </c>
      <c r="I7" s="18"/>
      <c r="J7" s="17" t="s">
        <v>20</v>
      </c>
      <c r="K7" s="18"/>
      <c r="L7" s="17" t="s">
        <v>21</v>
      </c>
      <c r="M7" s="18"/>
      <c r="N7" s="17" t="s">
        <v>22</v>
      </c>
      <c r="O7" s="18"/>
      <c r="P7" s="17" t="s">
        <v>23</v>
      </c>
      <c r="Q7" s="18"/>
      <c r="R7" s="17" t="s">
        <v>24</v>
      </c>
      <c r="S7" s="13"/>
    </row>
    <row r="8" spans="1:19" s="26" customFormat="1" ht="15" x14ac:dyDescent="0.25">
      <c r="A8" s="19"/>
      <c r="B8" s="14" t="s">
        <v>25</v>
      </c>
      <c r="C8" s="20">
        <v>0</v>
      </c>
      <c r="D8" s="21">
        <v>25000</v>
      </c>
      <c r="E8" s="22">
        <v>0</v>
      </c>
      <c r="F8" s="23"/>
      <c r="G8" s="24">
        <v>25000</v>
      </c>
      <c r="H8" s="22">
        <v>25001</v>
      </c>
      <c r="I8" s="24">
        <v>75000</v>
      </c>
      <c r="J8" s="22">
        <v>75001</v>
      </c>
      <c r="K8" s="24">
        <v>125000</v>
      </c>
      <c r="L8" s="22">
        <v>125001</v>
      </c>
      <c r="M8" s="24">
        <v>175000</v>
      </c>
      <c r="N8" s="22">
        <v>175001</v>
      </c>
      <c r="O8" s="24">
        <v>225000</v>
      </c>
      <c r="P8" s="22">
        <v>225001</v>
      </c>
      <c r="Q8" s="24">
        <v>275000</v>
      </c>
      <c r="R8" s="22">
        <v>275001</v>
      </c>
      <c r="S8" s="25">
        <f>R8+49999</f>
        <v>325000</v>
      </c>
    </row>
    <row r="9" spans="1:19" s="10" customFormat="1" ht="15" x14ac:dyDescent="0.25">
      <c r="A9" s="27"/>
      <c r="B9" s="28" t="s">
        <v>26</v>
      </c>
      <c r="C9" s="29"/>
      <c r="D9" s="81"/>
      <c r="E9" s="231" t="s">
        <v>27</v>
      </c>
      <c r="F9" s="232"/>
      <c r="G9" s="233"/>
      <c r="H9" s="234">
        <v>0</v>
      </c>
      <c r="I9" s="235"/>
      <c r="J9" s="234">
        <v>0</v>
      </c>
      <c r="K9" s="235"/>
      <c r="L9" s="234">
        <v>0</v>
      </c>
      <c r="M9" s="235"/>
      <c r="N9" s="234">
        <v>0</v>
      </c>
      <c r="O9" s="235"/>
      <c r="P9" s="234">
        <v>0</v>
      </c>
      <c r="Q9" s="235"/>
      <c r="R9" s="234">
        <v>0</v>
      </c>
      <c r="S9" s="236"/>
    </row>
    <row r="10" spans="1:19" s="9" customFormat="1" ht="24.75" customHeight="1" x14ac:dyDescent="0.25">
      <c r="A10" s="30"/>
      <c r="C10" s="237" t="s">
        <v>28</v>
      </c>
      <c r="D10" s="238"/>
      <c r="E10" s="31" t="s">
        <v>29</v>
      </c>
      <c r="F10" s="32" t="s">
        <v>30</v>
      </c>
      <c r="G10" s="33" t="s">
        <v>31</v>
      </c>
      <c r="H10" s="31" t="s">
        <v>29</v>
      </c>
      <c r="I10" s="33" t="s">
        <v>32</v>
      </c>
      <c r="J10" s="31" t="s">
        <v>29</v>
      </c>
      <c r="K10" s="33" t="s">
        <v>32</v>
      </c>
      <c r="L10" s="31" t="s">
        <v>29</v>
      </c>
      <c r="M10" s="33" t="s">
        <v>32</v>
      </c>
      <c r="N10" s="31" t="s">
        <v>29</v>
      </c>
      <c r="O10" s="33" t="s">
        <v>32</v>
      </c>
      <c r="P10" s="34" t="s">
        <v>29</v>
      </c>
      <c r="Q10" s="33" t="s">
        <v>32</v>
      </c>
      <c r="R10" s="31" t="s">
        <v>29</v>
      </c>
      <c r="S10" s="35" t="s">
        <v>32</v>
      </c>
    </row>
    <row r="11" spans="1:19" ht="15" x14ac:dyDescent="0.25">
      <c r="A11" s="245" t="s">
        <v>0</v>
      </c>
      <c r="B11" s="246"/>
      <c r="C11" s="239">
        <f>(1448173.09409812)*B21</f>
        <v>1448173.09409812</v>
      </c>
      <c r="D11" s="240"/>
      <c r="E11" s="37" t="s">
        <v>33</v>
      </c>
      <c r="F11" s="38" t="s">
        <v>33</v>
      </c>
      <c r="G11" s="39" t="s">
        <v>33</v>
      </c>
      <c r="H11" s="40">
        <f>6.70447034958602*B21</f>
        <v>6.7044703495860203</v>
      </c>
      <c r="I11" s="41">
        <f>MAX(ROUND((H$9-25000)*H11,2),0)</f>
        <v>0</v>
      </c>
      <c r="J11" s="40">
        <f>3.69948392533233*B21</f>
        <v>3.6994839253323302</v>
      </c>
      <c r="K11" s="41">
        <f>MAX(ROUND((J$9-25000)*J11,2),0)</f>
        <v>0</v>
      </c>
      <c r="L11" s="40">
        <f>2.8107106807259*B21</f>
        <v>2.8107106807258999</v>
      </c>
      <c r="M11" s="41">
        <f>MAX(ROUND((L$9-25000)*L11,2),0)</f>
        <v>0</v>
      </c>
      <c r="N11" s="40">
        <f>2.64253129428121*B21</f>
        <v>2.64253129428121</v>
      </c>
      <c r="O11" s="41">
        <f>MAX(ROUND((N$9-25000)*N11,2),0)</f>
        <v>0</v>
      </c>
      <c r="P11" s="40">
        <f>2.50620098926851*B21</f>
        <v>2.50620098926851</v>
      </c>
      <c r="Q11" s="41">
        <f>MAX(ROUND((P$9-25000)*P11,2),0)</f>
        <v>0</v>
      </c>
      <c r="R11" s="40">
        <f>2.25241720897889*B21</f>
        <v>2.2524172089788901</v>
      </c>
      <c r="S11" s="42">
        <f>MAX(ROUND((R$9-25000)*R11,2),0)</f>
        <v>0</v>
      </c>
    </row>
    <row r="12" spans="1:19" s="48" customFormat="1" ht="15" x14ac:dyDescent="0.25">
      <c r="A12" s="83" t="s">
        <v>110</v>
      </c>
      <c r="C12" s="243">
        <f>C11</f>
        <v>1448173.09409812</v>
      </c>
      <c r="D12" s="244"/>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2"/>
      <c r="S13" s="13"/>
    </row>
    <row r="14" spans="1:19" ht="15.75" thickBot="1" x14ac:dyDescent="0.3">
      <c r="A14" s="229" t="s">
        <v>133</v>
      </c>
      <c r="B14" s="230"/>
      <c r="C14" s="82">
        <f>SUM(E12:S12)+C12</f>
        <v>1448173.09409812</v>
      </c>
      <c r="D14" s="14"/>
      <c r="E14" s="43"/>
      <c r="Q14" s="10"/>
      <c r="S14" s="13"/>
    </row>
    <row r="15" spans="1:19" x14ac:dyDescent="0.2">
      <c r="A15" s="12"/>
      <c r="S15" s="13"/>
    </row>
    <row r="16" spans="1:19" ht="15" x14ac:dyDescent="0.25">
      <c r="A16" s="90" t="s">
        <v>111</v>
      </c>
      <c r="B16" s="91"/>
      <c r="S16" s="13"/>
    </row>
    <row r="17" spans="1:19" ht="15" x14ac:dyDescent="0.25">
      <c r="A17" s="92" t="s">
        <v>112</v>
      </c>
      <c r="B17" s="93">
        <v>0</v>
      </c>
      <c r="S17" s="13"/>
    </row>
    <row r="18" spans="1:19" ht="15" x14ac:dyDescent="0.25">
      <c r="A18" s="92" t="s">
        <v>113</v>
      </c>
      <c r="B18" s="93">
        <v>0</v>
      </c>
      <c r="S18" s="13"/>
    </row>
    <row r="19" spans="1:19" ht="15" x14ac:dyDescent="0.25">
      <c r="A19" s="92" t="s">
        <v>114</v>
      </c>
      <c r="B19" s="93">
        <f>B18-B17</f>
        <v>0</v>
      </c>
      <c r="S19" s="13"/>
    </row>
    <row r="20" spans="1:19" ht="15" x14ac:dyDescent="0.25">
      <c r="A20" s="92" t="s">
        <v>116</v>
      </c>
      <c r="B20" s="93">
        <f>IFERROR(B19/B17,0)</f>
        <v>0</v>
      </c>
      <c r="S20" s="13"/>
    </row>
    <row r="21" spans="1:19" ht="15" x14ac:dyDescent="0.25">
      <c r="A21" s="92" t="s">
        <v>115</v>
      </c>
      <c r="B21" s="93">
        <f>B20+1</f>
        <v>1</v>
      </c>
      <c r="S21" s="13"/>
    </row>
    <row r="22" spans="1:19" x14ac:dyDescent="0.2">
      <c r="A22" s="12"/>
      <c r="S22" s="13"/>
    </row>
    <row r="23" spans="1:19" x14ac:dyDescent="0.2">
      <c r="A23" s="12" t="s">
        <v>34</v>
      </c>
      <c r="C23" s="49">
        <v>0.03</v>
      </c>
      <c r="S23" s="13"/>
    </row>
    <row r="24" spans="1:19" x14ac:dyDescent="0.2">
      <c r="A24" s="12" t="s">
        <v>35</v>
      </c>
      <c r="C24" s="50">
        <f>(7.24086547049058)*B21</f>
        <v>7.2408654704905802</v>
      </c>
      <c r="J24" s="51"/>
      <c r="S24" s="13"/>
    </row>
    <row r="25" spans="1:19" ht="15" thickBot="1" x14ac:dyDescent="0.25">
      <c r="A25" s="52" t="s">
        <v>36</v>
      </c>
      <c r="B25" s="53"/>
      <c r="C25" s="53"/>
      <c r="D25" s="53"/>
      <c r="E25" s="53"/>
      <c r="F25" s="53"/>
      <c r="G25" s="53"/>
      <c r="H25" s="79">
        <v>1</v>
      </c>
      <c r="I25" s="53"/>
      <c r="J25" s="79">
        <v>1</v>
      </c>
      <c r="K25" s="53"/>
      <c r="L25" s="79">
        <v>1</v>
      </c>
      <c r="M25" s="53"/>
      <c r="N25" s="79">
        <v>1</v>
      </c>
      <c r="O25" s="53"/>
      <c r="P25" s="79">
        <v>1</v>
      </c>
      <c r="Q25" s="53"/>
      <c r="R25" s="79">
        <v>1</v>
      </c>
      <c r="S25" s="55"/>
    </row>
    <row r="36" spans="3:3" x14ac:dyDescent="0.2">
      <c r="C36" s="65"/>
    </row>
  </sheetData>
  <mergeCells count="22">
    <mergeCell ref="R9:S9"/>
    <mergeCell ref="C10:D10"/>
    <mergeCell ref="C11:D11"/>
    <mergeCell ref="C12:D12"/>
    <mergeCell ref="N9:O9"/>
    <mergeCell ref="P9:Q9"/>
    <mergeCell ref="L9:M9"/>
    <mergeCell ref="A11:B11"/>
    <mergeCell ref="A14:B14"/>
    <mergeCell ref="E9:G9"/>
    <mergeCell ref="H9:I9"/>
    <mergeCell ref="J9:K9"/>
    <mergeCell ref="A1:S1"/>
    <mergeCell ref="A4:S4"/>
    <mergeCell ref="C6:D6"/>
    <mergeCell ref="E6:G6"/>
    <mergeCell ref="H6:I6"/>
    <mergeCell ref="J6:K6"/>
    <mergeCell ref="L6:M6"/>
    <mergeCell ref="N6:O6"/>
    <mergeCell ref="P6:Q6"/>
    <mergeCell ref="R6:S6"/>
  </mergeCells>
  <hyperlinks>
    <hyperlink ref="H1" location="Index" display="Back to Index" xr:uid="{00000000-0004-0000-0900-000000000000}"/>
  </hyperlinks>
  <pageMargins left="0.25" right="0.25" top="0.25" bottom="0.25" header="0.3" footer="0.3"/>
  <pageSetup scale="42" fitToHeight="0" orientation="landscape" r:id="rId1"/>
  <headerFooter>
    <oddFooter>&amp;L&amp;G&amp;RPage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Y33"/>
  <sheetViews>
    <sheetView zoomScale="90" zoomScaleNormal="90" workbookViewId="0">
      <selection activeCell="K31" sqref="K31"/>
    </sheetView>
  </sheetViews>
  <sheetFormatPr defaultColWidth="9.140625" defaultRowHeight="14.25" x14ac:dyDescent="0.2"/>
  <cols>
    <col min="1" max="1" width="46.7109375" style="2" customWidth="1"/>
    <col min="2" max="2" width="11.5703125" style="2" customWidth="1"/>
    <col min="3" max="3" width="23.7109375" style="2" customWidth="1"/>
    <col min="4" max="4" width="21.7109375" style="2" customWidth="1"/>
    <col min="5" max="7" width="12.7109375" style="2" customWidth="1"/>
    <col min="8" max="8" width="13.7109375" style="2" bestFit="1" customWidth="1"/>
    <col min="9" max="9" width="17.7109375" style="2" bestFit="1" customWidth="1"/>
    <col min="10" max="10" width="17.140625" style="2" bestFit="1" customWidth="1"/>
    <col min="11" max="11" width="14.28515625" style="2" bestFit="1" customWidth="1"/>
    <col min="12" max="12" width="17.28515625" style="2" customWidth="1"/>
    <col min="13" max="13" width="17.140625" style="2" bestFit="1" customWidth="1"/>
    <col min="14" max="14" width="12.7109375" style="2" customWidth="1"/>
    <col min="15" max="15" width="17.7109375" style="2" bestFit="1" customWidth="1"/>
    <col min="16" max="16" width="17.140625" style="2" bestFit="1" customWidth="1"/>
    <col min="17" max="17" width="12.7109375" style="2" customWidth="1"/>
    <col min="18" max="18" width="17.7109375" style="2" bestFit="1" customWidth="1"/>
    <col min="19" max="19" width="17.140625" style="2" bestFit="1" customWidth="1"/>
    <col min="20" max="20" width="12.7109375" style="2" customWidth="1"/>
    <col min="21" max="21" width="19.7109375" style="2" bestFit="1" customWidth="1"/>
    <col min="22" max="22" width="17.140625" style="2" bestFit="1" customWidth="1"/>
    <col min="23" max="23" width="12.7109375" style="2" customWidth="1"/>
    <col min="24" max="24" width="17.7109375" style="2" bestFit="1" customWidth="1"/>
    <col min="25" max="25" width="17.140625" style="2" bestFit="1" customWidth="1"/>
    <col min="26" max="16384" width="9.140625" style="2"/>
  </cols>
  <sheetData>
    <row r="1" spans="1:25" ht="35.25" customHeight="1" x14ac:dyDescent="0.25">
      <c r="A1" s="220" t="s">
        <v>56</v>
      </c>
      <c r="B1" s="247"/>
      <c r="C1" s="247"/>
      <c r="D1" s="247"/>
      <c r="E1" s="247"/>
      <c r="F1" s="247"/>
      <c r="G1" s="247"/>
      <c r="H1" s="248"/>
      <c r="I1" s="247"/>
      <c r="J1" s="247"/>
      <c r="K1" s="247"/>
      <c r="L1" s="247"/>
      <c r="M1" s="247"/>
      <c r="N1" s="247"/>
      <c r="O1" s="247"/>
      <c r="P1" s="247"/>
      <c r="Q1" s="247"/>
      <c r="R1" s="247"/>
      <c r="S1" s="247"/>
    </row>
    <row r="2" spans="1:25" x14ac:dyDescent="0.2">
      <c r="A2" s="11"/>
    </row>
    <row r="3" spans="1:25" ht="15" thickBot="1" x14ac:dyDescent="0.25"/>
    <row r="4" spans="1:25" ht="15" x14ac:dyDescent="0.25">
      <c r="A4" s="222" t="s">
        <v>137</v>
      </c>
      <c r="B4" s="223"/>
      <c r="C4" s="223"/>
      <c r="D4" s="223"/>
      <c r="E4" s="223"/>
      <c r="F4" s="223"/>
      <c r="G4" s="223"/>
      <c r="H4" s="223"/>
      <c r="I4" s="223"/>
      <c r="J4" s="223"/>
      <c r="K4" s="223"/>
      <c r="L4" s="223"/>
      <c r="M4" s="223"/>
      <c r="N4" s="223"/>
      <c r="O4" s="223"/>
      <c r="P4" s="223"/>
      <c r="Q4" s="223"/>
      <c r="R4" s="223"/>
      <c r="S4" s="223"/>
      <c r="T4" s="223"/>
      <c r="U4" s="223"/>
      <c r="V4" s="223"/>
      <c r="W4" s="223"/>
      <c r="X4" s="223"/>
      <c r="Y4" s="224"/>
    </row>
    <row r="5" spans="1:25" x14ac:dyDescent="0.2">
      <c r="A5" s="12"/>
      <c r="Y5" s="13"/>
    </row>
    <row r="6" spans="1:25" ht="15" x14ac:dyDescent="0.25">
      <c r="A6" s="12"/>
      <c r="B6" s="14" t="s">
        <v>8</v>
      </c>
      <c r="C6" s="225" t="s">
        <v>9</v>
      </c>
      <c r="D6" s="226"/>
      <c r="E6" s="225" t="s">
        <v>10</v>
      </c>
      <c r="F6" s="227"/>
      <c r="G6" s="226"/>
      <c r="H6" s="225" t="s">
        <v>11</v>
      </c>
      <c r="I6" s="227"/>
      <c r="J6" s="226"/>
      <c r="K6" s="225" t="s">
        <v>12</v>
      </c>
      <c r="L6" s="227"/>
      <c r="M6" s="226"/>
      <c r="N6" s="225" t="s">
        <v>13</v>
      </c>
      <c r="O6" s="227"/>
      <c r="P6" s="226"/>
      <c r="Q6" s="225" t="s">
        <v>14</v>
      </c>
      <c r="R6" s="227"/>
      <c r="S6" s="226"/>
      <c r="T6" s="225" t="s">
        <v>15</v>
      </c>
      <c r="U6" s="227"/>
      <c r="V6" s="226"/>
      <c r="W6" s="225" t="s">
        <v>16</v>
      </c>
      <c r="X6" s="227"/>
      <c r="Y6" s="228"/>
    </row>
    <row r="7" spans="1:25" ht="15" hidden="1" x14ac:dyDescent="0.25">
      <c r="A7" s="12"/>
      <c r="B7" s="14" t="s">
        <v>17</v>
      </c>
      <c r="C7" s="15"/>
      <c r="D7" s="16"/>
      <c r="E7" s="17" t="s">
        <v>18</v>
      </c>
      <c r="G7" s="18"/>
      <c r="H7" s="17" t="s">
        <v>19</v>
      </c>
      <c r="J7" s="18"/>
      <c r="K7" s="17" t="s">
        <v>20</v>
      </c>
      <c r="M7" s="18"/>
      <c r="N7" s="17" t="s">
        <v>21</v>
      </c>
      <c r="P7" s="18"/>
      <c r="Q7" s="17" t="s">
        <v>22</v>
      </c>
      <c r="S7" s="18"/>
      <c r="T7" s="17" t="s">
        <v>23</v>
      </c>
      <c r="V7" s="18"/>
      <c r="W7" s="17" t="s">
        <v>24</v>
      </c>
      <c r="Y7" s="13"/>
    </row>
    <row r="8" spans="1:25" s="26" customFormat="1" ht="15" x14ac:dyDescent="0.25">
      <c r="A8" s="19"/>
      <c r="B8" s="14" t="s">
        <v>25</v>
      </c>
      <c r="C8" s="20">
        <v>0</v>
      </c>
      <c r="D8" s="21">
        <v>25000</v>
      </c>
      <c r="E8" s="22">
        <v>0</v>
      </c>
      <c r="F8" s="23"/>
      <c r="G8" s="24">
        <v>25000</v>
      </c>
      <c r="H8" s="22">
        <v>25001</v>
      </c>
      <c r="I8" s="23"/>
      <c r="J8" s="24">
        <v>75000</v>
      </c>
      <c r="K8" s="22">
        <v>75001</v>
      </c>
      <c r="L8" s="23"/>
      <c r="M8" s="24">
        <v>125000</v>
      </c>
      <c r="N8" s="22">
        <v>125001</v>
      </c>
      <c r="O8" s="23"/>
      <c r="P8" s="24">
        <v>175000</v>
      </c>
      <c r="Q8" s="22">
        <v>175001</v>
      </c>
      <c r="R8" s="23"/>
      <c r="S8" s="24">
        <v>225000</v>
      </c>
      <c r="T8" s="22">
        <v>225001</v>
      </c>
      <c r="U8" s="23"/>
      <c r="V8" s="24">
        <v>275000</v>
      </c>
      <c r="W8" s="22">
        <v>275001</v>
      </c>
      <c r="X8" s="23"/>
      <c r="Y8" s="25">
        <f>W8+49999</f>
        <v>325000</v>
      </c>
    </row>
    <row r="9" spans="1:25" s="10" customFormat="1" ht="15" x14ac:dyDescent="0.25">
      <c r="A9" s="27"/>
      <c r="B9" s="28" t="s">
        <v>26</v>
      </c>
      <c r="C9" s="29"/>
      <c r="D9" s="81"/>
      <c r="E9" s="231" t="s">
        <v>27</v>
      </c>
      <c r="F9" s="232"/>
      <c r="G9" s="233"/>
      <c r="H9" s="234">
        <v>0</v>
      </c>
      <c r="I9" s="249"/>
      <c r="J9" s="235"/>
      <c r="K9" s="234">
        <v>0</v>
      </c>
      <c r="L9" s="249"/>
      <c r="M9" s="235"/>
      <c r="N9" s="234">
        <v>0</v>
      </c>
      <c r="O9" s="249"/>
      <c r="P9" s="235"/>
      <c r="Q9" s="234">
        <v>0</v>
      </c>
      <c r="R9" s="249"/>
      <c r="S9" s="235"/>
      <c r="T9" s="234">
        <v>0</v>
      </c>
      <c r="U9" s="249"/>
      <c r="V9" s="235"/>
      <c r="W9" s="234">
        <v>0</v>
      </c>
      <c r="X9" s="249"/>
      <c r="Y9" s="236"/>
    </row>
    <row r="10" spans="1:25" s="9" customFormat="1" ht="24.75" x14ac:dyDescent="0.25">
      <c r="A10" s="30" t="s">
        <v>37</v>
      </c>
      <c r="C10" s="31" t="s">
        <v>38</v>
      </c>
      <c r="D10" s="33" t="s">
        <v>39</v>
      </c>
      <c r="E10" s="31" t="s">
        <v>29</v>
      </c>
      <c r="F10" s="32" t="s">
        <v>30</v>
      </c>
      <c r="G10" s="33" t="s">
        <v>31</v>
      </c>
      <c r="H10" s="31" t="s">
        <v>29</v>
      </c>
      <c r="I10" s="32" t="s">
        <v>30</v>
      </c>
      <c r="J10" s="33" t="s">
        <v>31</v>
      </c>
      <c r="K10" s="31" t="s">
        <v>29</v>
      </c>
      <c r="L10" s="32" t="s">
        <v>30</v>
      </c>
      <c r="M10" s="33" t="s">
        <v>31</v>
      </c>
      <c r="N10" s="31" t="s">
        <v>29</v>
      </c>
      <c r="O10" s="32" t="s">
        <v>30</v>
      </c>
      <c r="P10" s="33" t="s">
        <v>31</v>
      </c>
      <c r="Q10" s="31" t="s">
        <v>29</v>
      </c>
      <c r="R10" s="32" t="s">
        <v>30</v>
      </c>
      <c r="S10" s="33" t="s">
        <v>31</v>
      </c>
      <c r="T10" s="31" t="s">
        <v>29</v>
      </c>
      <c r="U10" s="32" t="s">
        <v>30</v>
      </c>
      <c r="V10" s="33" t="s">
        <v>31</v>
      </c>
      <c r="W10" s="31" t="s">
        <v>29</v>
      </c>
      <c r="X10" s="32" t="s">
        <v>30</v>
      </c>
      <c r="Y10" s="35" t="s">
        <v>31</v>
      </c>
    </row>
    <row r="11" spans="1:25" x14ac:dyDescent="0.2">
      <c r="A11" s="250" t="s">
        <v>40</v>
      </c>
      <c r="B11" s="251"/>
      <c r="C11" s="61">
        <f>(51398.5007072552)*B29</f>
        <v>51398.500707255203</v>
      </c>
      <c r="D11" s="41">
        <f t="shared" ref="D11:D19" si="0">C11*12</f>
        <v>616782.00848706241</v>
      </c>
      <c r="E11" s="37" t="s">
        <v>33</v>
      </c>
      <c r="F11" s="37" t="s">
        <v>33</v>
      </c>
      <c r="G11" s="37" t="s">
        <v>33</v>
      </c>
      <c r="H11" s="40">
        <f>0.481883806376495*$B$29</f>
        <v>0.48188380637649503</v>
      </c>
      <c r="I11" s="43">
        <f t="shared" ref="I11:I19" si="1">MAX(ROUND((H$9-25000)*H11,2),0)</f>
        <v>0</v>
      </c>
      <c r="J11" s="41">
        <f>I11*12</f>
        <v>0</v>
      </c>
      <c r="K11" s="40">
        <f>0.268685491367316*$B$29</f>
        <v>0.26868549136731601</v>
      </c>
      <c r="L11" s="43">
        <f t="shared" ref="L11:L19" si="2">MAX(ROUND((K$9-25000)*K11,2),0)</f>
        <v>0</v>
      </c>
      <c r="M11" s="41">
        <f t="shared" ref="M11:M19" si="3">L11*12</f>
        <v>0</v>
      </c>
      <c r="N11" s="40">
        <f>0.203729986714883*$B$29</f>
        <v>0.20372998671488299</v>
      </c>
      <c r="O11" s="43">
        <f t="shared" ref="O11:O19" si="4">MAX(ROUND((N$9-25000)*N11,2),0)</f>
        <v>0</v>
      </c>
      <c r="P11" s="41">
        <f t="shared" ref="P11:P19" si="5">O11*12</f>
        <v>0</v>
      </c>
      <c r="Q11" s="40">
        <f>0.191153479952615*$B$29</f>
        <v>0.191153479952615</v>
      </c>
      <c r="R11" s="43">
        <f t="shared" ref="R11:R19" si="6">MAX(ROUND((Q$9-25000)*Q11,2),0)</f>
        <v>0</v>
      </c>
      <c r="S11" s="41">
        <f t="shared" ref="S11:S19" si="7">R11*12</f>
        <v>0</v>
      </c>
      <c r="T11" s="40">
        <f>0.18234344835555*$B$29</f>
        <v>0.18234344835555</v>
      </c>
      <c r="U11" s="43">
        <f t="shared" ref="U11:U19" si="8">MAX(ROUND((T$9-25000)*T11,2),0)</f>
        <v>0</v>
      </c>
      <c r="V11" s="41">
        <f t="shared" ref="V11:V19" si="9">U11*12</f>
        <v>0</v>
      </c>
      <c r="W11" s="40">
        <f>0.163700876562757*$B$29</f>
        <v>0.163700876562757</v>
      </c>
      <c r="X11" s="43">
        <f t="shared" ref="X11:X19" si="10">MAX(ROUND((W$9-25000)*W11,2),0)</f>
        <v>0</v>
      </c>
      <c r="Y11" s="42">
        <f t="shared" ref="Y11:Y19" si="11">X11*12</f>
        <v>0</v>
      </c>
    </row>
    <row r="12" spans="1:25" x14ac:dyDescent="0.2">
      <c r="A12" s="250" t="s">
        <v>41</v>
      </c>
      <c r="B12" s="251"/>
      <c r="C12" s="61">
        <f>52489.1210276552*B29</f>
        <v>52489.121027655201</v>
      </c>
      <c r="D12" s="41">
        <f t="shared" si="0"/>
        <v>629869.45233186241</v>
      </c>
      <c r="E12" s="37" t="s">
        <v>33</v>
      </c>
      <c r="F12" s="37" t="s">
        <v>33</v>
      </c>
      <c r="G12" s="37" t="s">
        <v>33</v>
      </c>
      <c r="H12" s="40">
        <f t="shared" ref="H12:H19" si="12">0.481883806376495*$B$29</f>
        <v>0.48188380637649503</v>
      </c>
      <c r="I12" s="43">
        <f t="shared" si="1"/>
        <v>0</v>
      </c>
      <c r="J12" s="41">
        <f t="shared" ref="J12:J19" si="13">I12*12</f>
        <v>0</v>
      </c>
      <c r="K12" s="40">
        <f t="shared" ref="K12:K19" si="14">0.268685491367316*$B$29</f>
        <v>0.26868549136731601</v>
      </c>
      <c r="L12" s="43">
        <f t="shared" si="2"/>
        <v>0</v>
      </c>
      <c r="M12" s="41">
        <f t="shared" si="3"/>
        <v>0</v>
      </c>
      <c r="N12" s="40">
        <f t="shared" ref="N12:N19" si="15">0.203729986714883*$B$29</f>
        <v>0.20372998671488299</v>
      </c>
      <c r="O12" s="43">
        <f t="shared" si="4"/>
        <v>0</v>
      </c>
      <c r="P12" s="41">
        <f t="shared" si="5"/>
        <v>0</v>
      </c>
      <c r="Q12" s="40">
        <f t="shared" ref="Q12:Q19" si="16">0.191153479952615*$B$29</f>
        <v>0.191153479952615</v>
      </c>
      <c r="R12" s="43">
        <f t="shared" si="6"/>
        <v>0</v>
      </c>
      <c r="S12" s="41">
        <f t="shared" si="7"/>
        <v>0</v>
      </c>
      <c r="T12" s="40">
        <f t="shared" ref="T12:T19" si="17">0.18234344835555*$B$29</f>
        <v>0.18234344835555</v>
      </c>
      <c r="U12" s="43">
        <f t="shared" si="8"/>
        <v>0</v>
      </c>
      <c r="V12" s="41">
        <f t="shared" si="9"/>
        <v>0</v>
      </c>
      <c r="W12" s="40">
        <f t="shared" ref="W12:W19" si="18">0.163700876562757*$B$29</f>
        <v>0.163700876562757</v>
      </c>
      <c r="X12" s="43">
        <f t="shared" si="10"/>
        <v>0</v>
      </c>
      <c r="Y12" s="42">
        <f t="shared" si="11"/>
        <v>0</v>
      </c>
    </row>
    <row r="13" spans="1:25" x14ac:dyDescent="0.2">
      <c r="A13" s="250" t="s">
        <v>42</v>
      </c>
      <c r="B13" s="251"/>
      <c r="C13" s="61">
        <f>53612.4599576672*B29</f>
        <v>53612.459957667197</v>
      </c>
      <c r="D13" s="41">
        <f t="shared" si="0"/>
        <v>643349.5194920064</v>
      </c>
      <c r="E13" s="37" t="s">
        <v>33</v>
      </c>
      <c r="F13" s="37" t="s">
        <v>33</v>
      </c>
      <c r="G13" s="37" t="s">
        <v>33</v>
      </c>
      <c r="H13" s="40">
        <f t="shared" si="12"/>
        <v>0.48188380637649503</v>
      </c>
      <c r="I13" s="43">
        <f t="shared" si="1"/>
        <v>0</v>
      </c>
      <c r="J13" s="41">
        <f t="shared" si="13"/>
        <v>0</v>
      </c>
      <c r="K13" s="40">
        <f t="shared" si="14"/>
        <v>0.26868549136731601</v>
      </c>
      <c r="L13" s="43">
        <f t="shared" si="2"/>
        <v>0</v>
      </c>
      <c r="M13" s="41">
        <f t="shared" si="3"/>
        <v>0</v>
      </c>
      <c r="N13" s="40">
        <f t="shared" si="15"/>
        <v>0.20372998671488299</v>
      </c>
      <c r="O13" s="43">
        <f t="shared" si="4"/>
        <v>0</v>
      </c>
      <c r="P13" s="41">
        <f t="shared" si="5"/>
        <v>0</v>
      </c>
      <c r="Q13" s="40">
        <f t="shared" si="16"/>
        <v>0.191153479952615</v>
      </c>
      <c r="R13" s="43">
        <f t="shared" si="6"/>
        <v>0</v>
      </c>
      <c r="S13" s="41">
        <f t="shared" si="7"/>
        <v>0</v>
      </c>
      <c r="T13" s="40">
        <f t="shared" si="17"/>
        <v>0.18234344835555</v>
      </c>
      <c r="U13" s="43">
        <f t="shared" si="8"/>
        <v>0</v>
      </c>
      <c r="V13" s="41">
        <f t="shared" si="9"/>
        <v>0</v>
      </c>
      <c r="W13" s="40">
        <f t="shared" si="18"/>
        <v>0.163700876562757</v>
      </c>
      <c r="X13" s="43">
        <f t="shared" si="10"/>
        <v>0</v>
      </c>
      <c r="Y13" s="42">
        <f t="shared" si="11"/>
        <v>0</v>
      </c>
    </row>
    <row r="14" spans="1:25" x14ac:dyDescent="0.2">
      <c r="A14" s="250" t="s">
        <v>43</v>
      </c>
      <c r="B14" s="251"/>
      <c r="C14" s="61">
        <f>54769.4990555795*B29</f>
        <v>54769.499055579501</v>
      </c>
      <c r="D14" s="41">
        <f t="shared" si="0"/>
        <v>657233.98866695398</v>
      </c>
      <c r="E14" s="37" t="s">
        <v>33</v>
      </c>
      <c r="F14" s="37" t="s">
        <v>33</v>
      </c>
      <c r="G14" s="37" t="s">
        <v>33</v>
      </c>
      <c r="H14" s="40">
        <f t="shared" si="12"/>
        <v>0.48188380637649503</v>
      </c>
      <c r="I14" s="43">
        <f t="shared" si="1"/>
        <v>0</v>
      </c>
      <c r="J14" s="41">
        <f t="shared" si="13"/>
        <v>0</v>
      </c>
      <c r="K14" s="40">
        <f t="shared" si="14"/>
        <v>0.26868549136731601</v>
      </c>
      <c r="L14" s="43">
        <f t="shared" si="2"/>
        <v>0</v>
      </c>
      <c r="M14" s="41">
        <f t="shared" si="3"/>
        <v>0</v>
      </c>
      <c r="N14" s="40">
        <f t="shared" si="15"/>
        <v>0.20372998671488299</v>
      </c>
      <c r="O14" s="43">
        <f t="shared" si="4"/>
        <v>0</v>
      </c>
      <c r="P14" s="41">
        <f t="shared" si="5"/>
        <v>0</v>
      </c>
      <c r="Q14" s="40">
        <f t="shared" si="16"/>
        <v>0.191153479952615</v>
      </c>
      <c r="R14" s="43">
        <f t="shared" si="6"/>
        <v>0</v>
      </c>
      <c r="S14" s="41">
        <f t="shared" si="7"/>
        <v>0</v>
      </c>
      <c r="T14" s="40">
        <f t="shared" si="17"/>
        <v>0.18234344835555</v>
      </c>
      <c r="U14" s="43">
        <f t="shared" si="8"/>
        <v>0</v>
      </c>
      <c r="V14" s="41">
        <f t="shared" si="9"/>
        <v>0</v>
      </c>
      <c r="W14" s="40">
        <f t="shared" si="18"/>
        <v>0.163700876562757</v>
      </c>
      <c r="X14" s="43">
        <f t="shared" si="10"/>
        <v>0</v>
      </c>
      <c r="Y14" s="42">
        <f t="shared" si="11"/>
        <v>0</v>
      </c>
    </row>
    <row r="15" spans="1:25" x14ac:dyDescent="0.2">
      <c r="A15" s="250" t="s">
        <v>44</v>
      </c>
      <c r="B15" s="251"/>
      <c r="C15" s="61">
        <f>55961.2493264292*B29</f>
        <v>55961.249326429199</v>
      </c>
      <c r="D15" s="41">
        <f t="shared" si="0"/>
        <v>671534.99191715033</v>
      </c>
      <c r="E15" s="37" t="s">
        <v>33</v>
      </c>
      <c r="F15" s="37" t="s">
        <v>33</v>
      </c>
      <c r="G15" s="37" t="s">
        <v>33</v>
      </c>
      <c r="H15" s="40">
        <f t="shared" si="12"/>
        <v>0.48188380637649503</v>
      </c>
      <c r="I15" s="43">
        <f t="shared" si="1"/>
        <v>0</v>
      </c>
      <c r="J15" s="41">
        <f t="shared" si="13"/>
        <v>0</v>
      </c>
      <c r="K15" s="40">
        <f t="shared" si="14"/>
        <v>0.26868549136731601</v>
      </c>
      <c r="L15" s="43">
        <f t="shared" si="2"/>
        <v>0</v>
      </c>
      <c r="M15" s="41">
        <f t="shared" si="3"/>
        <v>0</v>
      </c>
      <c r="N15" s="40">
        <f t="shared" si="15"/>
        <v>0.20372998671488299</v>
      </c>
      <c r="O15" s="43">
        <f t="shared" si="4"/>
        <v>0</v>
      </c>
      <c r="P15" s="41">
        <f t="shared" si="5"/>
        <v>0</v>
      </c>
      <c r="Q15" s="40">
        <f t="shared" si="16"/>
        <v>0.191153479952615</v>
      </c>
      <c r="R15" s="43">
        <f t="shared" si="6"/>
        <v>0</v>
      </c>
      <c r="S15" s="41">
        <f t="shared" si="7"/>
        <v>0</v>
      </c>
      <c r="T15" s="40">
        <f t="shared" si="17"/>
        <v>0.18234344835555</v>
      </c>
      <c r="U15" s="43">
        <f t="shared" si="8"/>
        <v>0</v>
      </c>
      <c r="V15" s="41">
        <f t="shared" si="9"/>
        <v>0</v>
      </c>
      <c r="W15" s="40">
        <f t="shared" si="18"/>
        <v>0.163700876562757</v>
      </c>
      <c r="X15" s="43">
        <f t="shared" si="10"/>
        <v>0</v>
      </c>
      <c r="Y15" s="42">
        <f t="shared" si="11"/>
        <v>0</v>
      </c>
    </row>
    <row r="16" spans="1:25" x14ac:dyDescent="0.2">
      <c r="A16" s="250" t="s">
        <v>45</v>
      </c>
      <c r="B16" s="251"/>
      <c r="C16" s="61">
        <f>57188.7521054045*B29</f>
        <v>57188.752105404499</v>
      </c>
      <c r="D16" s="41">
        <f t="shared" si="0"/>
        <v>686265.02526485396</v>
      </c>
      <c r="E16" s="37" t="s">
        <v>33</v>
      </c>
      <c r="F16" s="37" t="s">
        <v>33</v>
      </c>
      <c r="G16" s="37" t="s">
        <v>33</v>
      </c>
      <c r="H16" s="40">
        <f t="shared" si="12"/>
        <v>0.48188380637649503</v>
      </c>
      <c r="I16" s="43">
        <f t="shared" si="1"/>
        <v>0</v>
      </c>
      <c r="J16" s="41">
        <f t="shared" si="13"/>
        <v>0</v>
      </c>
      <c r="K16" s="40">
        <f t="shared" si="14"/>
        <v>0.26868549136731601</v>
      </c>
      <c r="L16" s="43">
        <f t="shared" si="2"/>
        <v>0</v>
      </c>
      <c r="M16" s="41">
        <f t="shared" si="3"/>
        <v>0</v>
      </c>
      <c r="N16" s="40">
        <f t="shared" si="15"/>
        <v>0.20372998671488299</v>
      </c>
      <c r="O16" s="43">
        <f t="shared" si="4"/>
        <v>0</v>
      </c>
      <c r="P16" s="41">
        <f t="shared" si="5"/>
        <v>0</v>
      </c>
      <c r="Q16" s="40">
        <f t="shared" si="16"/>
        <v>0.191153479952615</v>
      </c>
      <c r="R16" s="43">
        <f t="shared" si="6"/>
        <v>0</v>
      </c>
      <c r="S16" s="41">
        <f t="shared" si="7"/>
        <v>0</v>
      </c>
      <c r="T16" s="40">
        <f t="shared" si="17"/>
        <v>0.18234344835555</v>
      </c>
      <c r="U16" s="43">
        <f t="shared" si="8"/>
        <v>0</v>
      </c>
      <c r="V16" s="41">
        <f t="shared" si="9"/>
        <v>0</v>
      </c>
      <c r="W16" s="40">
        <f t="shared" si="18"/>
        <v>0.163700876562757</v>
      </c>
      <c r="X16" s="43">
        <f t="shared" si="10"/>
        <v>0</v>
      </c>
      <c r="Y16" s="42">
        <f t="shared" si="11"/>
        <v>0</v>
      </c>
    </row>
    <row r="17" spans="1:25" x14ac:dyDescent="0.2">
      <c r="A17" s="250" t="s">
        <v>46</v>
      </c>
      <c r="B17" s="251"/>
      <c r="C17" s="61">
        <f>58453.0799677489*B29</f>
        <v>58453.079967748898</v>
      </c>
      <c r="D17" s="41">
        <f t="shared" si="0"/>
        <v>701436.95961298677</v>
      </c>
      <c r="E17" s="37" t="s">
        <v>33</v>
      </c>
      <c r="F17" s="37" t="s">
        <v>33</v>
      </c>
      <c r="G17" s="37" t="s">
        <v>33</v>
      </c>
      <c r="H17" s="40">
        <f t="shared" si="12"/>
        <v>0.48188380637649503</v>
      </c>
      <c r="I17" s="43">
        <f t="shared" si="1"/>
        <v>0</v>
      </c>
      <c r="J17" s="41">
        <f t="shared" si="13"/>
        <v>0</v>
      </c>
      <c r="K17" s="40">
        <f t="shared" si="14"/>
        <v>0.26868549136731601</v>
      </c>
      <c r="L17" s="43">
        <f t="shared" si="2"/>
        <v>0</v>
      </c>
      <c r="M17" s="41">
        <f t="shared" si="3"/>
        <v>0</v>
      </c>
      <c r="N17" s="40">
        <f t="shared" si="15"/>
        <v>0.20372998671488299</v>
      </c>
      <c r="O17" s="43">
        <f t="shared" si="4"/>
        <v>0</v>
      </c>
      <c r="P17" s="41">
        <f t="shared" si="5"/>
        <v>0</v>
      </c>
      <c r="Q17" s="40">
        <f t="shared" si="16"/>
        <v>0.191153479952615</v>
      </c>
      <c r="R17" s="43">
        <f t="shared" si="6"/>
        <v>0</v>
      </c>
      <c r="S17" s="41">
        <f t="shared" si="7"/>
        <v>0</v>
      </c>
      <c r="T17" s="40">
        <f t="shared" si="17"/>
        <v>0.18234344835555</v>
      </c>
      <c r="U17" s="43">
        <f t="shared" si="8"/>
        <v>0</v>
      </c>
      <c r="V17" s="41">
        <f t="shared" si="9"/>
        <v>0</v>
      </c>
      <c r="W17" s="40">
        <f t="shared" si="18"/>
        <v>0.163700876562757</v>
      </c>
      <c r="X17" s="43">
        <f t="shared" si="10"/>
        <v>0</v>
      </c>
      <c r="Y17" s="42">
        <f t="shared" si="11"/>
        <v>0</v>
      </c>
    </row>
    <row r="18" spans="1:25" x14ac:dyDescent="0.2">
      <c r="A18" s="250" t="s">
        <v>47</v>
      </c>
      <c r="B18" s="251"/>
      <c r="C18" s="61">
        <f>59755.3376659638*B29</f>
        <v>59755.337665963802</v>
      </c>
      <c r="D18" s="41">
        <f t="shared" si="0"/>
        <v>717064.05199156562</v>
      </c>
      <c r="E18" s="37" t="s">
        <v>33</v>
      </c>
      <c r="F18" s="37" t="s">
        <v>33</v>
      </c>
      <c r="G18" s="37" t="s">
        <v>33</v>
      </c>
      <c r="H18" s="40">
        <f t="shared" si="12"/>
        <v>0.48188380637649503</v>
      </c>
      <c r="I18" s="43">
        <f t="shared" si="1"/>
        <v>0</v>
      </c>
      <c r="J18" s="41">
        <f t="shared" si="13"/>
        <v>0</v>
      </c>
      <c r="K18" s="40">
        <f t="shared" si="14"/>
        <v>0.26868549136731601</v>
      </c>
      <c r="L18" s="43">
        <f t="shared" si="2"/>
        <v>0</v>
      </c>
      <c r="M18" s="41">
        <f t="shared" si="3"/>
        <v>0</v>
      </c>
      <c r="N18" s="40">
        <f t="shared" si="15"/>
        <v>0.20372998671488299</v>
      </c>
      <c r="O18" s="43">
        <f t="shared" si="4"/>
        <v>0</v>
      </c>
      <c r="P18" s="41">
        <f t="shared" si="5"/>
        <v>0</v>
      </c>
      <c r="Q18" s="40">
        <f t="shared" si="16"/>
        <v>0.191153479952615</v>
      </c>
      <c r="R18" s="43">
        <f t="shared" si="6"/>
        <v>0</v>
      </c>
      <c r="S18" s="41">
        <f t="shared" si="7"/>
        <v>0</v>
      </c>
      <c r="T18" s="40">
        <f t="shared" si="17"/>
        <v>0.18234344835555</v>
      </c>
      <c r="U18" s="43">
        <f t="shared" si="8"/>
        <v>0</v>
      </c>
      <c r="V18" s="41">
        <f t="shared" si="9"/>
        <v>0</v>
      </c>
      <c r="W18" s="40">
        <f t="shared" si="18"/>
        <v>0.163700876562757</v>
      </c>
      <c r="X18" s="43">
        <f t="shared" si="10"/>
        <v>0</v>
      </c>
      <c r="Y18" s="42">
        <f t="shared" si="11"/>
        <v>0</v>
      </c>
    </row>
    <row r="19" spans="1:25" x14ac:dyDescent="0.2">
      <c r="A19" s="250" t="s">
        <v>48</v>
      </c>
      <c r="B19" s="251"/>
      <c r="C19" s="61">
        <f>61096.663095125*B29</f>
        <v>61096.663095124997</v>
      </c>
      <c r="D19" s="41">
        <f t="shared" si="0"/>
        <v>733159.95714149997</v>
      </c>
      <c r="E19" s="37" t="s">
        <v>33</v>
      </c>
      <c r="F19" s="37" t="s">
        <v>33</v>
      </c>
      <c r="G19" s="37" t="s">
        <v>33</v>
      </c>
      <c r="H19" s="40">
        <f t="shared" si="12"/>
        <v>0.48188380637649503</v>
      </c>
      <c r="I19" s="43">
        <f t="shared" si="1"/>
        <v>0</v>
      </c>
      <c r="J19" s="41">
        <f t="shared" si="13"/>
        <v>0</v>
      </c>
      <c r="K19" s="40">
        <f t="shared" si="14"/>
        <v>0.26868549136731601</v>
      </c>
      <c r="L19" s="43">
        <f t="shared" si="2"/>
        <v>0</v>
      </c>
      <c r="M19" s="41">
        <f t="shared" si="3"/>
        <v>0</v>
      </c>
      <c r="N19" s="40">
        <f t="shared" si="15"/>
        <v>0.20372998671488299</v>
      </c>
      <c r="O19" s="43">
        <f t="shared" si="4"/>
        <v>0</v>
      </c>
      <c r="P19" s="41">
        <f t="shared" si="5"/>
        <v>0</v>
      </c>
      <c r="Q19" s="40">
        <f t="shared" si="16"/>
        <v>0.191153479952615</v>
      </c>
      <c r="R19" s="43">
        <f t="shared" si="6"/>
        <v>0</v>
      </c>
      <c r="S19" s="41">
        <f t="shared" si="7"/>
        <v>0</v>
      </c>
      <c r="T19" s="40">
        <f t="shared" si="17"/>
        <v>0.18234344835555</v>
      </c>
      <c r="U19" s="43">
        <f t="shared" si="8"/>
        <v>0</v>
      </c>
      <c r="V19" s="41">
        <f t="shared" si="9"/>
        <v>0</v>
      </c>
      <c r="W19" s="40">
        <f t="shared" si="18"/>
        <v>0.163700876562757</v>
      </c>
      <c r="X19" s="43">
        <f t="shared" si="10"/>
        <v>0</v>
      </c>
      <c r="Y19" s="42">
        <f t="shared" si="11"/>
        <v>0</v>
      </c>
    </row>
    <row r="20" spans="1:25" s="48" customFormat="1" ht="15" x14ac:dyDescent="0.25">
      <c r="A20" s="241" t="s">
        <v>135</v>
      </c>
      <c r="B20" s="242"/>
      <c r="C20" s="62"/>
      <c r="D20" s="63">
        <f>SUM(D11:D19)</f>
        <v>6056695.9549059421</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5" thickBot="1" x14ac:dyDescent="0.25">
      <c r="A21" s="12"/>
      <c r="Y21" s="13"/>
    </row>
    <row r="22" spans="1:25" ht="15.75" thickBot="1" x14ac:dyDescent="0.3">
      <c r="A22" s="229" t="s">
        <v>136</v>
      </c>
      <c r="B22" s="230"/>
      <c r="C22" s="82">
        <f>SUM(E20:Y20)+D20</f>
        <v>6056695.9549059421</v>
      </c>
      <c r="D22" s="14"/>
      <c r="E22" s="43"/>
      <c r="V22" s="10"/>
      <c r="Y22" s="13"/>
    </row>
    <row r="23" spans="1:25" x14ac:dyDescent="0.2">
      <c r="A23" s="12"/>
      <c r="K23" s="66"/>
      <c r="L23" s="66"/>
      <c r="Y23" s="13"/>
    </row>
    <row r="24" spans="1:25" ht="15" x14ac:dyDescent="0.25">
      <c r="A24" s="90" t="s">
        <v>111</v>
      </c>
      <c r="B24" s="91"/>
      <c r="K24" s="66"/>
      <c r="L24" s="66"/>
      <c r="Y24" s="13"/>
    </row>
    <row r="25" spans="1:25" ht="15" x14ac:dyDescent="0.25">
      <c r="A25" s="92" t="s">
        <v>112</v>
      </c>
      <c r="B25" s="93">
        <v>0</v>
      </c>
      <c r="K25" s="66"/>
      <c r="L25" s="66"/>
      <c r="Y25" s="13"/>
    </row>
    <row r="26" spans="1:25" ht="15" x14ac:dyDescent="0.25">
      <c r="A26" s="92" t="s">
        <v>113</v>
      </c>
      <c r="B26" s="93">
        <v>0</v>
      </c>
      <c r="K26" s="66"/>
      <c r="L26" s="66"/>
      <c r="Y26" s="13"/>
    </row>
    <row r="27" spans="1:25" ht="15" x14ac:dyDescent="0.25">
      <c r="A27" s="92" t="s">
        <v>114</v>
      </c>
      <c r="B27" s="93">
        <f>B26-B25</f>
        <v>0</v>
      </c>
      <c r="K27" s="66"/>
      <c r="L27" s="66"/>
      <c r="Y27" s="13"/>
    </row>
    <row r="28" spans="1:25" ht="15" x14ac:dyDescent="0.25">
      <c r="A28" s="92" t="s">
        <v>116</v>
      </c>
      <c r="B28" s="93">
        <f>IFERROR(B27/B25,0)</f>
        <v>0</v>
      </c>
      <c r="K28" s="66"/>
      <c r="L28" s="66"/>
      <c r="Y28" s="13"/>
    </row>
    <row r="29" spans="1:25" ht="15" x14ac:dyDescent="0.25">
      <c r="A29" s="92" t="s">
        <v>115</v>
      </c>
      <c r="B29" s="93">
        <f>B28+1</f>
        <v>1</v>
      </c>
      <c r="K29" s="66"/>
      <c r="L29" s="66"/>
      <c r="Y29" s="13"/>
    </row>
    <row r="30" spans="1:25" x14ac:dyDescent="0.2">
      <c r="A30" s="12"/>
      <c r="K30" s="66"/>
      <c r="L30" s="66"/>
      <c r="Y30" s="13"/>
    </row>
    <row r="31" spans="1:25" x14ac:dyDescent="0.2">
      <c r="A31" s="36" t="s">
        <v>34</v>
      </c>
      <c r="C31" s="67">
        <v>0.03</v>
      </c>
      <c r="Y31" s="13"/>
    </row>
    <row r="32" spans="1:25" x14ac:dyDescent="0.2">
      <c r="A32" s="36" t="s">
        <v>35</v>
      </c>
      <c r="C32" s="68">
        <f>(2.05594002829021)*B29</f>
        <v>2.0559400282902098</v>
      </c>
      <c r="Y32" s="13"/>
    </row>
    <row r="33" spans="1:25" ht="15" thickBot="1" x14ac:dyDescent="0.25">
      <c r="A33" s="69" t="s">
        <v>36</v>
      </c>
      <c r="B33" s="53"/>
      <c r="C33" s="53"/>
      <c r="D33" s="53"/>
      <c r="E33" s="53"/>
      <c r="F33" s="53"/>
      <c r="G33" s="53"/>
      <c r="H33" s="70">
        <v>1</v>
      </c>
      <c r="I33" s="53"/>
      <c r="J33" s="53"/>
      <c r="K33" s="70">
        <v>1</v>
      </c>
      <c r="L33" s="53"/>
      <c r="M33" s="53"/>
      <c r="N33" s="70">
        <v>1</v>
      </c>
      <c r="O33" s="53"/>
      <c r="P33" s="53"/>
      <c r="Q33" s="70">
        <v>1</v>
      </c>
      <c r="R33" s="53"/>
      <c r="S33" s="53"/>
      <c r="T33" s="70">
        <v>1</v>
      </c>
      <c r="U33" s="53"/>
      <c r="V33" s="53"/>
      <c r="W33" s="70">
        <v>1</v>
      </c>
      <c r="X33" s="53"/>
      <c r="Y33" s="55"/>
    </row>
  </sheetData>
  <mergeCells count="28">
    <mergeCell ref="A20:B20"/>
    <mergeCell ref="A22:B22"/>
    <mergeCell ref="A13:B13"/>
    <mergeCell ref="A14:B14"/>
    <mergeCell ref="Q9:S9"/>
    <mergeCell ref="T9:V9"/>
    <mergeCell ref="A19:B19"/>
    <mergeCell ref="K9:M9"/>
    <mergeCell ref="N9:P9"/>
    <mergeCell ref="W9:Y9"/>
    <mergeCell ref="A11:B11"/>
    <mergeCell ref="A12:B12"/>
    <mergeCell ref="A16:B16"/>
    <mergeCell ref="A17:B17"/>
    <mergeCell ref="A18:B18"/>
    <mergeCell ref="A15:B15"/>
    <mergeCell ref="E9:G9"/>
    <mergeCell ref="H9:J9"/>
    <mergeCell ref="A1:S1"/>
    <mergeCell ref="A4:Y4"/>
    <mergeCell ref="C6:D6"/>
    <mergeCell ref="E6:G6"/>
    <mergeCell ref="H6:J6"/>
    <mergeCell ref="K6:M6"/>
    <mergeCell ref="N6:P6"/>
    <mergeCell ref="Q6:S6"/>
    <mergeCell ref="T6:V6"/>
    <mergeCell ref="W6:Y6"/>
  </mergeCells>
  <hyperlinks>
    <hyperlink ref="H1" location="Index" display="Back to Index" xr:uid="{00000000-0004-0000-0A00-000000000000}"/>
  </hyperlinks>
  <pageMargins left="0.25" right="0.25" top="0.25" bottom="0.25" header="0.3" footer="0.3"/>
  <pageSetup scale="31" fitToHeight="0" orientation="landscape" r:id="rId1"/>
  <headerFooter>
    <oddFooter>&amp;L&amp;G&amp;RPage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2060"/>
    <pageSetUpPr fitToPage="1"/>
  </sheetPr>
  <dimension ref="A1:Q27"/>
  <sheetViews>
    <sheetView zoomScale="90" zoomScaleNormal="90" workbookViewId="0">
      <selection activeCell="G20" sqref="G20"/>
    </sheetView>
  </sheetViews>
  <sheetFormatPr defaultColWidth="8.7109375" defaultRowHeight="12.75" x14ac:dyDescent="0.2"/>
  <cols>
    <col min="1" max="1" width="46.7109375" customWidth="1"/>
    <col min="2" max="2" width="11.5703125" customWidth="1"/>
    <col min="3" max="3" width="18" bestFit="1" customWidth="1"/>
    <col min="4" max="4" width="18.140625" customWidth="1"/>
    <col min="5" max="5" width="12.7109375" customWidth="1"/>
    <col min="6" max="6" width="18.7109375" customWidth="1"/>
    <col min="7" max="7" width="12.7109375" customWidth="1"/>
    <col min="8" max="8" width="18" customWidth="1"/>
    <col min="9" max="9" width="17.28515625" customWidth="1"/>
    <col min="10" max="10" width="17.140625" customWidth="1"/>
    <col min="11" max="11" width="12.7109375" customWidth="1"/>
    <col min="12" max="12" width="16.28515625" customWidth="1"/>
    <col min="13" max="13" width="12.7109375" customWidth="1"/>
    <col min="14" max="14" width="17.140625" customWidth="1"/>
    <col min="15" max="15" width="12.7109375" customWidth="1"/>
    <col min="16" max="16" width="17.7109375" customWidth="1"/>
    <col min="17" max="17" width="14.28515625" bestFit="1" customWidth="1"/>
  </cols>
  <sheetData>
    <row r="1" spans="1:17" s="11" customFormat="1" ht="40.5" customHeight="1" x14ac:dyDescent="0.25">
      <c r="A1" s="220" t="s">
        <v>57</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138</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c r="B8" s="254"/>
      <c r="C8" s="22" t="s">
        <v>306</v>
      </c>
      <c r="D8" s="24">
        <v>25000</v>
      </c>
      <c r="E8" s="22">
        <v>25001</v>
      </c>
      <c r="F8" s="24">
        <v>75000</v>
      </c>
      <c r="G8" s="22">
        <v>75001</v>
      </c>
      <c r="H8" s="24">
        <v>125000</v>
      </c>
      <c r="I8" s="22">
        <v>125001</v>
      </c>
      <c r="J8" s="24">
        <v>175000</v>
      </c>
      <c r="K8" s="22">
        <v>175001</v>
      </c>
      <c r="L8" s="24">
        <v>225000</v>
      </c>
      <c r="M8" s="22">
        <v>225001</v>
      </c>
      <c r="N8" s="24">
        <v>275000</v>
      </c>
      <c r="O8" s="22">
        <v>275001</v>
      </c>
      <c r="P8" s="71">
        <v>325000</v>
      </c>
      <c r="Q8" s="72"/>
    </row>
    <row r="9" spans="1:17" s="74" customFormat="1" ht="15" x14ac:dyDescent="0.25">
      <c r="A9" s="255" t="s">
        <v>49</v>
      </c>
      <c r="B9" s="256"/>
      <c r="C9" s="257">
        <v>0</v>
      </c>
      <c r="D9" s="258"/>
      <c r="E9" s="257">
        <v>0</v>
      </c>
      <c r="F9" s="258"/>
      <c r="G9" s="257">
        <v>0</v>
      </c>
      <c r="H9" s="258"/>
      <c r="I9" s="257">
        <v>0</v>
      </c>
      <c r="J9" s="258"/>
      <c r="K9" s="257">
        <v>0</v>
      </c>
      <c r="L9" s="258"/>
      <c r="M9" s="257">
        <v>0</v>
      </c>
      <c r="N9" s="258"/>
      <c r="O9" s="259">
        <v>0</v>
      </c>
      <c r="P9" s="260"/>
      <c r="Q9" s="73"/>
    </row>
    <row r="10" spans="1:17" s="9" customFormat="1" ht="24.75" x14ac:dyDescent="0.25">
      <c r="A10" s="261"/>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52</v>
      </c>
      <c r="B11" s="251"/>
      <c r="C11" s="80">
        <f>C24</f>
        <v>127.070429836039</v>
      </c>
      <c r="D11" s="76">
        <f>C11*C$9</f>
        <v>0</v>
      </c>
      <c r="E11" s="56">
        <f>ROUND(C24*E$25,4)</f>
        <v>127.07040000000001</v>
      </c>
      <c r="F11" s="76">
        <f>E11*E$9</f>
        <v>0</v>
      </c>
      <c r="G11" s="56">
        <f>ROUND(E11*G$25,4)</f>
        <v>127.07040000000001</v>
      </c>
      <c r="H11" s="76">
        <f>G11*G$9</f>
        <v>0</v>
      </c>
      <c r="I11" s="56">
        <f>ROUND(G11*I$25,4)</f>
        <v>127.07040000000001</v>
      </c>
      <c r="J11" s="76">
        <f>I11*I$9</f>
        <v>0</v>
      </c>
      <c r="K11" s="56">
        <f>ROUND(I11*K$25,4)</f>
        <v>127.07040000000001</v>
      </c>
      <c r="L11" s="76">
        <f>K11*K$9</f>
        <v>0</v>
      </c>
      <c r="M11" s="56">
        <f>ROUND(K11*M$25,4)</f>
        <v>127.07040000000001</v>
      </c>
      <c r="N11" s="76">
        <f>M11*M$9</f>
        <v>0</v>
      </c>
      <c r="O11" s="56">
        <f>ROUND(M11*O$25,4)</f>
        <v>127.07040000000001</v>
      </c>
      <c r="P11" s="76">
        <f>O11*O$9</f>
        <v>0</v>
      </c>
      <c r="Q11" s="13"/>
    </row>
    <row r="12" spans="1:17" s="48" customFormat="1" ht="15" x14ac:dyDescent="0.25">
      <c r="A12" s="241" t="s">
        <v>139</v>
      </c>
      <c r="B12" s="242"/>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7"/>
    </row>
    <row r="13" spans="1:17" ht="15" thickBot="1" x14ac:dyDescent="0.25">
      <c r="A13" s="12"/>
      <c r="B13" s="2"/>
      <c r="C13" s="2"/>
      <c r="D13" s="2"/>
      <c r="E13" s="2"/>
      <c r="F13" s="2"/>
      <c r="G13" s="2"/>
      <c r="H13" s="2"/>
      <c r="I13" s="2"/>
      <c r="J13" s="2"/>
      <c r="K13" s="2"/>
      <c r="L13" s="2"/>
      <c r="M13" s="2"/>
      <c r="N13" s="2"/>
      <c r="O13" s="2"/>
      <c r="P13" s="2"/>
      <c r="Q13" s="13"/>
    </row>
    <row r="14" spans="1:17" ht="15.75" thickBot="1" x14ac:dyDescent="0.3">
      <c r="A14" s="229" t="s">
        <v>140</v>
      </c>
      <c r="B14" s="230"/>
      <c r="C14" s="82">
        <f>SUM(D12:P12)</f>
        <v>0</v>
      </c>
      <c r="D14" s="43"/>
      <c r="E14" s="2"/>
      <c r="F14" s="2"/>
      <c r="G14" s="2"/>
      <c r="H14" s="2"/>
      <c r="I14" s="2"/>
      <c r="J14" s="2"/>
      <c r="K14" s="2"/>
      <c r="L14" s="2"/>
      <c r="M14" s="2"/>
      <c r="N14" s="2"/>
      <c r="O14" s="2"/>
      <c r="P14" s="2"/>
      <c r="Q14" s="13"/>
    </row>
    <row r="15" spans="1:17" ht="14.25" x14ac:dyDescent="0.2">
      <c r="A15" s="12"/>
      <c r="B15" s="2"/>
      <c r="C15" s="2"/>
      <c r="D15" s="2"/>
      <c r="E15" s="2"/>
      <c r="F15" s="2"/>
      <c r="G15" s="2"/>
      <c r="H15" s="2"/>
      <c r="I15" s="2"/>
      <c r="J15" s="2"/>
      <c r="K15" s="2"/>
      <c r="L15" s="2"/>
      <c r="M15" s="2"/>
      <c r="N15" s="2"/>
      <c r="O15" s="2"/>
      <c r="P15" s="2"/>
      <c r="Q15" s="13"/>
    </row>
    <row r="16" spans="1:17" ht="15" x14ac:dyDescent="0.25">
      <c r="A16" s="90" t="s">
        <v>111</v>
      </c>
      <c r="B16" s="91"/>
      <c r="C16" s="2"/>
      <c r="D16" s="2"/>
      <c r="E16" s="2"/>
      <c r="F16" s="2"/>
      <c r="G16" s="2"/>
      <c r="H16" s="2"/>
      <c r="I16" s="2"/>
      <c r="J16" s="2"/>
      <c r="K16" s="2"/>
      <c r="L16" s="2"/>
      <c r="M16" s="2"/>
      <c r="N16" s="2"/>
      <c r="O16" s="2"/>
      <c r="P16" s="2"/>
      <c r="Q16" s="13"/>
    </row>
    <row r="17" spans="1:17" ht="15" x14ac:dyDescent="0.25">
      <c r="A17" s="92" t="s">
        <v>112</v>
      </c>
      <c r="B17" s="93">
        <v>0</v>
      </c>
      <c r="C17" s="2"/>
      <c r="D17" s="2"/>
      <c r="E17" s="2"/>
      <c r="F17" s="2"/>
      <c r="G17" s="2"/>
      <c r="H17" s="2"/>
      <c r="I17" s="2"/>
      <c r="J17" s="2"/>
      <c r="K17" s="2"/>
      <c r="L17" s="2"/>
      <c r="M17" s="2"/>
      <c r="N17" s="2"/>
      <c r="O17" s="2"/>
      <c r="P17" s="2"/>
      <c r="Q17" s="13"/>
    </row>
    <row r="18" spans="1:17" ht="15" x14ac:dyDescent="0.25">
      <c r="A18" s="92" t="s">
        <v>113</v>
      </c>
      <c r="B18" s="93">
        <v>0</v>
      </c>
      <c r="C18" s="2"/>
      <c r="D18" s="2"/>
      <c r="E18" s="2"/>
      <c r="F18" s="2"/>
      <c r="G18" s="2"/>
      <c r="H18" s="2"/>
      <c r="I18" s="2"/>
      <c r="J18" s="2"/>
      <c r="K18" s="2"/>
      <c r="L18" s="2"/>
      <c r="M18" s="2"/>
      <c r="N18" s="2"/>
      <c r="O18" s="2"/>
      <c r="P18" s="2"/>
      <c r="Q18" s="13"/>
    </row>
    <row r="19" spans="1:17" ht="15" x14ac:dyDescent="0.25">
      <c r="A19" s="92" t="s">
        <v>114</v>
      </c>
      <c r="B19" s="93">
        <f>B18-B17</f>
        <v>0</v>
      </c>
      <c r="C19" s="2"/>
      <c r="D19" s="2"/>
      <c r="E19" s="2"/>
      <c r="F19" s="2"/>
      <c r="G19" s="2"/>
      <c r="H19" s="2"/>
      <c r="I19" s="2"/>
      <c r="J19" s="2"/>
      <c r="K19" s="2"/>
      <c r="L19" s="2"/>
      <c r="M19" s="2"/>
      <c r="N19" s="2"/>
      <c r="O19" s="2"/>
      <c r="P19" s="2"/>
      <c r="Q19" s="13"/>
    </row>
    <row r="20" spans="1:17" ht="15" x14ac:dyDescent="0.25">
      <c r="A20" s="92" t="s">
        <v>116</v>
      </c>
      <c r="B20" s="93">
        <f>IFERROR(B19/B17,0)</f>
        <v>0</v>
      </c>
      <c r="C20" s="2"/>
      <c r="D20" s="2"/>
      <c r="E20" s="2"/>
      <c r="F20" s="2"/>
      <c r="G20" s="2"/>
      <c r="H20" s="2"/>
      <c r="I20" s="2"/>
      <c r="J20" s="2"/>
      <c r="K20" s="2"/>
      <c r="L20" s="2"/>
      <c r="M20" s="2"/>
      <c r="N20" s="2"/>
      <c r="O20" s="2"/>
      <c r="P20" s="2"/>
      <c r="Q20" s="13"/>
    </row>
    <row r="21" spans="1:17" ht="15" x14ac:dyDescent="0.25">
      <c r="A21" s="92" t="s">
        <v>115</v>
      </c>
      <c r="B21" s="93">
        <f>B20+1</f>
        <v>1</v>
      </c>
      <c r="C21" s="2"/>
      <c r="D21" s="2"/>
      <c r="E21" s="2"/>
      <c r="F21" s="2"/>
      <c r="G21" s="2"/>
      <c r="H21" s="2"/>
      <c r="I21" s="2"/>
      <c r="J21" s="2"/>
      <c r="K21" s="2"/>
      <c r="L21" s="2"/>
      <c r="M21" s="2"/>
      <c r="N21" s="2"/>
      <c r="O21" s="2"/>
      <c r="P21" s="2"/>
      <c r="Q21" s="13"/>
    </row>
    <row r="22" spans="1:17" ht="14.25" x14ac:dyDescent="0.2">
      <c r="A22" s="12"/>
      <c r="B22" s="2"/>
      <c r="C22" s="2"/>
      <c r="D22" s="2"/>
      <c r="E22" s="2"/>
      <c r="F22" s="2"/>
      <c r="G22" s="2"/>
      <c r="H22" s="2"/>
      <c r="I22" s="2"/>
      <c r="J22" s="2"/>
      <c r="K22" s="2"/>
      <c r="L22" s="2"/>
      <c r="M22" s="2"/>
      <c r="N22" s="2"/>
      <c r="O22" s="2"/>
      <c r="P22" s="2"/>
      <c r="Q22" s="13"/>
    </row>
    <row r="23" spans="1:17" ht="14.25" x14ac:dyDescent="0.2">
      <c r="A23" s="36" t="s">
        <v>34</v>
      </c>
      <c r="B23" s="2"/>
      <c r="C23" s="49">
        <v>0.03</v>
      </c>
      <c r="D23" s="2"/>
      <c r="E23" s="2"/>
      <c r="F23" s="2"/>
      <c r="G23" s="2"/>
      <c r="H23" s="2"/>
      <c r="I23" s="2"/>
      <c r="J23" s="2"/>
      <c r="K23" s="2"/>
      <c r="L23" s="2"/>
      <c r="M23" s="2"/>
      <c r="N23" s="2"/>
      <c r="O23" s="2"/>
      <c r="P23" s="2"/>
      <c r="Q23" s="13"/>
    </row>
    <row r="24" spans="1:17" ht="14.25" x14ac:dyDescent="0.2">
      <c r="A24" s="36" t="s">
        <v>53</v>
      </c>
      <c r="B24" s="2"/>
      <c r="C24" s="50">
        <f>127.070429836039*B21</f>
        <v>127.070429836039</v>
      </c>
      <c r="D24" s="2"/>
      <c r="E24" s="2"/>
      <c r="F24" s="2"/>
      <c r="G24" s="2"/>
      <c r="H24" s="2"/>
      <c r="I24" s="2"/>
      <c r="J24" s="2"/>
      <c r="K24" s="2"/>
      <c r="L24" s="2"/>
      <c r="M24" s="2"/>
      <c r="N24" s="2"/>
      <c r="O24" s="2"/>
      <c r="P24" s="2"/>
      <c r="Q24" s="13"/>
    </row>
    <row r="25" spans="1:17" ht="15" thickBot="1" x14ac:dyDescent="0.25">
      <c r="A25" s="69" t="s">
        <v>36</v>
      </c>
      <c r="B25" s="53"/>
      <c r="C25" s="53"/>
      <c r="D25" s="53"/>
      <c r="E25" s="57">
        <v>1</v>
      </c>
      <c r="F25" s="53"/>
      <c r="G25" s="57">
        <v>1</v>
      </c>
      <c r="H25" s="53"/>
      <c r="I25" s="57">
        <v>1</v>
      </c>
      <c r="J25" s="53"/>
      <c r="K25" s="57">
        <v>1</v>
      </c>
      <c r="L25" s="53"/>
      <c r="M25" s="57">
        <v>1</v>
      </c>
      <c r="N25" s="53"/>
      <c r="O25" s="57">
        <v>1</v>
      </c>
      <c r="P25" s="53"/>
      <c r="Q25" s="55"/>
    </row>
    <row r="27" spans="1:17" ht="50.25" customHeight="1" x14ac:dyDescent="0.2">
      <c r="A27" s="252" t="s">
        <v>141</v>
      </c>
      <c r="B27" s="252"/>
      <c r="C27" s="252"/>
      <c r="D27" s="252"/>
      <c r="E27" s="252"/>
      <c r="F27" s="252"/>
      <c r="G27" s="252"/>
      <c r="H27" s="252"/>
      <c r="I27" s="252"/>
      <c r="J27" s="252"/>
      <c r="K27" s="252"/>
      <c r="L27" s="252"/>
      <c r="M27" s="252"/>
      <c r="N27" s="252"/>
      <c r="O27" s="252"/>
      <c r="P27" s="252"/>
      <c r="Q27" s="252"/>
    </row>
  </sheetData>
  <mergeCells count="24">
    <mergeCell ref="A1:Q1"/>
    <mergeCell ref="A4:Q4"/>
    <mergeCell ref="A6:B6"/>
    <mergeCell ref="C6:D6"/>
    <mergeCell ref="E6:F6"/>
    <mergeCell ref="G6:H6"/>
    <mergeCell ref="I6:J6"/>
    <mergeCell ref="K6:L6"/>
    <mergeCell ref="M6:N6"/>
    <mergeCell ref="O6:P6"/>
    <mergeCell ref="A27:Q27"/>
    <mergeCell ref="A8:B8"/>
    <mergeCell ref="A9:B9"/>
    <mergeCell ref="C9:D9"/>
    <mergeCell ref="E9:F9"/>
    <mergeCell ref="A14:B14"/>
    <mergeCell ref="K9:L9"/>
    <mergeCell ref="M9:N9"/>
    <mergeCell ref="O9:P9"/>
    <mergeCell ref="A10:B10"/>
    <mergeCell ref="A11:B11"/>
    <mergeCell ref="G9:H9"/>
    <mergeCell ref="I9:J9"/>
    <mergeCell ref="A12:B12"/>
  </mergeCells>
  <hyperlinks>
    <hyperlink ref="H1" location="Index" display="Back to Index" xr:uid="{00000000-0004-0000-0B00-000000000000}"/>
  </hyperlinks>
  <pageMargins left="0.25" right="0.25" top="0.25" bottom="0.25" header="0.3" footer="0.3"/>
  <pageSetup scale="46" fitToHeight="0" orientation="landscape" r:id="rId1"/>
  <headerFooter>
    <oddFooter>&amp;L&amp;G&amp;RPage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A1:Q35"/>
  <sheetViews>
    <sheetView zoomScale="90" zoomScaleNormal="90" workbookViewId="0">
      <selection activeCell="H24" sqref="H24"/>
    </sheetView>
  </sheetViews>
  <sheetFormatPr defaultColWidth="8.7109375" defaultRowHeight="12.75" x14ac:dyDescent="0.2"/>
  <cols>
    <col min="1" max="1" width="46.7109375" customWidth="1"/>
    <col min="2" max="2" width="11.5703125" customWidth="1"/>
    <col min="3" max="3" width="19.7109375" bestFit="1" customWidth="1"/>
    <col min="4" max="4" width="18.140625" bestFit="1" customWidth="1"/>
    <col min="5" max="5" width="15.7109375" bestFit="1" customWidth="1"/>
    <col min="6" max="6" width="19.7109375" customWidth="1"/>
    <col min="7" max="7" width="16.140625" bestFit="1" customWidth="1"/>
    <col min="8" max="8" width="19.7109375" customWidth="1"/>
    <col min="9" max="9" width="18" bestFit="1" customWidth="1"/>
    <col min="10" max="10" width="19.7109375" customWidth="1"/>
    <col min="11" max="11" width="18" customWidth="1"/>
    <col min="12" max="12" width="19.7109375" customWidth="1"/>
    <col min="13" max="13" width="18" bestFit="1" customWidth="1"/>
    <col min="14" max="14" width="19.7109375" customWidth="1"/>
    <col min="15" max="15" width="17" bestFit="1" customWidth="1"/>
    <col min="16" max="16" width="19.7109375" customWidth="1"/>
    <col min="17" max="17" width="14.28515625" bestFit="1" customWidth="1"/>
  </cols>
  <sheetData>
    <row r="1" spans="1:17" ht="46.5" customHeight="1" x14ac:dyDescent="0.25">
      <c r="A1" s="220" t="s">
        <v>58</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143</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t="s">
        <v>25</v>
      </c>
      <c r="B8" s="254"/>
      <c r="C8" s="22">
        <v>0</v>
      </c>
      <c r="D8" s="24">
        <v>25000</v>
      </c>
      <c r="E8" s="22">
        <v>25001</v>
      </c>
      <c r="F8" s="24">
        <v>75000</v>
      </c>
      <c r="G8" s="22">
        <v>75001</v>
      </c>
      <c r="H8" s="24">
        <v>125000</v>
      </c>
      <c r="I8" s="22">
        <v>125001</v>
      </c>
      <c r="J8" s="24">
        <v>175000</v>
      </c>
      <c r="K8" s="22">
        <v>175001</v>
      </c>
      <c r="L8" s="24">
        <v>225000</v>
      </c>
      <c r="M8" s="22">
        <v>225001</v>
      </c>
      <c r="N8" s="24">
        <v>275000</v>
      </c>
      <c r="O8" s="22">
        <v>275001</v>
      </c>
      <c r="P8" s="71">
        <f>O8+49999</f>
        <v>325000</v>
      </c>
      <c r="Q8" s="72"/>
    </row>
    <row r="9" spans="1:17" s="10" customFormat="1" ht="15" x14ac:dyDescent="0.25">
      <c r="A9" s="241" t="s">
        <v>54</v>
      </c>
      <c r="B9" s="254"/>
      <c r="C9" s="231">
        <v>0</v>
      </c>
      <c r="D9" s="233"/>
      <c r="E9" s="231">
        <v>0</v>
      </c>
      <c r="F9" s="233"/>
      <c r="G9" s="231">
        <v>0</v>
      </c>
      <c r="H9" s="233"/>
      <c r="I9" s="231">
        <v>0</v>
      </c>
      <c r="J9" s="233"/>
      <c r="K9" s="231">
        <v>0</v>
      </c>
      <c r="L9" s="233"/>
      <c r="M9" s="231">
        <v>0</v>
      </c>
      <c r="N9" s="233"/>
      <c r="O9" s="234">
        <v>0</v>
      </c>
      <c r="P9" s="235"/>
      <c r="Q9" s="78"/>
    </row>
    <row r="10" spans="1:17" s="9" customFormat="1" ht="15" x14ac:dyDescent="0.25">
      <c r="A10" s="261" t="s">
        <v>37</v>
      </c>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40</v>
      </c>
      <c r="B11" s="251"/>
      <c r="C11" s="80">
        <f>C32</f>
        <v>137.574212290963</v>
      </c>
      <c r="D11" s="76">
        <f t="shared" ref="D11:D19" si="0">C11*C$9</f>
        <v>0</v>
      </c>
      <c r="E11" s="56">
        <f>ROUND(C11*E$33,4)</f>
        <v>137.57419999999999</v>
      </c>
      <c r="F11" s="76">
        <f t="shared" ref="F11:F19" si="1">E11*E$9</f>
        <v>0</v>
      </c>
      <c r="G11" s="56">
        <f>ROUND(E11*G$33,4)</f>
        <v>137.57419999999999</v>
      </c>
      <c r="H11" s="76">
        <f t="shared" ref="H11:H19" si="2">G11*G$9</f>
        <v>0</v>
      </c>
      <c r="I11" s="56">
        <f>ROUND(G11*I$33,4)</f>
        <v>137.57419999999999</v>
      </c>
      <c r="J11" s="76">
        <f t="shared" ref="J11:J19" si="3">I11*I$9</f>
        <v>0</v>
      </c>
      <c r="K11" s="56">
        <f>ROUND(I11*K$33,4)</f>
        <v>137.57419999999999</v>
      </c>
      <c r="L11" s="76">
        <f t="shared" ref="L11:L19" si="4">K11*K$9</f>
        <v>0</v>
      </c>
      <c r="M11" s="56">
        <f>ROUND(K11*M$33,4)</f>
        <v>137.57419999999999</v>
      </c>
      <c r="N11" s="76">
        <f t="shared" ref="N11:N19" si="5">M11*M$9</f>
        <v>0</v>
      </c>
      <c r="O11" s="56">
        <f>ROUND(M11*O$33,4)</f>
        <v>137.57419999999999</v>
      </c>
      <c r="P11" s="76">
        <f t="shared" ref="P11:P19" si="6">O11*O$9</f>
        <v>0</v>
      </c>
      <c r="Q11" s="13"/>
    </row>
    <row r="12" spans="1:17" ht="14.25" x14ac:dyDescent="0.2">
      <c r="A12" s="250" t="s">
        <v>41</v>
      </c>
      <c r="B12" s="251"/>
      <c r="C12" s="80">
        <f t="shared" ref="C12:C19" si="7">ROUND(C11*(1+$C$31),2)</f>
        <v>141.69999999999999</v>
      </c>
      <c r="D12" s="76">
        <f t="shared" si="0"/>
        <v>0</v>
      </c>
      <c r="E12" s="56">
        <f t="shared" ref="E12:E19" si="8">ROUND(E11*(1+$C$31),4)</f>
        <v>141.70140000000001</v>
      </c>
      <c r="F12" s="76">
        <f t="shared" si="1"/>
        <v>0</v>
      </c>
      <c r="G12" s="56">
        <f t="shared" ref="G12:G19" si="9">ROUND(G11*(1+$C$31),4)</f>
        <v>141.70140000000001</v>
      </c>
      <c r="H12" s="76">
        <f t="shared" si="2"/>
        <v>0</v>
      </c>
      <c r="I12" s="56">
        <f t="shared" ref="I12:I19" si="10">ROUND(I11*(1+$C$31),4)</f>
        <v>141.70140000000001</v>
      </c>
      <c r="J12" s="76">
        <f t="shared" si="3"/>
        <v>0</v>
      </c>
      <c r="K12" s="56">
        <f t="shared" ref="K12:K19" si="11">ROUND(K11*(1+$C$31),4)</f>
        <v>141.70140000000001</v>
      </c>
      <c r="L12" s="76">
        <f t="shared" si="4"/>
        <v>0</v>
      </c>
      <c r="M12" s="56">
        <f t="shared" ref="M12:M19" si="12">ROUND(M11*(1+$C$31),4)</f>
        <v>141.70140000000001</v>
      </c>
      <c r="N12" s="76">
        <f t="shared" si="5"/>
        <v>0</v>
      </c>
      <c r="O12" s="56">
        <f t="shared" ref="O12:O19" si="13">ROUND(O11*(1+$C$31),4)</f>
        <v>141.70140000000001</v>
      </c>
      <c r="P12" s="76">
        <f t="shared" si="6"/>
        <v>0</v>
      </c>
      <c r="Q12" s="13"/>
    </row>
    <row r="13" spans="1:17" ht="14.25" x14ac:dyDescent="0.2">
      <c r="A13" s="250" t="s">
        <v>42</v>
      </c>
      <c r="B13" s="251"/>
      <c r="C13" s="80">
        <f t="shared" si="7"/>
        <v>145.94999999999999</v>
      </c>
      <c r="D13" s="76">
        <f t="shared" si="0"/>
        <v>0</v>
      </c>
      <c r="E13" s="56">
        <f t="shared" si="8"/>
        <v>145.95240000000001</v>
      </c>
      <c r="F13" s="76">
        <f t="shared" si="1"/>
        <v>0</v>
      </c>
      <c r="G13" s="56">
        <f t="shared" si="9"/>
        <v>145.95240000000001</v>
      </c>
      <c r="H13" s="76">
        <f t="shared" si="2"/>
        <v>0</v>
      </c>
      <c r="I13" s="56">
        <f t="shared" si="10"/>
        <v>145.95240000000001</v>
      </c>
      <c r="J13" s="76">
        <f t="shared" si="3"/>
        <v>0</v>
      </c>
      <c r="K13" s="56">
        <f t="shared" si="11"/>
        <v>145.95240000000001</v>
      </c>
      <c r="L13" s="76">
        <f t="shared" si="4"/>
        <v>0</v>
      </c>
      <c r="M13" s="56">
        <f t="shared" si="12"/>
        <v>145.95240000000001</v>
      </c>
      <c r="N13" s="76">
        <f t="shared" si="5"/>
        <v>0</v>
      </c>
      <c r="O13" s="56">
        <f t="shared" si="13"/>
        <v>145.95240000000001</v>
      </c>
      <c r="P13" s="76">
        <f t="shared" si="6"/>
        <v>0</v>
      </c>
      <c r="Q13" s="13"/>
    </row>
    <row r="14" spans="1:17" ht="14.25" x14ac:dyDescent="0.2">
      <c r="A14" s="250" t="s">
        <v>43</v>
      </c>
      <c r="B14" s="251"/>
      <c r="C14" s="80">
        <f t="shared" si="7"/>
        <v>150.33000000000001</v>
      </c>
      <c r="D14" s="76">
        <f t="shared" si="0"/>
        <v>0</v>
      </c>
      <c r="E14" s="56">
        <f t="shared" si="8"/>
        <v>150.33099999999999</v>
      </c>
      <c r="F14" s="76">
        <f t="shared" si="1"/>
        <v>0</v>
      </c>
      <c r="G14" s="56">
        <f t="shared" si="9"/>
        <v>150.33099999999999</v>
      </c>
      <c r="H14" s="76">
        <f t="shared" si="2"/>
        <v>0</v>
      </c>
      <c r="I14" s="56">
        <f t="shared" si="10"/>
        <v>150.33099999999999</v>
      </c>
      <c r="J14" s="76">
        <f t="shared" si="3"/>
        <v>0</v>
      </c>
      <c r="K14" s="56">
        <f t="shared" si="11"/>
        <v>150.33099999999999</v>
      </c>
      <c r="L14" s="76">
        <f t="shared" si="4"/>
        <v>0</v>
      </c>
      <c r="M14" s="56">
        <f t="shared" si="12"/>
        <v>150.33099999999999</v>
      </c>
      <c r="N14" s="76">
        <f t="shared" si="5"/>
        <v>0</v>
      </c>
      <c r="O14" s="56">
        <f t="shared" si="13"/>
        <v>150.33099999999999</v>
      </c>
      <c r="P14" s="76">
        <f t="shared" si="6"/>
        <v>0</v>
      </c>
      <c r="Q14" s="13"/>
    </row>
    <row r="15" spans="1:17" ht="14.25" x14ac:dyDescent="0.2">
      <c r="A15" s="250" t="s">
        <v>44</v>
      </c>
      <c r="B15" s="251"/>
      <c r="C15" s="80">
        <f t="shared" si="7"/>
        <v>154.84</v>
      </c>
      <c r="D15" s="76">
        <f t="shared" si="0"/>
        <v>0</v>
      </c>
      <c r="E15" s="56">
        <f t="shared" si="8"/>
        <v>154.8409</v>
      </c>
      <c r="F15" s="76">
        <f t="shared" si="1"/>
        <v>0</v>
      </c>
      <c r="G15" s="56">
        <f t="shared" si="9"/>
        <v>154.8409</v>
      </c>
      <c r="H15" s="76">
        <f t="shared" si="2"/>
        <v>0</v>
      </c>
      <c r="I15" s="56">
        <f t="shared" si="10"/>
        <v>154.8409</v>
      </c>
      <c r="J15" s="76">
        <f t="shared" si="3"/>
        <v>0</v>
      </c>
      <c r="K15" s="56">
        <f t="shared" si="11"/>
        <v>154.8409</v>
      </c>
      <c r="L15" s="76">
        <f t="shared" si="4"/>
        <v>0</v>
      </c>
      <c r="M15" s="56">
        <f t="shared" si="12"/>
        <v>154.8409</v>
      </c>
      <c r="N15" s="76">
        <f t="shared" si="5"/>
        <v>0</v>
      </c>
      <c r="O15" s="56">
        <f t="shared" si="13"/>
        <v>154.8409</v>
      </c>
      <c r="P15" s="76">
        <f t="shared" si="6"/>
        <v>0</v>
      </c>
      <c r="Q15" s="13"/>
    </row>
    <row r="16" spans="1:17" ht="14.25" x14ac:dyDescent="0.2">
      <c r="A16" s="250" t="s">
        <v>45</v>
      </c>
      <c r="B16" s="251"/>
      <c r="C16" s="80">
        <f t="shared" si="7"/>
        <v>159.49</v>
      </c>
      <c r="D16" s="76">
        <f t="shared" si="0"/>
        <v>0</v>
      </c>
      <c r="E16" s="56">
        <f t="shared" si="8"/>
        <v>159.48609999999999</v>
      </c>
      <c r="F16" s="76">
        <f t="shared" si="1"/>
        <v>0</v>
      </c>
      <c r="G16" s="56">
        <f t="shared" si="9"/>
        <v>159.48609999999999</v>
      </c>
      <c r="H16" s="76">
        <f t="shared" si="2"/>
        <v>0</v>
      </c>
      <c r="I16" s="56">
        <f t="shared" si="10"/>
        <v>159.48609999999999</v>
      </c>
      <c r="J16" s="76">
        <f t="shared" si="3"/>
        <v>0</v>
      </c>
      <c r="K16" s="56">
        <f t="shared" si="11"/>
        <v>159.48609999999999</v>
      </c>
      <c r="L16" s="76">
        <f t="shared" si="4"/>
        <v>0</v>
      </c>
      <c r="M16" s="56">
        <f t="shared" si="12"/>
        <v>159.48609999999999</v>
      </c>
      <c r="N16" s="76">
        <f t="shared" si="5"/>
        <v>0</v>
      </c>
      <c r="O16" s="56">
        <f t="shared" si="13"/>
        <v>159.48609999999999</v>
      </c>
      <c r="P16" s="76">
        <f t="shared" si="6"/>
        <v>0</v>
      </c>
      <c r="Q16" s="13"/>
    </row>
    <row r="17" spans="1:17" ht="14.25" x14ac:dyDescent="0.2">
      <c r="A17" s="250" t="s">
        <v>46</v>
      </c>
      <c r="B17" s="251"/>
      <c r="C17" s="80">
        <f t="shared" si="7"/>
        <v>164.27</v>
      </c>
      <c r="D17" s="76">
        <f t="shared" si="0"/>
        <v>0</v>
      </c>
      <c r="E17" s="56">
        <f t="shared" si="8"/>
        <v>164.27070000000001</v>
      </c>
      <c r="F17" s="76">
        <f t="shared" si="1"/>
        <v>0</v>
      </c>
      <c r="G17" s="56">
        <f t="shared" si="9"/>
        <v>164.27070000000001</v>
      </c>
      <c r="H17" s="76">
        <f t="shared" si="2"/>
        <v>0</v>
      </c>
      <c r="I17" s="56">
        <f t="shared" si="10"/>
        <v>164.27070000000001</v>
      </c>
      <c r="J17" s="76">
        <f t="shared" si="3"/>
        <v>0</v>
      </c>
      <c r="K17" s="56">
        <f t="shared" si="11"/>
        <v>164.27070000000001</v>
      </c>
      <c r="L17" s="76">
        <f t="shared" si="4"/>
        <v>0</v>
      </c>
      <c r="M17" s="56">
        <f t="shared" si="12"/>
        <v>164.27070000000001</v>
      </c>
      <c r="N17" s="76">
        <f t="shared" si="5"/>
        <v>0</v>
      </c>
      <c r="O17" s="56">
        <f t="shared" si="13"/>
        <v>164.27070000000001</v>
      </c>
      <c r="P17" s="76">
        <f t="shared" si="6"/>
        <v>0</v>
      </c>
      <c r="Q17" s="13"/>
    </row>
    <row r="18" spans="1:17" ht="14.25" x14ac:dyDescent="0.2">
      <c r="A18" s="250" t="s">
        <v>47</v>
      </c>
      <c r="B18" s="251"/>
      <c r="C18" s="80">
        <f t="shared" si="7"/>
        <v>169.2</v>
      </c>
      <c r="D18" s="76">
        <f t="shared" si="0"/>
        <v>0</v>
      </c>
      <c r="E18" s="56">
        <f t="shared" si="8"/>
        <v>169.19880000000001</v>
      </c>
      <c r="F18" s="76">
        <f t="shared" si="1"/>
        <v>0</v>
      </c>
      <c r="G18" s="56">
        <f t="shared" si="9"/>
        <v>169.19880000000001</v>
      </c>
      <c r="H18" s="76">
        <f t="shared" si="2"/>
        <v>0</v>
      </c>
      <c r="I18" s="56">
        <f t="shared" si="10"/>
        <v>169.19880000000001</v>
      </c>
      <c r="J18" s="76">
        <f t="shared" si="3"/>
        <v>0</v>
      </c>
      <c r="K18" s="56">
        <f t="shared" si="11"/>
        <v>169.19880000000001</v>
      </c>
      <c r="L18" s="76">
        <f t="shared" si="4"/>
        <v>0</v>
      </c>
      <c r="M18" s="56">
        <f t="shared" si="12"/>
        <v>169.19880000000001</v>
      </c>
      <c r="N18" s="76">
        <f t="shared" si="5"/>
        <v>0</v>
      </c>
      <c r="O18" s="56">
        <f t="shared" si="13"/>
        <v>169.19880000000001</v>
      </c>
      <c r="P18" s="76">
        <f t="shared" si="6"/>
        <v>0</v>
      </c>
      <c r="Q18" s="13"/>
    </row>
    <row r="19" spans="1:17" ht="14.25" x14ac:dyDescent="0.2">
      <c r="A19" s="250" t="s">
        <v>48</v>
      </c>
      <c r="B19" s="251"/>
      <c r="C19" s="80">
        <f t="shared" si="7"/>
        <v>174.28</v>
      </c>
      <c r="D19" s="76">
        <f t="shared" si="0"/>
        <v>0</v>
      </c>
      <c r="E19" s="56">
        <f t="shared" si="8"/>
        <v>174.2748</v>
      </c>
      <c r="F19" s="76">
        <f t="shared" si="1"/>
        <v>0</v>
      </c>
      <c r="G19" s="56">
        <f t="shared" si="9"/>
        <v>174.2748</v>
      </c>
      <c r="H19" s="76">
        <f t="shared" si="2"/>
        <v>0</v>
      </c>
      <c r="I19" s="56">
        <f t="shared" si="10"/>
        <v>174.2748</v>
      </c>
      <c r="J19" s="76">
        <f t="shared" si="3"/>
        <v>0</v>
      </c>
      <c r="K19" s="56">
        <f t="shared" si="11"/>
        <v>174.2748</v>
      </c>
      <c r="L19" s="76">
        <f t="shared" si="4"/>
        <v>0</v>
      </c>
      <c r="M19" s="56">
        <f t="shared" si="12"/>
        <v>174.2748</v>
      </c>
      <c r="N19" s="76">
        <f t="shared" si="5"/>
        <v>0</v>
      </c>
      <c r="O19" s="56">
        <f t="shared" si="13"/>
        <v>174.2748</v>
      </c>
      <c r="P19" s="76">
        <f t="shared" si="6"/>
        <v>0</v>
      </c>
      <c r="Q19" s="13"/>
    </row>
    <row r="20" spans="1:17" s="48" customFormat="1" ht="15" x14ac:dyDescent="0.25">
      <c r="A20" s="241" t="s">
        <v>144</v>
      </c>
      <c r="B20" s="242"/>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7"/>
    </row>
    <row r="21" spans="1:17" ht="15" thickBot="1" x14ac:dyDescent="0.25">
      <c r="A21" s="12"/>
      <c r="B21" s="2"/>
      <c r="C21" s="2"/>
      <c r="D21" s="2"/>
      <c r="E21" s="2"/>
      <c r="F21" s="2"/>
      <c r="G21" s="2"/>
      <c r="H21" s="2"/>
      <c r="I21" s="2"/>
      <c r="J21" s="2"/>
      <c r="K21" s="2"/>
      <c r="L21" s="2"/>
      <c r="M21" s="2"/>
      <c r="N21" s="2"/>
      <c r="O21" s="2"/>
      <c r="P21" s="2"/>
      <c r="Q21" s="13"/>
    </row>
    <row r="22" spans="1:17" ht="15.75" thickBot="1" x14ac:dyDescent="0.3">
      <c r="A22" s="229" t="s">
        <v>145</v>
      </c>
      <c r="B22" s="230"/>
      <c r="C22" s="82">
        <f>SUM(D20:P20)</f>
        <v>0</v>
      </c>
      <c r="D22" s="43"/>
      <c r="E22" s="2"/>
      <c r="F22" s="2"/>
      <c r="G22" s="2"/>
      <c r="H22" s="2"/>
      <c r="I22" s="2"/>
      <c r="J22" s="2"/>
      <c r="K22" s="2"/>
      <c r="L22" s="2"/>
      <c r="M22" s="2"/>
      <c r="N22" s="2"/>
      <c r="O22" s="2"/>
      <c r="P22" s="2"/>
      <c r="Q22" s="13"/>
    </row>
    <row r="23" spans="1:17" ht="14.25" x14ac:dyDescent="0.2">
      <c r="A23" s="12"/>
      <c r="B23" s="2"/>
      <c r="C23" s="2"/>
      <c r="D23" s="2"/>
      <c r="E23" s="2"/>
      <c r="F23" s="2"/>
      <c r="G23" s="2"/>
      <c r="H23" s="2"/>
      <c r="I23" s="2"/>
      <c r="J23" s="2"/>
      <c r="K23" s="2"/>
      <c r="L23" s="2"/>
      <c r="M23" s="2"/>
      <c r="N23" s="2"/>
      <c r="O23" s="2"/>
      <c r="P23" s="2"/>
      <c r="Q23" s="13"/>
    </row>
    <row r="24" spans="1:17" ht="15" x14ac:dyDescent="0.25">
      <c r="A24" s="90" t="s">
        <v>111</v>
      </c>
      <c r="B24" s="91"/>
      <c r="C24" s="2"/>
      <c r="D24" s="2"/>
      <c r="E24" s="2"/>
      <c r="F24" s="2"/>
      <c r="G24" s="2"/>
      <c r="H24" s="2"/>
      <c r="I24" s="2"/>
      <c r="J24" s="2"/>
      <c r="K24" s="2"/>
      <c r="L24" s="2"/>
      <c r="M24" s="2"/>
      <c r="N24" s="2"/>
      <c r="O24" s="2"/>
      <c r="P24" s="2"/>
      <c r="Q24" s="13"/>
    </row>
    <row r="25" spans="1:17" ht="15" x14ac:dyDescent="0.25">
      <c r="A25" s="92" t="s">
        <v>112</v>
      </c>
      <c r="B25" s="93">
        <v>0</v>
      </c>
      <c r="C25" s="2"/>
      <c r="D25" s="2"/>
      <c r="E25" s="2"/>
      <c r="F25" s="2"/>
      <c r="G25" s="2"/>
      <c r="H25" s="2"/>
      <c r="I25" s="2"/>
      <c r="J25" s="2"/>
      <c r="K25" s="2"/>
      <c r="L25" s="2"/>
      <c r="M25" s="2"/>
      <c r="N25" s="2"/>
      <c r="O25" s="2"/>
      <c r="P25" s="2"/>
      <c r="Q25" s="13"/>
    </row>
    <row r="26" spans="1:17" ht="15" x14ac:dyDescent="0.25">
      <c r="A26" s="92" t="s">
        <v>113</v>
      </c>
      <c r="B26" s="93">
        <v>0</v>
      </c>
      <c r="C26" s="2"/>
      <c r="D26" s="2"/>
      <c r="E26" s="2"/>
      <c r="F26" s="2"/>
      <c r="G26" s="2"/>
      <c r="H26" s="2"/>
      <c r="I26" s="2"/>
      <c r="J26" s="2"/>
      <c r="K26" s="2"/>
      <c r="L26" s="2"/>
      <c r="M26" s="2"/>
      <c r="N26" s="2"/>
      <c r="O26" s="2"/>
      <c r="P26" s="2"/>
      <c r="Q26" s="13"/>
    </row>
    <row r="27" spans="1:17" ht="15" x14ac:dyDescent="0.25">
      <c r="A27" s="92" t="s">
        <v>114</v>
      </c>
      <c r="B27" s="93">
        <f>B26-B25</f>
        <v>0</v>
      </c>
      <c r="C27" s="2"/>
      <c r="D27" s="2"/>
      <c r="E27" s="2"/>
      <c r="F27" s="2"/>
      <c r="G27" s="2"/>
      <c r="H27" s="2"/>
      <c r="I27" s="2"/>
      <c r="J27" s="2"/>
      <c r="K27" s="2"/>
      <c r="L27" s="2"/>
      <c r="M27" s="2"/>
      <c r="N27" s="2"/>
      <c r="O27" s="2"/>
      <c r="P27" s="2"/>
      <c r="Q27" s="13"/>
    </row>
    <row r="28" spans="1:17" ht="15" x14ac:dyDescent="0.25">
      <c r="A28" s="92" t="s">
        <v>116</v>
      </c>
      <c r="B28" s="93">
        <f>IFERROR(B27/B25,0)</f>
        <v>0</v>
      </c>
      <c r="C28" s="2"/>
      <c r="D28" s="2"/>
      <c r="E28" s="2"/>
      <c r="F28" s="2"/>
      <c r="G28" s="2"/>
      <c r="H28" s="2"/>
      <c r="I28" s="2"/>
      <c r="J28" s="2"/>
      <c r="K28" s="2"/>
      <c r="L28" s="2"/>
      <c r="M28" s="2"/>
      <c r="N28" s="2"/>
      <c r="O28" s="2"/>
      <c r="P28" s="2"/>
      <c r="Q28" s="13"/>
    </row>
    <row r="29" spans="1:17" ht="15" x14ac:dyDescent="0.25">
      <c r="A29" s="92" t="s">
        <v>115</v>
      </c>
      <c r="B29" s="93">
        <f>B28+1</f>
        <v>1</v>
      </c>
      <c r="C29" s="2"/>
      <c r="D29" s="2"/>
      <c r="E29" s="2"/>
      <c r="F29" s="2"/>
      <c r="G29" s="2"/>
      <c r="H29" s="2"/>
      <c r="I29" s="2"/>
      <c r="J29" s="2"/>
      <c r="K29" s="2"/>
      <c r="L29" s="2"/>
      <c r="M29" s="2"/>
      <c r="N29" s="2"/>
      <c r="O29" s="2"/>
      <c r="P29" s="2"/>
      <c r="Q29" s="13"/>
    </row>
    <row r="30" spans="1:17" ht="14.25" x14ac:dyDescent="0.2">
      <c r="A30" s="12"/>
      <c r="B30" s="2"/>
      <c r="C30" s="2"/>
      <c r="D30" s="2"/>
      <c r="E30" s="2"/>
      <c r="F30" s="2"/>
      <c r="G30" s="2"/>
      <c r="H30" s="2"/>
      <c r="I30" s="2"/>
      <c r="J30" s="2"/>
      <c r="K30" s="2"/>
      <c r="L30" s="2"/>
      <c r="M30" s="2"/>
      <c r="N30" s="2"/>
      <c r="O30" s="2"/>
      <c r="P30" s="2"/>
      <c r="Q30" s="13"/>
    </row>
    <row r="31" spans="1:17" ht="14.25" x14ac:dyDescent="0.2">
      <c r="A31" s="36" t="s">
        <v>34</v>
      </c>
      <c r="B31" s="2"/>
      <c r="C31" s="49">
        <v>0.03</v>
      </c>
      <c r="D31" s="2"/>
      <c r="E31" s="2"/>
      <c r="F31" s="2"/>
      <c r="G31" s="2"/>
      <c r="H31" s="2"/>
      <c r="I31" s="2"/>
      <c r="J31" s="2"/>
      <c r="K31" s="2"/>
      <c r="L31" s="2"/>
      <c r="M31" s="2"/>
      <c r="N31" s="2"/>
      <c r="O31" s="2"/>
      <c r="P31" s="2"/>
      <c r="Q31" s="13"/>
    </row>
    <row r="32" spans="1:17" ht="14.25" x14ac:dyDescent="0.2">
      <c r="A32" s="36" t="s">
        <v>53</v>
      </c>
      <c r="B32" s="2"/>
      <c r="C32" s="50">
        <f>137.574212290963*B29</f>
        <v>137.574212290963</v>
      </c>
      <c r="D32" s="2"/>
      <c r="E32" s="2"/>
      <c r="F32" s="2"/>
      <c r="G32" s="2"/>
      <c r="H32" s="2"/>
      <c r="I32" s="2"/>
      <c r="J32" s="2"/>
      <c r="K32" s="2"/>
      <c r="L32" s="2"/>
      <c r="M32" s="2"/>
      <c r="N32" s="2"/>
      <c r="O32" s="2"/>
      <c r="P32" s="2"/>
      <c r="Q32" s="13"/>
    </row>
    <row r="33" spans="1:17" ht="15" thickBot="1" x14ac:dyDescent="0.25">
      <c r="A33" s="69" t="s">
        <v>36</v>
      </c>
      <c r="B33" s="53"/>
      <c r="C33" s="53"/>
      <c r="D33" s="53"/>
      <c r="E33" s="57">
        <v>1</v>
      </c>
      <c r="F33" s="53"/>
      <c r="G33" s="57">
        <v>1</v>
      </c>
      <c r="H33" s="53"/>
      <c r="I33" s="57">
        <v>1</v>
      </c>
      <c r="J33" s="53"/>
      <c r="K33" s="57">
        <v>1</v>
      </c>
      <c r="L33" s="53"/>
      <c r="M33" s="57">
        <v>1</v>
      </c>
      <c r="N33" s="53"/>
      <c r="O33" s="57">
        <v>1</v>
      </c>
      <c r="P33" s="53"/>
      <c r="Q33" s="55"/>
    </row>
    <row r="35" spans="1:17" ht="68.25" customHeight="1" x14ac:dyDescent="0.2">
      <c r="A35" s="252" t="s">
        <v>142</v>
      </c>
      <c r="B35" s="252"/>
      <c r="C35" s="252"/>
      <c r="D35" s="252"/>
      <c r="E35" s="252"/>
      <c r="F35" s="252"/>
      <c r="G35" s="252"/>
      <c r="H35" s="252"/>
      <c r="I35" s="252"/>
      <c r="J35" s="252"/>
      <c r="K35" s="252"/>
      <c r="L35" s="252"/>
      <c r="M35" s="252"/>
      <c r="N35" s="252"/>
      <c r="O35" s="252"/>
      <c r="P35" s="252"/>
      <c r="Q35" s="252"/>
    </row>
  </sheetData>
  <mergeCells count="32">
    <mergeCell ref="A19:B19"/>
    <mergeCell ref="A20:B20"/>
    <mergeCell ref="A22:B22"/>
    <mergeCell ref="A18:B18"/>
    <mergeCell ref="K9:L9"/>
    <mergeCell ref="A13:B13"/>
    <mergeCell ref="A14:B14"/>
    <mergeCell ref="A15:B15"/>
    <mergeCell ref="A16:B16"/>
    <mergeCell ref="A17:B17"/>
    <mergeCell ref="M9:N9"/>
    <mergeCell ref="O9:P9"/>
    <mergeCell ref="A10:B10"/>
    <mergeCell ref="A11:B11"/>
    <mergeCell ref="A12:B12"/>
    <mergeCell ref="I9:J9"/>
    <mergeCell ref="A35:Q35"/>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s>
  <hyperlinks>
    <hyperlink ref="H1" location="Index" display="Back to Index" xr:uid="{00000000-0004-0000-0C00-000000000000}"/>
  </hyperlinks>
  <pageMargins left="0.25" right="0.25" top="0.25" bottom="0.25" header="0.3" footer="0.3"/>
  <pageSetup scale="40" fitToHeight="0" orientation="landscape" r:id="rId1"/>
  <headerFooter>
    <oddFooter>&amp;L&amp;G&amp;RPage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pageSetUpPr fitToPage="1"/>
  </sheetPr>
  <dimension ref="A1:S34"/>
  <sheetViews>
    <sheetView zoomScale="90" zoomScaleNormal="90" workbookViewId="0">
      <selection activeCell="J18" sqref="J18"/>
    </sheetView>
  </sheetViews>
  <sheetFormatPr defaultColWidth="9.140625" defaultRowHeight="14.25" x14ac:dyDescent="0.2"/>
  <cols>
    <col min="1" max="1" width="46.7109375" style="2" customWidth="1"/>
    <col min="2" max="2" width="11.5703125" style="2" customWidth="1"/>
    <col min="3" max="3" width="20.7109375" style="2" bestFit="1" customWidth="1"/>
    <col min="4" max="4" width="13.7109375" style="2" bestFit="1" customWidth="1"/>
    <col min="5" max="7" width="12.7109375" style="2" customWidth="1"/>
    <col min="8" max="8" width="15.7109375" style="2" customWidth="1"/>
    <col min="9" max="9" width="17.7109375" style="2" bestFit="1" customWidth="1"/>
    <col min="10" max="10" width="16.7109375" style="2" customWidth="1"/>
    <col min="11" max="11" width="17.7109375" style="2" bestFit="1" customWidth="1"/>
    <col min="12" max="12" width="18.28515625" style="2" customWidth="1"/>
    <col min="13" max="13" width="20.7109375" style="2" customWidth="1"/>
    <col min="14" max="14" width="18.7109375" style="2" customWidth="1"/>
    <col min="15" max="16" width="19.140625" style="2" customWidth="1"/>
    <col min="17" max="17" width="20.140625" style="2" bestFit="1" customWidth="1"/>
    <col min="18" max="18" width="16.28515625" style="2" customWidth="1"/>
    <col min="19" max="19" width="20.140625" style="2" bestFit="1" customWidth="1"/>
    <col min="20" max="20" width="9.140625" style="2"/>
    <col min="21" max="21" width="13" style="2" bestFit="1" customWidth="1"/>
    <col min="22" max="23" width="11.28515625" style="2" bestFit="1" customWidth="1"/>
    <col min="24" max="24" width="9.7109375" style="2" bestFit="1" customWidth="1"/>
    <col min="25" max="25" width="13" style="2" bestFit="1" customWidth="1"/>
    <col min="26" max="26" width="9.140625" style="2"/>
    <col min="27" max="27" width="13" style="2" bestFit="1" customWidth="1"/>
    <col min="28" max="28" width="11.28515625" style="2" bestFit="1" customWidth="1"/>
    <col min="29" max="16384" width="9.140625" style="2"/>
  </cols>
  <sheetData>
    <row r="1" spans="1:19" s="9" customFormat="1" ht="36.75" customHeight="1" x14ac:dyDescent="0.25">
      <c r="A1" s="220" t="s">
        <v>59</v>
      </c>
      <c r="B1" s="247"/>
      <c r="C1" s="247"/>
      <c r="D1" s="247"/>
      <c r="E1" s="247"/>
      <c r="F1" s="247"/>
      <c r="G1" s="247"/>
      <c r="H1" s="248"/>
      <c r="I1" s="247"/>
      <c r="J1" s="247"/>
      <c r="K1" s="247"/>
      <c r="L1" s="247"/>
      <c r="M1" s="247"/>
      <c r="N1" s="247"/>
      <c r="O1" s="247"/>
      <c r="P1" s="247"/>
      <c r="Q1" s="247"/>
      <c r="R1" s="247"/>
      <c r="S1" s="247"/>
    </row>
    <row r="3" spans="1:19" ht="15" thickBot="1" x14ac:dyDescent="0.25"/>
    <row r="4" spans="1:19" ht="15" x14ac:dyDescent="0.25">
      <c r="A4" s="222" t="s">
        <v>148</v>
      </c>
      <c r="B4" s="223"/>
      <c r="C4" s="223"/>
      <c r="D4" s="223"/>
      <c r="E4" s="223"/>
      <c r="F4" s="223"/>
      <c r="G4" s="223"/>
      <c r="H4" s="223"/>
      <c r="I4" s="223"/>
      <c r="J4" s="223"/>
      <c r="K4" s="223"/>
      <c r="L4" s="223"/>
      <c r="M4" s="223"/>
      <c r="N4" s="223"/>
      <c r="O4" s="223"/>
      <c r="P4" s="223"/>
      <c r="Q4" s="223"/>
      <c r="R4" s="223"/>
      <c r="S4" s="224"/>
    </row>
    <row r="5" spans="1:19" x14ac:dyDescent="0.2">
      <c r="A5" s="12"/>
      <c r="S5" s="13"/>
    </row>
    <row r="6" spans="1:19" ht="15" x14ac:dyDescent="0.25">
      <c r="A6" s="12"/>
      <c r="B6" s="14" t="s">
        <v>8</v>
      </c>
      <c r="C6" s="225" t="s">
        <v>9</v>
      </c>
      <c r="D6" s="226"/>
      <c r="E6" s="225" t="s">
        <v>10</v>
      </c>
      <c r="F6" s="227"/>
      <c r="G6" s="226"/>
      <c r="H6" s="225" t="s">
        <v>11</v>
      </c>
      <c r="I6" s="226"/>
      <c r="J6" s="225" t="s">
        <v>12</v>
      </c>
      <c r="K6" s="226"/>
      <c r="L6" s="225" t="s">
        <v>13</v>
      </c>
      <c r="M6" s="226"/>
      <c r="N6" s="225" t="s">
        <v>14</v>
      </c>
      <c r="O6" s="226"/>
      <c r="P6" s="225" t="s">
        <v>15</v>
      </c>
      <c r="Q6" s="226"/>
      <c r="R6" s="225" t="s">
        <v>16</v>
      </c>
      <c r="S6" s="228"/>
    </row>
    <row r="7" spans="1:19" ht="15" hidden="1" customHeight="1" x14ac:dyDescent="0.25">
      <c r="A7" s="12"/>
      <c r="B7" s="14" t="s">
        <v>17</v>
      </c>
      <c r="C7" s="15"/>
      <c r="D7" s="16"/>
      <c r="E7" s="17" t="s">
        <v>18</v>
      </c>
      <c r="G7" s="18"/>
      <c r="H7" s="17" t="s">
        <v>19</v>
      </c>
      <c r="I7" s="18"/>
      <c r="J7" s="17" t="s">
        <v>20</v>
      </c>
      <c r="K7" s="18"/>
      <c r="L7" s="17" t="s">
        <v>21</v>
      </c>
      <c r="M7" s="18"/>
      <c r="N7" s="17" t="s">
        <v>22</v>
      </c>
      <c r="O7" s="18"/>
      <c r="P7" s="17" t="s">
        <v>23</v>
      </c>
      <c r="Q7" s="18"/>
      <c r="R7" s="17" t="s">
        <v>24</v>
      </c>
      <c r="S7" s="13"/>
    </row>
    <row r="8" spans="1:19" s="26" customFormat="1" ht="15" x14ac:dyDescent="0.25">
      <c r="A8" s="19"/>
      <c r="B8" s="14" t="s">
        <v>25</v>
      </c>
      <c r="C8" s="20">
        <v>0</v>
      </c>
      <c r="D8" s="21">
        <v>25000</v>
      </c>
      <c r="E8" s="22">
        <v>0</v>
      </c>
      <c r="F8" s="23"/>
      <c r="G8" s="24">
        <v>25000</v>
      </c>
      <c r="H8" s="22">
        <v>25001</v>
      </c>
      <c r="I8" s="24">
        <v>75000</v>
      </c>
      <c r="J8" s="22">
        <v>75001</v>
      </c>
      <c r="K8" s="24">
        <v>125000</v>
      </c>
      <c r="L8" s="22">
        <v>125001</v>
      </c>
      <c r="M8" s="24">
        <v>175000</v>
      </c>
      <c r="N8" s="22">
        <v>175001</v>
      </c>
      <c r="O8" s="24">
        <v>225000</v>
      </c>
      <c r="P8" s="22">
        <v>225001</v>
      </c>
      <c r="Q8" s="24">
        <v>275000</v>
      </c>
      <c r="R8" s="22">
        <v>275001</v>
      </c>
      <c r="S8" s="25">
        <f>R8+49999</f>
        <v>325000</v>
      </c>
    </row>
    <row r="9" spans="1:19" s="10" customFormat="1" ht="15" x14ac:dyDescent="0.25">
      <c r="A9" s="27"/>
      <c r="B9" s="28" t="s">
        <v>26</v>
      </c>
      <c r="C9" s="29"/>
      <c r="D9" s="81"/>
      <c r="E9" s="231" t="s">
        <v>27</v>
      </c>
      <c r="F9" s="232"/>
      <c r="G9" s="233"/>
      <c r="H9" s="234">
        <v>0</v>
      </c>
      <c r="I9" s="235"/>
      <c r="J9" s="234">
        <v>0</v>
      </c>
      <c r="K9" s="235"/>
      <c r="L9" s="234">
        <v>0</v>
      </c>
      <c r="M9" s="235"/>
      <c r="N9" s="234">
        <v>0</v>
      </c>
      <c r="O9" s="235"/>
      <c r="P9" s="234">
        <v>0</v>
      </c>
      <c r="Q9" s="235"/>
      <c r="R9" s="234">
        <v>0</v>
      </c>
      <c r="S9" s="236"/>
    </row>
    <row r="10" spans="1:19" s="9" customFormat="1" ht="24.75" customHeight="1" x14ac:dyDescent="0.25">
      <c r="A10" s="30"/>
      <c r="C10" s="237" t="s">
        <v>28</v>
      </c>
      <c r="D10" s="238"/>
      <c r="E10" s="31" t="s">
        <v>29</v>
      </c>
      <c r="F10" s="32" t="s">
        <v>30</v>
      </c>
      <c r="G10" s="33" t="s">
        <v>31</v>
      </c>
      <c r="H10" s="31" t="s">
        <v>29</v>
      </c>
      <c r="I10" s="33" t="s">
        <v>32</v>
      </c>
      <c r="J10" s="31" t="s">
        <v>29</v>
      </c>
      <c r="K10" s="33" t="s">
        <v>32</v>
      </c>
      <c r="L10" s="31" t="s">
        <v>29</v>
      </c>
      <c r="M10" s="33" t="s">
        <v>32</v>
      </c>
      <c r="N10" s="31" t="s">
        <v>29</v>
      </c>
      <c r="O10" s="33" t="s">
        <v>32</v>
      </c>
      <c r="P10" s="34" t="s">
        <v>29</v>
      </c>
      <c r="Q10" s="33" t="s">
        <v>32</v>
      </c>
      <c r="R10" s="31" t="s">
        <v>29</v>
      </c>
      <c r="S10" s="35" t="s">
        <v>32</v>
      </c>
    </row>
    <row r="11" spans="1:19" ht="15" x14ac:dyDescent="0.25">
      <c r="A11" s="245" t="s">
        <v>0</v>
      </c>
      <c r="B11" s="246"/>
      <c r="C11" s="239">
        <f>(2029952.77662586)*B21</f>
        <v>2029952.77662586</v>
      </c>
      <c r="D11" s="240"/>
      <c r="E11" s="37" t="s">
        <v>33</v>
      </c>
      <c r="F11" s="38" t="s">
        <v>33</v>
      </c>
      <c r="G11" s="39" t="s">
        <v>33</v>
      </c>
      <c r="H11" s="40">
        <f>6.7387282898493*B21</f>
        <v>6.7387282898493002</v>
      </c>
      <c r="I11" s="41">
        <f>MAX(ROUND((H$9-25000)*H11,2),0)</f>
        <v>0</v>
      </c>
      <c r="J11" s="40">
        <f>5.84247334532079*B21</f>
        <v>5.8424733453207898</v>
      </c>
      <c r="K11" s="41">
        <f>MAX(ROUND((J$9-25000)*J11,2),0)</f>
        <v>0</v>
      </c>
      <c r="L11" s="40">
        <f>5.78883226795334*B21</f>
        <v>5.7888322679533397</v>
      </c>
      <c r="M11" s="41">
        <f>MAX(ROUND((L$9-25000)*L11,2),0)</f>
        <v>0</v>
      </c>
      <c r="N11" s="40">
        <f>5.07165692027698*B21</f>
        <v>5.0716569202769799</v>
      </c>
      <c r="O11" s="41">
        <f>MAX(ROUND((N$9-25000)*N11,2),0)</f>
        <v>0</v>
      </c>
      <c r="P11" s="40">
        <f>5.08775211613958*B21</f>
        <v>5.0877521161395798</v>
      </c>
      <c r="Q11" s="41">
        <f>MAX(ROUND((P$9-25000)*P11,2),0)</f>
        <v>0</v>
      </c>
      <c r="R11" s="40">
        <f>5.23556563282078*B21</f>
        <v>5.23556563282078</v>
      </c>
      <c r="S11" s="42">
        <f>MAX(ROUND((R$9-25000)*R11,2),0)</f>
        <v>0</v>
      </c>
    </row>
    <row r="12" spans="1:19" s="48" customFormat="1" ht="15" x14ac:dyDescent="0.25">
      <c r="A12" s="241" t="s">
        <v>149</v>
      </c>
      <c r="B12" s="242"/>
      <c r="C12" s="243">
        <f>C11</f>
        <v>2029952.77662586</v>
      </c>
      <c r="D12" s="244"/>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2"/>
      <c r="S13" s="13"/>
    </row>
    <row r="14" spans="1:19" ht="15.75" thickBot="1" x14ac:dyDescent="0.3">
      <c r="A14" s="229" t="s">
        <v>150</v>
      </c>
      <c r="B14" s="230"/>
      <c r="C14" s="82">
        <f>SUM(E12:S12)+C12</f>
        <v>2029952.77662586</v>
      </c>
      <c r="D14" s="14"/>
      <c r="E14" s="43"/>
      <c r="Q14" s="10"/>
      <c r="S14" s="13"/>
    </row>
    <row r="15" spans="1:19" x14ac:dyDescent="0.2">
      <c r="A15" s="12"/>
      <c r="S15" s="13"/>
    </row>
    <row r="16" spans="1:19" ht="15" x14ac:dyDescent="0.25">
      <c r="A16" s="90" t="s">
        <v>111</v>
      </c>
      <c r="B16" s="91"/>
      <c r="S16" s="13"/>
    </row>
    <row r="17" spans="1:19" ht="15" x14ac:dyDescent="0.25">
      <c r="A17" s="92" t="s">
        <v>112</v>
      </c>
      <c r="B17" s="93">
        <v>0</v>
      </c>
      <c r="S17" s="13"/>
    </row>
    <row r="18" spans="1:19" ht="15" x14ac:dyDescent="0.25">
      <c r="A18" s="92" t="s">
        <v>113</v>
      </c>
      <c r="B18" s="93">
        <v>0</v>
      </c>
      <c r="S18" s="13"/>
    </row>
    <row r="19" spans="1:19" ht="15" x14ac:dyDescent="0.25">
      <c r="A19" s="92" t="s">
        <v>114</v>
      </c>
      <c r="B19" s="93">
        <f>B18-B17</f>
        <v>0</v>
      </c>
      <c r="S19" s="13"/>
    </row>
    <row r="20" spans="1:19" ht="15" x14ac:dyDescent="0.25">
      <c r="A20" s="92" t="s">
        <v>116</v>
      </c>
      <c r="B20" s="93">
        <f>IFERROR(B19/B17,0)</f>
        <v>0</v>
      </c>
      <c r="S20" s="13"/>
    </row>
    <row r="21" spans="1:19" ht="15" x14ac:dyDescent="0.25">
      <c r="A21" s="92" t="s">
        <v>115</v>
      </c>
      <c r="B21" s="93">
        <f>B20+1</f>
        <v>1</v>
      </c>
      <c r="S21" s="13"/>
    </row>
    <row r="22" spans="1:19" x14ac:dyDescent="0.2">
      <c r="A22" s="12"/>
      <c r="S22" s="13"/>
    </row>
    <row r="23" spans="1:19" x14ac:dyDescent="0.2">
      <c r="A23" s="12" t="s">
        <v>34</v>
      </c>
      <c r="C23" s="49">
        <v>0.03</v>
      </c>
      <c r="S23" s="13"/>
    </row>
    <row r="24" spans="1:19" x14ac:dyDescent="0.2">
      <c r="A24" s="12" t="s">
        <v>35</v>
      </c>
      <c r="C24" s="50">
        <v>10.1497638831293</v>
      </c>
      <c r="J24" s="51"/>
      <c r="S24" s="13"/>
    </row>
    <row r="25" spans="1:19" ht="15" thickBot="1" x14ac:dyDescent="0.25">
      <c r="A25" s="52" t="s">
        <v>36</v>
      </c>
      <c r="B25" s="53"/>
      <c r="C25" s="53"/>
      <c r="D25" s="53"/>
      <c r="E25" s="53"/>
      <c r="F25" s="53"/>
      <c r="G25" s="53"/>
      <c r="H25" s="79">
        <v>1</v>
      </c>
      <c r="I25" s="53"/>
      <c r="J25" s="79">
        <v>1</v>
      </c>
      <c r="K25" s="53"/>
      <c r="L25" s="79">
        <v>1</v>
      </c>
      <c r="M25" s="53"/>
      <c r="N25" s="79">
        <v>1</v>
      </c>
      <c r="O25" s="53"/>
      <c r="P25" s="79">
        <v>1</v>
      </c>
      <c r="Q25" s="53"/>
      <c r="R25" s="79">
        <v>1</v>
      </c>
      <c r="S25" s="55"/>
    </row>
    <row r="34" spans="3:3" x14ac:dyDescent="0.2">
      <c r="C34" s="65"/>
    </row>
  </sheetData>
  <mergeCells count="23">
    <mergeCell ref="R9:S9"/>
    <mergeCell ref="C10:D10"/>
    <mergeCell ref="C11:D11"/>
    <mergeCell ref="A12:B12"/>
    <mergeCell ref="C12:D12"/>
    <mergeCell ref="N9:O9"/>
    <mergeCell ref="P9:Q9"/>
    <mergeCell ref="A11:B11"/>
    <mergeCell ref="A14:B14"/>
    <mergeCell ref="E9:G9"/>
    <mergeCell ref="H9:I9"/>
    <mergeCell ref="J9:K9"/>
    <mergeCell ref="L9:M9"/>
    <mergeCell ref="A1:S1"/>
    <mergeCell ref="A4:S4"/>
    <mergeCell ref="C6:D6"/>
    <mergeCell ref="E6:G6"/>
    <mergeCell ref="H6:I6"/>
    <mergeCell ref="J6:K6"/>
    <mergeCell ref="L6:M6"/>
    <mergeCell ref="N6:O6"/>
    <mergeCell ref="P6:Q6"/>
    <mergeCell ref="R6:S6"/>
  </mergeCells>
  <hyperlinks>
    <hyperlink ref="H1" location="Index" display="Back to Index" xr:uid="{00000000-0004-0000-0D00-000000000000}"/>
  </hyperlinks>
  <pageMargins left="0.25" right="0.25" top="0.25" bottom="0.25" header="0.3" footer="0.3"/>
  <pageSetup scale="38" fitToHeight="0" orientation="landscape" r:id="rId1"/>
  <headerFooter>
    <oddFooter>&amp;L&amp;G&amp;RPage &amp;P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pageSetUpPr fitToPage="1"/>
  </sheetPr>
  <dimension ref="A1:Y40"/>
  <sheetViews>
    <sheetView zoomScale="90" zoomScaleNormal="90" workbookViewId="0">
      <selection activeCell="J25" sqref="J25"/>
    </sheetView>
  </sheetViews>
  <sheetFormatPr defaultColWidth="9.140625" defaultRowHeight="14.25" x14ac:dyDescent="0.2"/>
  <cols>
    <col min="1" max="1" width="46.7109375" style="2" customWidth="1"/>
    <col min="2" max="2" width="11.5703125" style="2" customWidth="1"/>
    <col min="3" max="3" width="25.7109375" style="2" bestFit="1" customWidth="1"/>
    <col min="4" max="4" width="21.7109375" style="2" customWidth="1"/>
    <col min="5" max="5" width="12.7109375" style="2" customWidth="1"/>
    <col min="6" max="6" width="18.7109375" style="2" customWidth="1"/>
    <col min="7" max="7" width="17.28515625" style="2" customWidth="1"/>
    <col min="8" max="8" width="12.7109375" style="2" customWidth="1"/>
    <col min="9" max="9" width="17.42578125" style="2" customWidth="1"/>
    <col min="10" max="10" width="17.140625" style="2" bestFit="1" customWidth="1"/>
    <col min="11" max="11" width="15.7109375" style="2" bestFit="1" customWidth="1"/>
    <col min="12" max="12" width="17.28515625" style="2" customWidth="1"/>
    <col min="13" max="13" width="17.140625" style="2" bestFit="1" customWidth="1"/>
    <col min="14" max="14" width="12.7109375" style="2" customWidth="1"/>
    <col min="15" max="15" width="17.7109375" style="2" bestFit="1" customWidth="1"/>
    <col min="16" max="16" width="17.140625" style="2" bestFit="1" customWidth="1"/>
    <col min="17" max="17" width="12.7109375" style="2" customWidth="1"/>
    <col min="18" max="18" width="17.7109375" style="2" bestFit="1" customWidth="1"/>
    <col min="19" max="19" width="17.140625" style="2" bestFit="1" customWidth="1"/>
    <col min="20" max="20" width="12.7109375" style="2" customWidth="1"/>
    <col min="21" max="21" width="17.7109375" style="2" bestFit="1" customWidth="1"/>
    <col min="22" max="22" width="17.140625" style="2" bestFit="1" customWidth="1"/>
    <col min="23" max="23" width="12.7109375" style="2" customWidth="1"/>
    <col min="24" max="24" width="17.7109375" style="2" bestFit="1" customWidth="1"/>
    <col min="25" max="25" width="17.140625" style="2" bestFit="1" customWidth="1"/>
    <col min="26" max="16384" width="9.140625" style="2"/>
  </cols>
  <sheetData>
    <row r="1" spans="1:25" ht="35.25" customHeight="1" x14ac:dyDescent="0.25">
      <c r="A1" s="220" t="s">
        <v>60</v>
      </c>
      <c r="B1" s="247"/>
      <c r="C1" s="247"/>
      <c r="D1" s="247"/>
      <c r="E1" s="247"/>
      <c r="F1" s="247"/>
      <c r="G1" s="247"/>
      <c r="H1" s="248"/>
      <c r="I1" s="247"/>
      <c r="J1" s="247"/>
      <c r="K1" s="247"/>
      <c r="L1" s="247"/>
      <c r="M1" s="247"/>
      <c r="N1" s="247"/>
      <c r="O1" s="247"/>
      <c r="P1" s="247"/>
      <c r="Q1" s="247"/>
      <c r="R1" s="247"/>
      <c r="S1" s="247"/>
    </row>
    <row r="2" spans="1:25" x14ac:dyDescent="0.2">
      <c r="A2" s="11"/>
    </row>
    <row r="3" spans="1:25" ht="15" thickBot="1" x14ac:dyDescent="0.25"/>
    <row r="4" spans="1:25" ht="15" x14ac:dyDescent="0.25">
      <c r="A4" s="222" t="s">
        <v>151</v>
      </c>
      <c r="B4" s="223"/>
      <c r="C4" s="223"/>
      <c r="D4" s="223"/>
      <c r="E4" s="223"/>
      <c r="F4" s="223"/>
      <c r="G4" s="223"/>
      <c r="H4" s="223"/>
      <c r="I4" s="223"/>
      <c r="J4" s="223"/>
      <c r="K4" s="223"/>
      <c r="L4" s="223"/>
      <c r="M4" s="223"/>
      <c r="N4" s="223"/>
      <c r="O4" s="223"/>
      <c r="P4" s="223"/>
      <c r="Q4" s="223"/>
      <c r="R4" s="223"/>
      <c r="S4" s="223"/>
      <c r="T4" s="223"/>
      <c r="U4" s="223"/>
      <c r="V4" s="223"/>
      <c r="W4" s="223"/>
      <c r="X4" s="223"/>
      <c r="Y4" s="224"/>
    </row>
    <row r="5" spans="1:25" x14ac:dyDescent="0.2">
      <c r="A5" s="12"/>
      <c r="Y5" s="13"/>
    </row>
    <row r="6" spans="1:25" ht="15" x14ac:dyDescent="0.25">
      <c r="A6" s="12"/>
      <c r="B6" s="14" t="s">
        <v>8</v>
      </c>
      <c r="C6" s="225" t="s">
        <v>9</v>
      </c>
      <c r="D6" s="226"/>
      <c r="E6" s="225" t="s">
        <v>10</v>
      </c>
      <c r="F6" s="227"/>
      <c r="G6" s="226"/>
      <c r="H6" s="225" t="s">
        <v>11</v>
      </c>
      <c r="I6" s="227"/>
      <c r="J6" s="226"/>
      <c r="K6" s="225" t="s">
        <v>12</v>
      </c>
      <c r="L6" s="227"/>
      <c r="M6" s="226"/>
      <c r="N6" s="225" t="s">
        <v>13</v>
      </c>
      <c r="O6" s="227"/>
      <c r="P6" s="226"/>
      <c r="Q6" s="225" t="s">
        <v>14</v>
      </c>
      <c r="R6" s="227"/>
      <c r="S6" s="226"/>
      <c r="T6" s="225" t="s">
        <v>15</v>
      </c>
      <c r="U6" s="227"/>
      <c r="V6" s="226"/>
      <c r="W6" s="225" t="s">
        <v>16</v>
      </c>
      <c r="X6" s="227"/>
      <c r="Y6" s="228"/>
    </row>
    <row r="7" spans="1:25" ht="15" hidden="1" x14ac:dyDescent="0.25">
      <c r="A7" s="12"/>
      <c r="B7" s="14" t="s">
        <v>17</v>
      </c>
      <c r="C7" s="15"/>
      <c r="D7" s="16"/>
      <c r="E7" s="17" t="s">
        <v>18</v>
      </c>
      <c r="G7" s="18"/>
      <c r="H7" s="17" t="s">
        <v>19</v>
      </c>
      <c r="J7" s="18"/>
      <c r="K7" s="17" t="s">
        <v>20</v>
      </c>
      <c r="M7" s="18"/>
      <c r="N7" s="17" t="s">
        <v>21</v>
      </c>
      <c r="P7" s="18"/>
      <c r="Q7" s="17" t="s">
        <v>22</v>
      </c>
      <c r="S7" s="18"/>
      <c r="T7" s="17" t="s">
        <v>23</v>
      </c>
      <c r="V7" s="18"/>
      <c r="W7" s="17" t="s">
        <v>24</v>
      </c>
      <c r="Y7" s="13"/>
    </row>
    <row r="8" spans="1:25" s="26" customFormat="1" ht="15" x14ac:dyDescent="0.25">
      <c r="A8" s="19"/>
      <c r="B8" s="14" t="s">
        <v>25</v>
      </c>
      <c r="C8" s="20">
        <v>0</v>
      </c>
      <c r="D8" s="21">
        <v>25000</v>
      </c>
      <c r="E8" s="22">
        <v>0</v>
      </c>
      <c r="F8" s="23"/>
      <c r="G8" s="24">
        <v>25000</v>
      </c>
      <c r="H8" s="22">
        <v>25001</v>
      </c>
      <c r="I8" s="23"/>
      <c r="J8" s="24">
        <v>75000</v>
      </c>
      <c r="K8" s="22">
        <v>75001</v>
      </c>
      <c r="L8" s="23"/>
      <c r="M8" s="24">
        <v>125000</v>
      </c>
      <c r="N8" s="22">
        <v>125001</v>
      </c>
      <c r="O8" s="23"/>
      <c r="P8" s="24">
        <v>175000</v>
      </c>
      <c r="Q8" s="22">
        <v>175001</v>
      </c>
      <c r="R8" s="23"/>
      <c r="S8" s="24">
        <v>225000</v>
      </c>
      <c r="T8" s="22">
        <v>225001</v>
      </c>
      <c r="U8" s="23"/>
      <c r="V8" s="24">
        <v>275000</v>
      </c>
      <c r="W8" s="22">
        <v>275001</v>
      </c>
      <c r="X8" s="23"/>
      <c r="Y8" s="25">
        <f>W8+49999</f>
        <v>325000</v>
      </c>
    </row>
    <row r="9" spans="1:25" s="10" customFormat="1" ht="15" x14ac:dyDescent="0.25">
      <c r="A9" s="27"/>
      <c r="B9" s="28" t="s">
        <v>26</v>
      </c>
      <c r="C9" s="29"/>
      <c r="D9" s="81"/>
      <c r="E9" s="231" t="s">
        <v>27</v>
      </c>
      <c r="F9" s="232"/>
      <c r="G9" s="233"/>
      <c r="H9" s="234">
        <v>0</v>
      </c>
      <c r="I9" s="249"/>
      <c r="J9" s="235"/>
      <c r="K9" s="234">
        <v>0</v>
      </c>
      <c r="L9" s="249"/>
      <c r="M9" s="235"/>
      <c r="N9" s="234">
        <v>0</v>
      </c>
      <c r="O9" s="249"/>
      <c r="P9" s="235"/>
      <c r="Q9" s="234">
        <v>0</v>
      </c>
      <c r="R9" s="249"/>
      <c r="S9" s="235"/>
      <c r="T9" s="234">
        <v>0</v>
      </c>
      <c r="U9" s="249"/>
      <c r="V9" s="235"/>
      <c r="W9" s="234">
        <v>0</v>
      </c>
      <c r="X9" s="249"/>
      <c r="Y9" s="236"/>
    </row>
    <row r="10" spans="1:25" s="9" customFormat="1" ht="24.75" x14ac:dyDescent="0.25">
      <c r="A10" s="30" t="s">
        <v>37</v>
      </c>
      <c r="C10" s="31" t="s">
        <v>38</v>
      </c>
      <c r="D10" s="33" t="s">
        <v>39</v>
      </c>
      <c r="E10" s="31" t="s">
        <v>29</v>
      </c>
      <c r="F10" s="32" t="s">
        <v>30</v>
      </c>
      <c r="G10" s="33" t="s">
        <v>31</v>
      </c>
      <c r="H10" s="31" t="s">
        <v>29</v>
      </c>
      <c r="I10" s="32" t="s">
        <v>30</v>
      </c>
      <c r="J10" s="33" t="s">
        <v>31</v>
      </c>
      <c r="K10" s="31" t="s">
        <v>29</v>
      </c>
      <c r="L10" s="32" t="s">
        <v>30</v>
      </c>
      <c r="M10" s="33" t="s">
        <v>31</v>
      </c>
      <c r="N10" s="31" t="s">
        <v>29</v>
      </c>
      <c r="O10" s="32" t="s">
        <v>30</v>
      </c>
      <c r="P10" s="33" t="s">
        <v>31</v>
      </c>
      <c r="Q10" s="31" t="s">
        <v>29</v>
      </c>
      <c r="R10" s="32" t="s">
        <v>30</v>
      </c>
      <c r="S10" s="33" t="s">
        <v>31</v>
      </c>
      <c r="T10" s="31" t="s">
        <v>29</v>
      </c>
      <c r="U10" s="32" t="s">
        <v>30</v>
      </c>
      <c r="V10" s="33" t="s">
        <v>31</v>
      </c>
      <c r="W10" s="31" t="s">
        <v>29</v>
      </c>
      <c r="X10" s="32" t="s">
        <v>30</v>
      </c>
      <c r="Y10" s="35" t="s">
        <v>31</v>
      </c>
    </row>
    <row r="11" spans="1:25" x14ac:dyDescent="0.2">
      <c r="A11" s="250" t="s">
        <v>40</v>
      </c>
      <c r="B11" s="251"/>
      <c r="C11" s="61">
        <f>161986.480523059*B29</f>
        <v>161986.480523059</v>
      </c>
      <c r="D11" s="41">
        <f t="shared" ref="D11:D19" si="0">C11*12</f>
        <v>1943837.7662767079</v>
      </c>
      <c r="E11" s="37" t="s">
        <v>33</v>
      </c>
      <c r="F11" s="37" t="s">
        <v>33</v>
      </c>
      <c r="G11" s="37" t="s">
        <v>33</v>
      </c>
      <c r="H11" s="40">
        <f>2.96671078033846*B29</f>
        <v>2.96671078033846</v>
      </c>
      <c r="I11" s="43">
        <f t="shared" ref="I11:I19" si="1">MAX(ROUND((H$9-25000)*H11,2),0)</f>
        <v>0</v>
      </c>
      <c r="J11" s="41">
        <f t="shared" ref="J11:J19" si="2">I11*12</f>
        <v>0</v>
      </c>
      <c r="K11" s="40">
        <f>2.56891352865735*B29</f>
        <v>2.5689135286573501</v>
      </c>
      <c r="L11" s="43">
        <f t="shared" ref="L11:L19" si="3">MAX(ROUND((K$9-25000)*K11,2),0)</f>
        <v>0</v>
      </c>
      <c r="M11" s="41">
        <f t="shared" ref="M11:M19" si="4">L11*12</f>
        <v>0</v>
      </c>
      <c r="N11" s="40">
        <f>2.18986031746827*B29</f>
        <v>2.1898603174682698</v>
      </c>
      <c r="O11" s="43">
        <f t="shared" ref="O11:O19" si="5">MAX(ROUND((N$9-25000)*N11,2),0)</f>
        <v>0</v>
      </c>
      <c r="P11" s="41">
        <f t="shared" ref="P11:P19" si="6">O11*12</f>
        <v>0</v>
      </c>
      <c r="Q11" s="40">
        <f>1.7775593927256*B29</f>
        <v>1.7775593927255999</v>
      </c>
      <c r="R11" s="43">
        <f t="shared" ref="R11:R19" si="7">MAX(ROUND((Q$9-25000)*Q11,2),0)</f>
        <v>0</v>
      </c>
      <c r="S11" s="41">
        <f t="shared" ref="S11:S19" si="8">R11*12</f>
        <v>0</v>
      </c>
      <c r="T11" s="40">
        <f>1.77014086623352*B29</f>
        <v>1.7701408662335201</v>
      </c>
      <c r="U11" s="43">
        <f t="shared" ref="U11:U19" si="9">MAX(ROUND((T$9-25000)*T11,2),0)</f>
        <v>0</v>
      </c>
      <c r="V11" s="41">
        <f t="shared" ref="V11:V19" si="10">U11*12</f>
        <v>0</v>
      </c>
      <c r="W11" s="40">
        <f>1.76360215647904*B29</f>
        <v>1.7636021564790401</v>
      </c>
      <c r="X11" s="43">
        <f t="shared" ref="X11:X19" si="11">MAX(ROUND((W$9-25000)*W11,2),0)</f>
        <v>0</v>
      </c>
      <c r="Y11" s="42">
        <f t="shared" ref="Y11:Y19" si="12">X11*12</f>
        <v>0</v>
      </c>
    </row>
    <row r="12" spans="1:25" x14ac:dyDescent="0.2">
      <c r="A12" s="250" t="s">
        <v>41</v>
      </c>
      <c r="B12" s="251"/>
      <c r="C12" s="61">
        <f>152570.839634497*B29</f>
        <v>152570.83963449701</v>
      </c>
      <c r="D12" s="41">
        <f t="shared" si="0"/>
        <v>1830850.0756139641</v>
      </c>
      <c r="E12" s="37" t="s">
        <v>33</v>
      </c>
      <c r="F12" s="37" t="s">
        <v>33</v>
      </c>
      <c r="G12" s="37" t="s">
        <v>33</v>
      </c>
      <c r="H12" s="40">
        <f>2.33667713817016*B29</f>
        <v>2.3366771381701601</v>
      </c>
      <c r="I12" s="43">
        <f t="shared" si="1"/>
        <v>0</v>
      </c>
      <c r="J12" s="41">
        <f t="shared" si="2"/>
        <v>0</v>
      </c>
      <c r="K12" s="40">
        <f>2.36604533577635*B29</f>
        <v>2.36604533577635</v>
      </c>
      <c r="L12" s="43">
        <f t="shared" si="3"/>
        <v>0</v>
      </c>
      <c r="M12" s="41">
        <f t="shared" si="4"/>
        <v>0</v>
      </c>
      <c r="N12" s="40">
        <f>1.99012931409962*B29</f>
        <v>1.9901293140996199</v>
      </c>
      <c r="O12" s="43">
        <f t="shared" si="5"/>
        <v>0</v>
      </c>
      <c r="P12" s="41">
        <f t="shared" si="6"/>
        <v>0</v>
      </c>
      <c r="Q12" s="40">
        <f>1.601817300333*B29</f>
        <v>1.6018173003330001</v>
      </c>
      <c r="R12" s="43">
        <f t="shared" si="7"/>
        <v>0</v>
      </c>
      <c r="S12" s="41">
        <f t="shared" si="8"/>
        <v>0</v>
      </c>
      <c r="T12" s="40">
        <f>1.5940383216899*B29</f>
        <v>1.5940383216898999</v>
      </c>
      <c r="U12" s="43">
        <f t="shared" si="9"/>
        <v>0</v>
      </c>
      <c r="V12" s="41">
        <f t="shared" si="10"/>
        <v>0</v>
      </c>
      <c r="W12" s="40">
        <f>1.58794891003681*B29</f>
        <v>1.58794891003681</v>
      </c>
      <c r="X12" s="43">
        <f t="shared" si="11"/>
        <v>0</v>
      </c>
      <c r="Y12" s="42">
        <f t="shared" si="12"/>
        <v>0</v>
      </c>
    </row>
    <row r="13" spans="1:25" x14ac:dyDescent="0.2">
      <c r="A13" s="250" t="s">
        <v>42</v>
      </c>
      <c r="B13" s="251"/>
      <c r="C13" s="61">
        <f>152834.05019709*B29</f>
        <v>152834.05019708999</v>
      </c>
      <c r="D13" s="41">
        <f t="shared" si="0"/>
        <v>1834008.6023650798</v>
      </c>
      <c r="E13" s="37" t="s">
        <v>33</v>
      </c>
      <c r="F13" s="37" t="s">
        <v>33</v>
      </c>
      <c r="G13" s="37" t="s">
        <v>33</v>
      </c>
      <c r="H13" s="40">
        <f>2.35678651277492*B29</f>
        <v>2.3567865127749199</v>
      </c>
      <c r="I13" s="43">
        <f t="shared" si="1"/>
        <v>0</v>
      </c>
      <c r="J13" s="41">
        <f t="shared" si="2"/>
        <v>0</v>
      </c>
      <c r="K13" s="40">
        <f>2.05209704012338*B29</f>
        <v>2.05209704012338</v>
      </c>
      <c r="L13" s="43">
        <f t="shared" si="3"/>
        <v>0</v>
      </c>
      <c r="M13" s="41">
        <f t="shared" si="4"/>
        <v>0</v>
      </c>
      <c r="N13" s="40">
        <f>1.74782224603466*B29</f>
        <v>1.74782224603466</v>
      </c>
      <c r="O13" s="43">
        <f t="shared" si="5"/>
        <v>0</v>
      </c>
      <c r="P13" s="41">
        <f t="shared" si="6"/>
        <v>0</v>
      </c>
      <c r="Q13" s="40">
        <f>1.45811997222798*B29</f>
        <v>1.4581199722279801</v>
      </c>
      <c r="R13" s="43">
        <f t="shared" si="7"/>
        <v>0</v>
      </c>
      <c r="S13" s="41">
        <f t="shared" si="8"/>
        <v>0</v>
      </c>
      <c r="T13" s="40">
        <f>1.44997328082771*B29</f>
        <v>1.4499732808277099</v>
      </c>
      <c r="U13" s="43">
        <f t="shared" si="9"/>
        <v>0</v>
      </c>
      <c r="V13" s="41">
        <f t="shared" si="10"/>
        <v>0</v>
      </c>
      <c r="W13" s="40">
        <f>1.4443285468807*B29</f>
        <v>1.4443285468806999</v>
      </c>
      <c r="X13" s="43">
        <f t="shared" si="11"/>
        <v>0</v>
      </c>
      <c r="Y13" s="42">
        <f t="shared" si="12"/>
        <v>0</v>
      </c>
    </row>
    <row r="14" spans="1:25" x14ac:dyDescent="0.2">
      <c r="A14" s="250" t="s">
        <v>43</v>
      </c>
      <c r="B14" s="251"/>
      <c r="C14" s="61">
        <f>153189.655928298*B29</f>
        <v>153189.65592829799</v>
      </c>
      <c r="D14" s="41">
        <f t="shared" si="0"/>
        <v>1838275.8711395757</v>
      </c>
      <c r="E14" s="37" t="s">
        <v>33</v>
      </c>
      <c r="F14" s="37" t="s">
        <v>33</v>
      </c>
      <c r="G14" s="37" t="s">
        <v>33</v>
      </c>
      <c r="H14" s="40">
        <f>2.37408843272529*B29</f>
        <v>2.3740884327252898</v>
      </c>
      <c r="I14" s="43">
        <f t="shared" si="1"/>
        <v>0</v>
      </c>
      <c r="J14" s="41">
        <f t="shared" si="2"/>
        <v>0</v>
      </c>
      <c r="K14" s="40">
        <f>2.07127508224663*B29</f>
        <v>2.0712750822466299</v>
      </c>
      <c r="L14" s="43">
        <f t="shared" si="3"/>
        <v>0</v>
      </c>
      <c r="M14" s="41">
        <f t="shared" si="4"/>
        <v>0</v>
      </c>
      <c r="N14" s="40">
        <f>1.76115964997537*B29</f>
        <v>1.7611596499753699</v>
      </c>
      <c r="O14" s="43">
        <f t="shared" si="5"/>
        <v>0</v>
      </c>
      <c r="P14" s="41">
        <f t="shared" si="6"/>
        <v>0</v>
      </c>
      <c r="Q14" s="40">
        <f>1.46647730931263*B29</f>
        <v>1.46647730931263</v>
      </c>
      <c r="R14" s="43">
        <f t="shared" si="7"/>
        <v>0</v>
      </c>
      <c r="S14" s="41">
        <f t="shared" si="8"/>
        <v>0</v>
      </c>
      <c r="T14" s="40">
        <f>1.45795544863302*B29</f>
        <v>1.45795544863302</v>
      </c>
      <c r="U14" s="43">
        <f t="shared" si="9"/>
        <v>0</v>
      </c>
      <c r="V14" s="41">
        <f t="shared" si="10"/>
        <v>0</v>
      </c>
      <c r="W14" s="40">
        <f>1.45275067848279*B29</f>
        <v>1.4527506784827899</v>
      </c>
      <c r="X14" s="43">
        <f t="shared" si="11"/>
        <v>0</v>
      </c>
      <c r="Y14" s="42">
        <f t="shared" si="12"/>
        <v>0</v>
      </c>
    </row>
    <row r="15" spans="1:25" x14ac:dyDescent="0.2">
      <c r="A15" s="250" t="s">
        <v>44</v>
      </c>
      <c r="B15" s="251"/>
      <c r="C15" s="61">
        <f>156383.475298303*B29</f>
        <v>156383.475298303</v>
      </c>
      <c r="D15" s="41">
        <f t="shared" si="0"/>
        <v>1876601.7035796361</v>
      </c>
      <c r="E15" s="37" t="s">
        <v>33</v>
      </c>
      <c r="F15" s="37" t="s">
        <v>33</v>
      </c>
      <c r="G15" s="37" t="s">
        <v>33</v>
      </c>
      <c r="H15" s="40">
        <f>2.41685669059391*B29</f>
        <v>2.4168566905939102</v>
      </c>
      <c r="I15" s="43">
        <f t="shared" si="1"/>
        <v>0</v>
      </c>
      <c r="J15" s="41">
        <f t="shared" si="2"/>
        <v>0</v>
      </c>
      <c r="K15" s="40">
        <f>2.10988248219204*B29</f>
        <v>2.1098824821920399</v>
      </c>
      <c r="L15" s="43">
        <f t="shared" si="3"/>
        <v>0</v>
      </c>
      <c r="M15" s="41">
        <f t="shared" si="4"/>
        <v>0</v>
      </c>
      <c r="N15" s="40">
        <f>1.79356250646697*B29</f>
        <v>1.79356250646697</v>
      </c>
      <c r="O15" s="43">
        <f t="shared" si="5"/>
        <v>0</v>
      </c>
      <c r="P15" s="41">
        <f t="shared" si="6"/>
        <v>0</v>
      </c>
      <c r="Q15" s="40">
        <f>1.49359085141269*B29</f>
        <v>1.4935908514126901</v>
      </c>
      <c r="R15" s="43">
        <f t="shared" si="7"/>
        <v>0</v>
      </c>
      <c r="S15" s="41">
        <f t="shared" si="8"/>
        <v>0</v>
      </c>
      <c r="T15" s="40">
        <f>1.48480462283891*B29</f>
        <v>1.48480462283891</v>
      </c>
      <c r="U15" s="43">
        <f t="shared" si="9"/>
        <v>0</v>
      </c>
      <c r="V15" s="41">
        <f t="shared" si="10"/>
        <v>0</v>
      </c>
      <c r="W15" s="40">
        <f>1.47943158706448*B29</f>
        <v>1.4794315870644801</v>
      </c>
      <c r="X15" s="43">
        <f t="shared" si="11"/>
        <v>0</v>
      </c>
      <c r="Y15" s="42">
        <f t="shared" si="12"/>
        <v>0</v>
      </c>
    </row>
    <row r="16" spans="1:25" x14ac:dyDescent="0.2">
      <c r="A16" s="250" t="s">
        <v>45</v>
      </c>
      <c r="B16" s="251"/>
      <c r="C16" s="61">
        <f>159644.122268797*B29</f>
        <v>159644.12226879699</v>
      </c>
      <c r="D16" s="41">
        <f t="shared" si="0"/>
        <v>1915729.4672255637</v>
      </c>
      <c r="E16" s="37" t="s">
        <v>33</v>
      </c>
      <c r="F16" s="37" t="s">
        <v>33</v>
      </c>
      <c r="G16" s="37" t="s">
        <v>33</v>
      </c>
      <c r="H16" s="40">
        <f>2.46120947139922*B29</f>
        <v>2.4612094713992199</v>
      </c>
      <c r="I16" s="43">
        <f t="shared" si="1"/>
        <v>0</v>
      </c>
      <c r="J16" s="41">
        <f t="shared" si="2"/>
        <v>0</v>
      </c>
      <c r="K16" s="40">
        <f>2.14942815392672*B29</f>
        <v>2.1494281539267202</v>
      </c>
      <c r="L16" s="43">
        <f t="shared" si="3"/>
        <v>0</v>
      </c>
      <c r="M16" s="41">
        <f t="shared" si="4"/>
        <v>0</v>
      </c>
      <c r="N16" s="40">
        <f>1.82665494105615*B29</f>
        <v>1.8266549410561499</v>
      </c>
      <c r="O16" s="43">
        <f t="shared" si="5"/>
        <v>0</v>
      </c>
      <c r="P16" s="41">
        <f t="shared" si="6"/>
        <v>0</v>
      </c>
      <c r="Q16" s="40">
        <f>1.52129821007477*B29</f>
        <v>1.5212982100747701</v>
      </c>
      <c r="R16" s="43">
        <f t="shared" si="7"/>
        <v>0</v>
      </c>
      <c r="S16" s="41">
        <f t="shared" si="8"/>
        <v>0</v>
      </c>
      <c r="T16" s="40">
        <f>1.51223973256279*B29</f>
        <v>1.5122397325627901</v>
      </c>
      <c r="U16" s="43">
        <f t="shared" si="9"/>
        <v>0</v>
      </c>
      <c r="V16" s="41">
        <f t="shared" si="10"/>
        <v>0</v>
      </c>
      <c r="W16" s="40">
        <f>1.50669341594392*B29</f>
        <v>1.50669341594392</v>
      </c>
      <c r="X16" s="43">
        <f t="shared" si="11"/>
        <v>0</v>
      </c>
      <c r="Y16" s="42">
        <f t="shared" si="12"/>
        <v>0</v>
      </c>
    </row>
    <row r="17" spans="1:25" x14ac:dyDescent="0.2">
      <c r="A17" s="250" t="s">
        <v>46</v>
      </c>
      <c r="B17" s="251"/>
      <c r="C17" s="61">
        <f>162798.239559785*B29</f>
        <v>162798.239559785</v>
      </c>
      <c r="D17" s="41">
        <f t="shared" si="0"/>
        <v>1953578.87471742</v>
      </c>
      <c r="E17" s="37" t="s">
        <v>33</v>
      </c>
      <c r="F17" s="37" t="s">
        <v>33</v>
      </c>
      <c r="G17" s="37" t="s">
        <v>33</v>
      </c>
      <c r="H17" s="40">
        <f>2.50645151196475*B29</f>
        <v>2.5064515119647499</v>
      </c>
      <c r="I17" s="43">
        <f t="shared" si="1"/>
        <v>0</v>
      </c>
      <c r="J17" s="41">
        <f t="shared" si="2"/>
        <v>0</v>
      </c>
      <c r="K17" s="40">
        <f>2.19023310961853*B29</f>
        <v>2.1902331096185299</v>
      </c>
      <c r="L17" s="43">
        <f t="shared" si="3"/>
        <v>0</v>
      </c>
      <c r="M17" s="41">
        <f t="shared" si="4"/>
        <v>0</v>
      </c>
      <c r="N17" s="40">
        <f>1.86080659956575*B29</f>
        <v>1.8608065995657499</v>
      </c>
      <c r="O17" s="43">
        <f t="shared" si="5"/>
        <v>0</v>
      </c>
      <c r="P17" s="41">
        <f t="shared" si="6"/>
        <v>0</v>
      </c>
      <c r="Q17" s="40">
        <f>1.54957501083889*B29</f>
        <v>1.5495750108388899</v>
      </c>
      <c r="R17" s="43">
        <f t="shared" si="7"/>
        <v>0</v>
      </c>
      <c r="S17" s="41">
        <f t="shared" si="8"/>
        <v>0</v>
      </c>
      <c r="T17" s="40">
        <f>1.54023605113707*B29</f>
        <v>1.5402360511370701</v>
      </c>
      <c r="U17" s="43">
        <f t="shared" si="9"/>
        <v>0</v>
      </c>
      <c r="V17" s="41">
        <f t="shared" si="10"/>
        <v>0</v>
      </c>
      <c r="W17" s="40">
        <f>1.53451127664119*B29</f>
        <v>1.5345112766411899</v>
      </c>
      <c r="X17" s="43">
        <f t="shared" si="11"/>
        <v>0</v>
      </c>
      <c r="Y17" s="42">
        <f t="shared" si="12"/>
        <v>0</v>
      </c>
    </row>
    <row r="18" spans="1:25" x14ac:dyDescent="0.2">
      <c r="A18" s="250" t="s">
        <v>47</v>
      </c>
      <c r="B18" s="251"/>
      <c r="C18" s="61">
        <f>166214.636939282*B29</f>
        <v>166214.63693928201</v>
      </c>
      <c r="D18" s="41">
        <f t="shared" si="0"/>
        <v>1994575.6432713841</v>
      </c>
      <c r="E18" s="37" t="s">
        <v>33</v>
      </c>
      <c r="F18" s="37" t="s">
        <v>33</v>
      </c>
      <c r="G18" s="37" t="s">
        <v>33</v>
      </c>
      <c r="H18" s="40">
        <f>2.55260047235603*B29</f>
        <v>2.5526004723560298</v>
      </c>
      <c r="I18" s="43">
        <f t="shared" si="1"/>
        <v>0</v>
      </c>
      <c r="J18" s="41">
        <f t="shared" si="2"/>
        <v>0</v>
      </c>
      <c r="K18" s="40">
        <f>2.23188745704004*B29</f>
        <v>2.23188745704004</v>
      </c>
      <c r="L18" s="43">
        <f t="shared" si="3"/>
        <v>0</v>
      </c>
      <c r="M18" s="41">
        <f t="shared" si="4"/>
        <v>0</v>
      </c>
      <c r="N18" s="40">
        <f>1.8956624499313*B29</f>
        <v>1.8956624499313</v>
      </c>
      <c r="O18" s="43">
        <f t="shared" si="5"/>
        <v>0</v>
      </c>
      <c r="P18" s="41">
        <f t="shared" si="6"/>
        <v>0</v>
      </c>
      <c r="Q18" s="40">
        <f>1.57843300703779*B29</f>
        <v>1.5784330070377901</v>
      </c>
      <c r="R18" s="43">
        <f t="shared" si="7"/>
        <v>0</v>
      </c>
      <c r="S18" s="41">
        <f t="shared" si="8"/>
        <v>0</v>
      </c>
      <c r="T18" s="40">
        <f>1.56880517933996*B29</f>
        <v>1.56880517933996</v>
      </c>
      <c r="U18" s="43">
        <f t="shared" si="9"/>
        <v>0</v>
      </c>
      <c r="V18" s="41">
        <f t="shared" si="10"/>
        <v>0</v>
      </c>
      <c r="W18" s="40">
        <f>1.56289657937373*B29</f>
        <v>1.5628965793737299</v>
      </c>
      <c r="X18" s="43">
        <f t="shared" si="11"/>
        <v>0</v>
      </c>
      <c r="Y18" s="42">
        <f t="shared" si="12"/>
        <v>0</v>
      </c>
    </row>
    <row r="19" spans="1:25" x14ac:dyDescent="0.2">
      <c r="A19" s="250" t="s">
        <v>48</v>
      </c>
      <c r="B19" s="251"/>
      <c r="C19" s="61">
        <f>169714.627776502*B29</f>
        <v>169714.62777650199</v>
      </c>
      <c r="D19" s="41">
        <f t="shared" si="0"/>
        <v>2036575.5333180239</v>
      </c>
      <c r="E19" s="37" t="s">
        <v>33</v>
      </c>
      <c r="F19" s="37" t="s">
        <v>33</v>
      </c>
      <c r="G19" s="37" t="s">
        <v>33</v>
      </c>
      <c r="H19" s="40">
        <f>2.59967436078363*B29</f>
        <v>2.5996743607836299</v>
      </c>
      <c r="I19" s="43">
        <f t="shared" si="1"/>
        <v>0</v>
      </c>
      <c r="J19" s="41">
        <f t="shared" si="2"/>
        <v>0</v>
      </c>
      <c r="K19" s="40">
        <f>2.27440903900586*B29</f>
        <v>2.2744090390058598</v>
      </c>
      <c r="L19" s="43">
        <f t="shared" si="3"/>
        <v>0</v>
      </c>
      <c r="M19" s="41">
        <f t="shared" si="4"/>
        <v>0</v>
      </c>
      <c r="N19" s="40">
        <f>1.9312372165226*B29</f>
        <v>1.9312372165225999</v>
      </c>
      <c r="O19" s="43">
        <f t="shared" si="5"/>
        <v>0</v>
      </c>
      <c r="P19" s="41">
        <f t="shared" si="6"/>
        <v>0</v>
      </c>
      <c r="Q19" s="40">
        <f>1.6078843849082*B29</f>
        <v>1.6078843849082001</v>
      </c>
      <c r="R19" s="43">
        <f t="shared" si="7"/>
        <v>0</v>
      </c>
      <c r="S19" s="41">
        <f t="shared" si="8"/>
        <v>0</v>
      </c>
      <c r="T19" s="40">
        <f>1.59795901836726*B29</f>
        <v>1.5979590183672601</v>
      </c>
      <c r="U19" s="43">
        <f t="shared" si="9"/>
        <v>0</v>
      </c>
      <c r="V19" s="41">
        <f t="shared" si="10"/>
        <v>0</v>
      </c>
      <c r="W19" s="40">
        <f>1.59186107510744*B29</f>
        <v>1.59186107510744</v>
      </c>
      <c r="X19" s="43">
        <f t="shared" si="11"/>
        <v>0</v>
      </c>
      <c r="Y19" s="42">
        <f t="shared" si="12"/>
        <v>0</v>
      </c>
    </row>
    <row r="20" spans="1:25" s="48" customFormat="1" ht="15" x14ac:dyDescent="0.25">
      <c r="A20" s="241" t="s">
        <v>152</v>
      </c>
      <c r="B20" s="242"/>
      <c r="C20" s="62"/>
      <c r="D20" s="63">
        <f>SUM(D11:D19)</f>
        <v>17224033.537507355</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5" thickBot="1" x14ac:dyDescent="0.25">
      <c r="A21" s="12"/>
      <c r="Y21" s="13"/>
    </row>
    <row r="22" spans="1:25" ht="15.75" thickBot="1" x14ac:dyDescent="0.3">
      <c r="A22" s="229" t="s">
        <v>153</v>
      </c>
      <c r="B22" s="230"/>
      <c r="C22" s="82">
        <f>SUM(E20:Y20)+D20</f>
        <v>17224033.537507355</v>
      </c>
      <c r="D22" s="14"/>
      <c r="E22" s="43"/>
      <c r="V22" s="10"/>
      <c r="Y22" s="13"/>
    </row>
    <row r="23" spans="1:25" x14ac:dyDescent="0.2">
      <c r="A23" s="12"/>
      <c r="K23" s="66"/>
      <c r="L23" s="66"/>
      <c r="Y23" s="13"/>
    </row>
    <row r="24" spans="1:25" ht="15" x14ac:dyDescent="0.25">
      <c r="A24" s="90" t="s">
        <v>111</v>
      </c>
      <c r="B24" s="91"/>
      <c r="K24" s="66"/>
      <c r="L24" s="66"/>
      <c r="Y24" s="13"/>
    </row>
    <row r="25" spans="1:25" ht="15" x14ac:dyDescent="0.25">
      <c r="A25" s="92" t="s">
        <v>112</v>
      </c>
      <c r="B25" s="93">
        <v>0</v>
      </c>
      <c r="K25" s="66"/>
      <c r="L25" s="66"/>
      <c r="Y25" s="13"/>
    </row>
    <row r="26" spans="1:25" ht="15" x14ac:dyDescent="0.25">
      <c r="A26" s="92" t="s">
        <v>113</v>
      </c>
      <c r="B26" s="93">
        <v>0</v>
      </c>
      <c r="K26" s="66"/>
      <c r="L26" s="66"/>
      <c r="Y26" s="13"/>
    </row>
    <row r="27" spans="1:25" ht="15" x14ac:dyDescent="0.25">
      <c r="A27" s="92" t="s">
        <v>114</v>
      </c>
      <c r="B27" s="93">
        <f>B26-B25</f>
        <v>0</v>
      </c>
      <c r="K27" s="66"/>
      <c r="L27" s="66"/>
      <c r="Y27" s="13"/>
    </row>
    <row r="28" spans="1:25" ht="15" x14ac:dyDescent="0.25">
      <c r="A28" s="92" t="s">
        <v>116</v>
      </c>
      <c r="B28" s="93">
        <f>IFERROR(B27/B25,0)</f>
        <v>0</v>
      </c>
      <c r="K28" s="66"/>
      <c r="L28" s="66"/>
      <c r="Y28" s="13"/>
    </row>
    <row r="29" spans="1:25" ht="15" x14ac:dyDescent="0.25">
      <c r="A29" s="92" t="s">
        <v>115</v>
      </c>
      <c r="B29" s="93">
        <f>B28+1</f>
        <v>1</v>
      </c>
      <c r="K29" s="66"/>
      <c r="L29" s="66"/>
      <c r="Y29" s="13"/>
    </row>
    <row r="30" spans="1:25" x14ac:dyDescent="0.2">
      <c r="A30" s="12"/>
      <c r="K30" s="66"/>
      <c r="L30" s="66"/>
      <c r="Y30" s="13"/>
    </row>
    <row r="31" spans="1:25" x14ac:dyDescent="0.2">
      <c r="A31" s="36" t="s">
        <v>34</v>
      </c>
      <c r="C31" s="67">
        <v>0.03</v>
      </c>
      <c r="Y31" s="13"/>
    </row>
    <row r="32" spans="1:25" x14ac:dyDescent="0.2">
      <c r="A32" s="36" t="s">
        <v>35</v>
      </c>
      <c r="C32" s="68">
        <v>6.4794592209223598</v>
      </c>
      <c r="Y32" s="13"/>
    </row>
    <row r="33" spans="1:25" ht="15" thickBot="1" x14ac:dyDescent="0.25">
      <c r="A33" s="69" t="s">
        <v>36</v>
      </c>
      <c r="B33" s="53"/>
      <c r="C33" s="53"/>
      <c r="D33" s="53"/>
      <c r="E33" s="53"/>
      <c r="F33" s="53"/>
      <c r="G33" s="53"/>
      <c r="H33" s="70">
        <v>1</v>
      </c>
      <c r="I33" s="53"/>
      <c r="J33" s="53"/>
      <c r="K33" s="70">
        <v>1</v>
      </c>
      <c r="L33" s="53"/>
      <c r="M33" s="53"/>
      <c r="N33" s="70">
        <v>1</v>
      </c>
      <c r="O33" s="53"/>
      <c r="P33" s="53"/>
      <c r="Q33" s="70">
        <v>1</v>
      </c>
      <c r="R33" s="53"/>
      <c r="S33" s="53"/>
      <c r="T33" s="70">
        <v>1</v>
      </c>
      <c r="U33" s="53"/>
      <c r="V33" s="53"/>
      <c r="W33" s="70">
        <v>1</v>
      </c>
      <c r="X33" s="53"/>
      <c r="Y33" s="55"/>
    </row>
    <row r="40" spans="1:25" x14ac:dyDescent="0.2">
      <c r="C40" s="65"/>
    </row>
  </sheetData>
  <mergeCells count="28">
    <mergeCell ref="A20:B20"/>
    <mergeCell ref="A22:B22"/>
    <mergeCell ref="A13:B13"/>
    <mergeCell ref="A14:B14"/>
    <mergeCell ref="Q9:S9"/>
    <mergeCell ref="T9:V9"/>
    <mergeCell ref="A19:B19"/>
    <mergeCell ref="K9:M9"/>
    <mergeCell ref="N9:P9"/>
    <mergeCell ref="W9:Y9"/>
    <mergeCell ref="A11:B11"/>
    <mergeCell ref="A12:B12"/>
    <mergeCell ref="A16:B16"/>
    <mergeCell ref="A17:B17"/>
    <mergeCell ref="A18:B18"/>
    <mergeCell ref="A15:B15"/>
    <mergeCell ref="E9:G9"/>
    <mergeCell ref="H9:J9"/>
    <mergeCell ref="A1:S1"/>
    <mergeCell ref="A4:Y4"/>
    <mergeCell ref="C6:D6"/>
    <mergeCell ref="E6:G6"/>
    <mergeCell ref="H6:J6"/>
    <mergeCell ref="K6:M6"/>
    <mergeCell ref="N6:P6"/>
    <mergeCell ref="Q6:S6"/>
    <mergeCell ref="T6:V6"/>
    <mergeCell ref="W6:Y6"/>
  </mergeCells>
  <hyperlinks>
    <hyperlink ref="H1" location="Index" display="Back to Index" xr:uid="{00000000-0004-0000-0E00-000000000000}"/>
  </hyperlinks>
  <pageMargins left="0.25" right="0.25" top="0.25" bottom="0.25" header="0.3" footer="0.3"/>
  <pageSetup scale="30" fitToHeight="0" orientation="landscape" r:id="rId1"/>
  <headerFooter>
    <oddFooter>&amp;L&amp;G&amp;RPage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2060"/>
    <pageSetUpPr fitToPage="1"/>
  </sheetPr>
  <dimension ref="A1:Q27"/>
  <sheetViews>
    <sheetView zoomScale="90" zoomScaleNormal="90" workbookViewId="0">
      <selection activeCell="I19" sqref="I19"/>
    </sheetView>
  </sheetViews>
  <sheetFormatPr defaultColWidth="8.7109375" defaultRowHeight="12.75" x14ac:dyDescent="0.2"/>
  <cols>
    <col min="1" max="1" width="46.7109375" customWidth="1"/>
    <col min="2" max="2" width="11.5703125" customWidth="1"/>
    <col min="3" max="3" width="18" bestFit="1" customWidth="1"/>
    <col min="4" max="4" width="18.140625" customWidth="1"/>
    <col min="5" max="5" width="12.7109375" customWidth="1"/>
    <col min="6" max="6" width="18.7109375" customWidth="1"/>
    <col min="7" max="7" width="12.7109375" customWidth="1"/>
    <col min="8" max="8" width="18" customWidth="1"/>
    <col min="9" max="9" width="17.28515625" customWidth="1"/>
    <col min="10" max="10" width="17.140625" customWidth="1"/>
    <col min="11" max="11" width="12.7109375" customWidth="1"/>
    <col min="12" max="12" width="16.28515625" customWidth="1"/>
    <col min="13" max="13" width="12.7109375" customWidth="1"/>
    <col min="14" max="14" width="17.140625" customWidth="1"/>
    <col min="15" max="15" width="12.7109375" customWidth="1"/>
    <col min="16" max="16" width="17.7109375" customWidth="1"/>
    <col min="17" max="17" width="14.28515625" customWidth="1"/>
  </cols>
  <sheetData>
    <row r="1" spans="1:17" s="11" customFormat="1" ht="40.5" customHeight="1" x14ac:dyDescent="0.25">
      <c r="A1" s="220" t="s">
        <v>61</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155</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c r="B8" s="254"/>
      <c r="C8" s="22">
        <v>0</v>
      </c>
      <c r="D8" s="24">
        <v>25000</v>
      </c>
      <c r="E8" s="22">
        <v>25001</v>
      </c>
      <c r="F8" s="24">
        <v>75000</v>
      </c>
      <c r="G8" s="22">
        <v>75001</v>
      </c>
      <c r="H8" s="24">
        <v>125000</v>
      </c>
      <c r="I8" s="22">
        <v>125001</v>
      </c>
      <c r="J8" s="24">
        <v>175000</v>
      </c>
      <c r="K8" s="22">
        <v>175001</v>
      </c>
      <c r="L8" s="24">
        <v>225000</v>
      </c>
      <c r="M8" s="22">
        <v>225001</v>
      </c>
      <c r="N8" s="24">
        <v>275000</v>
      </c>
      <c r="O8" s="22">
        <v>275001</v>
      </c>
      <c r="P8" s="71">
        <f>O8+49999</f>
        <v>325000</v>
      </c>
      <c r="Q8" s="72"/>
    </row>
    <row r="9" spans="1:17" s="74" customFormat="1" ht="15" x14ac:dyDescent="0.25">
      <c r="A9" s="255" t="s">
        <v>49</v>
      </c>
      <c r="B9" s="256"/>
      <c r="C9" s="257">
        <v>0</v>
      </c>
      <c r="D9" s="258"/>
      <c r="E9" s="257">
        <v>0</v>
      </c>
      <c r="F9" s="258"/>
      <c r="G9" s="257">
        <v>0</v>
      </c>
      <c r="H9" s="258"/>
      <c r="I9" s="257">
        <v>0</v>
      </c>
      <c r="J9" s="258"/>
      <c r="K9" s="257">
        <v>0</v>
      </c>
      <c r="L9" s="258"/>
      <c r="M9" s="257">
        <v>0</v>
      </c>
      <c r="N9" s="258"/>
      <c r="O9" s="259">
        <v>0</v>
      </c>
      <c r="P9" s="260"/>
      <c r="Q9" s="73"/>
    </row>
    <row r="10" spans="1:17" s="9" customFormat="1" ht="24.75" x14ac:dyDescent="0.25">
      <c r="A10" s="261"/>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52</v>
      </c>
      <c r="B11" s="251"/>
      <c r="C11" s="80">
        <f>C24</f>
        <v>133.201815971104</v>
      </c>
      <c r="D11" s="76">
        <f>C11*C$9</f>
        <v>0</v>
      </c>
      <c r="E11" s="56">
        <f>ROUND(C24*E$25,4)</f>
        <v>133.20179999999999</v>
      </c>
      <c r="F11" s="76">
        <f>E11*E$9</f>
        <v>0</v>
      </c>
      <c r="G11" s="56">
        <f>ROUND(E11*G$25,4)</f>
        <v>133.20179999999999</v>
      </c>
      <c r="H11" s="76">
        <f>G11*G$9</f>
        <v>0</v>
      </c>
      <c r="I11" s="56">
        <f>ROUND(G11*I$25,4)</f>
        <v>133.20179999999999</v>
      </c>
      <c r="J11" s="76">
        <f>I11*I$9</f>
        <v>0</v>
      </c>
      <c r="K11" s="56">
        <f>ROUND(I11*K$25,4)</f>
        <v>133.20179999999999</v>
      </c>
      <c r="L11" s="76">
        <f>K11*K$9</f>
        <v>0</v>
      </c>
      <c r="M11" s="56">
        <f>ROUND(K11*M$25,4)</f>
        <v>133.20179999999999</v>
      </c>
      <c r="N11" s="76">
        <f>M11*M$9</f>
        <v>0</v>
      </c>
      <c r="O11" s="56">
        <f>ROUND(M11*O$25,4)</f>
        <v>133.20179999999999</v>
      </c>
      <c r="P11" s="76">
        <f>O11*O$9</f>
        <v>0</v>
      </c>
      <c r="Q11" s="13"/>
    </row>
    <row r="12" spans="1:17" s="48" customFormat="1" ht="15" x14ac:dyDescent="0.25">
      <c r="A12" s="241" t="s">
        <v>156</v>
      </c>
      <c r="B12" s="242"/>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7"/>
    </row>
    <row r="13" spans="1:17" ht="15" thickBot="1" x14ac:dyDescent="0.25">
      <c r="A13" s="12"/>
      <c r="B13" s="2"/>
      <c r="C13" s="2"/>
      <c r="D13" s="2"/>
      <c r="E13" s="2"/>
      <c r="F13" s="2"/>
      <c r="G13" s="2"/>
      <c r="H13" s="2"/>
      <c r="I13" s="2"/>
      <c r="J13" s="2"/>
      <c r="K13" s="2"/>
      <c r="L13" s="2"/>
      <c r="M13" s="2"/>
      <c r="N13" s="2"/>
      <c r="O13" s="2"/>
      <c r="P13" s="2"/>
      <c r="Q13" s="13"/>
    </row>
    <row r="14" spans="1:17" ht="15.75" thickBot="1" x14ac:dyDescent="0.3">
      <c r="A14" s="229" t="s">
        <v>157</v>
      </c>
      <c r="B14" s="230"/>
      <c r="C14" s="82">
        <f>SUM(D12:P12)</f>
        <v>0</v>
      </c>
      <c r="D14" s="43"/>
      <c r="E14" s="2"/>
      <c r="F14" s="2"/>
      <c r="G14" s="2"/>
      <c r="H14" s="2"/>
      <c r="I14" s="2"/>
      <c r="J14" s="2"/>
      <c r="K14" s="2"/>
      <c r="L14" s="2"/>
      <c r="M14" s="2"/>
      <c r="N14" s="2"/>
      <c r="O14" s="2"/>
      <c r="P14" s="2"/>
      <c r="Q14" s="13"/>
    </row>
    <row r="15" spans="1:17" ht="14.25" x14ac:dyDescent="0.2">
      <c r="A15" s="12"/>
      <c r="B15" s="2"/>
      <c r="C15" s="2"/>
      <c r="D15" s="2"/>
      <c r="E15" s="2"/>
      <c r="F15" s="2"/>
      <c r="G15" s="2"/>
      <c r="H15" s="2"/>
      <c r="I15" s="2"/>
      <c r="J15" s="2"/>
      <c r="K15" s="2"/>
      <c r="L15" s="2"/>
      <c r="M15" s="2"/>
      <c r="N15" s="2"/>
      <c r="O15" s="2"/>
      <c r="P15" s="2"/>
      <c r="Q15" s="13"/>
    </row>
    <row r="16" spans="1:17" ht="15" x14ac:dyDescent="0.25">
      <c r="A16" s="90" t="s">
        <v>111</v>
      </c>
      <c r="B16" s="91"/>
      <c r="C16" s="2"/>
      <c r="D16" s="2"/>
      <c r="E16" s="2"/>
      <c r="F16" s="2"/>
      <c r="G16" s="2"/>
      <c r="H16" s="2"/>
      <c r="I16" s="2"/>
      <c r="J16" s="2"/>
      <c r="K16" s="2"/>
      <c r="L16" s="2"/>
      <c r="M16" s="2"/>
      <c r="N16" s="2"/>
      <c r="O16" s="2"/>
      <c r="P16" s="2"/>
      <c r="Q16" s="13"/>
    </row>
    <row r="17" spans="1:17" ht="15" x14ac:dyDescent="0.25">
      <c r="A17" s="92" t="s">
        <v>112</v>
      </c>
      <c r="B17" s="93">
        <v>0</v>
      </c>
      <c r="C17" s="2"/>
      <c r="D17" s="2"/>
      <c r="E17" s="2"/>
      <c r="F17" s="2"/>
      <c r="G17" s="2"/>
      <c r="H17" s="2"/>
      <c r="I17" s="2"/>
      <c r="J17" s="2"/>
      <c r="K17" s="2"/>
      <c r="L17" s="2"/>
      <c r="M17" s="2"/>
      <c r="N17" s="2"/>
      <c r="O17" s="2"/>
      <c r="P17" s="2"/>
      <c r="Q17" s="13"/>
    </row>
    <row r="18" spans="1:17" ht="15" x14ac:dyDescent="0.25">
      <c r="A18" s="92" t="s">
        <v>113</v>
      </c>
      <c r="B18" s="93">
        <v>0</v>
      </c>
      <c r="C18" s="2"/>
      <c r="D18" s="2"/>
      <c r="E18" s="2"/>
      <c r="F18" s="2"/>
      <c r="G18" s="2"/>
      <c r="H18" s="2"/>
      <c r="I18" s="2"/>
      <c r="J18" s="2"/>
      <c r="K18" s="2"/>
      <c r="L18" s="2"/>
      <c r="M18" s="2"/>
      <c r="N18" s="2"/>
      <c r="O18" s="2"/>
      <c r="P18" s="2"/>
      <c r="Q18" s="13"/>
    </row>
    <row r="19" spans="1:17" ht="15" x14ac:dyDescent="0.25">
      <c r="A19" s="92" t="s">
        <v>114</v>
      </c>
      <c r="B19" s="93">
        <f>B18-B17</f>
        <v>0</v>
      </c>
      <c r="C19" s="2"/>
      <c r="D19" s="2"/>
      <c r="E19" s="2"/>
      <c r="F19" s="2"/>
      <c r="G19" s="2"/>
      <c r="H19" s="2"/>
      <c r="I19" s="2"/>
      <c r="J19" s="2"/>
      <c r="K19" s="2"/>
      <c r="L19" s="2"/>
      <c r="M19" s="2"/>
      <c r="N19" s="2"/>
      <c r="O19" s="2"/>
      <c r="P19" s="2"/>
      <c r="Q19" s="13"/>
    </row>
    <row r="20" spans="1:17" ht="15" x14ac:dyDescent="0.25">
      <c r="A20" s="92" t="s">
        <v>116</v>
      </c>
      <c r="B20" s="93">
        <f>IFERROR(B19/B17,0)</f>
        <v>0</v>
      </c>
      <c r="C20" s="2"/>
      <c r="D20" s="2"/>
      <c r="E20" s="2"/>
      <c r="F20" s="2"/>
      <c r="G20" s="2"/>
      <c r="H20" s="2"/>
      <c r="I20" s="2"/>
      <c r="J20" s="2"/>
      <c r="K20" s="2"/>
      <c r="L20" s="2"/>
      <c r="M20" s="2"/>
      <c r="N20" s="2"/>
      <c r="O20" s="2"/>
      <c r="P20" s="2"/>
      <c r="Q20" s="13"/>
    </row>
    <row r="21" spans="1:17" ht="15" x14ac:dyDescent="0.25">
      <c r="A21" s="92" t="s">
        <v>115</v>
      </c>
      <c r="B21" s="93">
        <f>B20+1</f>
        <v>1</v>
      </c>
      <c r="C21" s="2"/>
      <c r="D21" s="2"/>
      <c r="E21" s="2"/>
      <c r="F21" s="2"/>
      <c r="G21" s="2"/>
      <c r="H21" s="2"/>
      <c r="I21" s="2"/>
      <c r="J21" s="2"/>
      <c r="K21" s="2"/>
      <c r="L21" s="2"/>
      <c r="M21" s="2"/>
      <c r="N21" s="2"/>
      <c r="O21" s="2"/>
      <c r="P21" s="2"/>
      <c r="Q21" s="13"/>
    </row>
    <row r="22" spans="1:17" ht="14.25" x14ac:dyDescent="0.2">
      <c r="A22" s="12"/>
      <c r="B22" s="2"/>
      <c r="C22" s="2"/>
      <c r="D22" s="2"/>
      <c r="E22" s="2"/>
      <c r="F22" s="2"/>
      <c r="G22" s="2"/>
      <c r="H22" s="2"/>
      <c r="I22" s="2"/>
      <c r="J22" s="2"/>
      <c r="K22" s="2"/>
      <c r="L22" s="2"/>
      <c r="M22" s="2"/>
      <c r="N22" s="2"/>
      <c r="O22" s="2"/>
      <c r="P22" s="2"/>
      <c r="Q22" s="13"/>
    </row>
    <row r="23" spans="1:17" ht="14.25" x14ac:dyDescent="0.2">
      <c r="A23" s="36" t="s">
        <v>34</v>
      </c>
      <c r="B23" s="2"/>
      <c r="C23" s="49">
        <v>0.03</v>
      </c>
      <c r="D23" s="2"/>
      <c r="E23" s="2"/>
      <c r="F23" s="2"/>
      <c r="G23" s="2"/>
      <c r="H23" s="2"/>
      <c r="I23" s="2"/>
      <c r="J23" s="2"/>
      <c r="K23" s="2"/>
      <c r="L23" s="2"/>
      <c r="M23" s="2"/>
      <c r="N23" s="2"/>
      <c r="O23" s="2"/>
      <c r="P23" s="2"/>
      <c r="Q23" s="13"/>
    </row>
    <row r="24" spans="1:17" ht="14.25" x14ac:dyDescent="0.2">
      <c r="A24" s="36" t="s">
        <v>53</v>
      </c>
      <c r="B24" s="2"/>
      <c r="C24" s="50">
        <f>133.201815971104*B21</f>
        <v>133.201815971104</v>
      </c>
      <c r="D24" s="2"/>
      <c r="E24" s="2"/>
      <c r="F24" s="2"/>
      <c r="G24" s="2"/>
      <c r="H24" s="2"/>
      <c r="I24" s="2"/>
      <c r="J24" s="2"/>
      <c r="K24" s="2"/>
      <c r="L24" s="2"/>
      <c r="M24" s="2"/>
      <c r="N24" s="2"/>
      <c r="O24" s="2"/>
      <c r="P24" s="2"/>
      <c r="Q24" s="13"/>
    </row>
    <row r="25" spans="1:17" ht="15" thickBot="1" x14ac:dyDescent="0.25">
      <c r="A25" s="69" t="s">
        <v>36</v>
      </c>
      <c r="B25" s="53"/>
      <c r="C25" s="53"/>
      <c r="D25" s="53"/>
      <c r="E25" s="57">
        <v>1</v>
      </c>
      <c r="F25" s="53"/>
      <c r="G25" s="57">
        <v>1</v>
      </c>
      <c r="H25" s="53"/>
      <c r="I25" s="57">
        <v>1</v>
      </c>
      <c r="J25" s="53"/>
      <c r="K25" s="57">
        <v>1</v>
      </c>
      <c r="L25" s="53"/>
      <c r="M25" s="57">
        <v>1</v>
      </c>
      <c r="N25" s="53"/>
      <c r="O25" s="57">
        <v>1</v>
      </c>
      <c r="P25" s="53"/>
      <c r="Q25" s="55"/>
    </row>
    <row r="27" spans="1:17" ht="52.9" customHeight="1" x14ac:dyDescent="0.2">
      <c r="A27" s="252" t="s">
        <v>154</v>
      </c>
      <c r="B27" s="252"/>
      <c r="C27" s="252"/>
      <c r="D27" s="252"/>
      <c r="E27" s="252"/>
      <c r="F27" s="252"/>
      <c r="G27" s="252"/>
      <c r="H27" s="252"/>
      <c r="I27" s="252"/>
      <c r="J27" s="252"/>
      <c r="K27" s="252"/>
      <c r="L27" s="252"/>
      <c r="M27" s="252"/>
      <c r="N27" s="252"/>
      <c r="O27" s="252"/>
      <c r="P27" s="252"/>
      <c r="Q27" s="252"/>
    </row>
  </sheetData>
  <mergeCells count="24">
    <mergeCell ref="A1:Q1"/>
    <mergeCell ref="A4:Q4"/>
    <mergeCell ref="A6:B6"/>
    <mergeCell ref="C6:D6"/>
    <mergeCell ref="E6:F6"/>
    <mergeCell ref="G6:H6"/>
    <mergeCell ref="I6:J6"/>
    <mergeCell ref="K6:L6"/>
    <mergeCell ref="M6:N6"/>
    <mergeCell ref="O6:P6"/>
    <mergeCell ref="A27:Q27"/>
    <mergeCell ref="A8:B8"/>
    <mergeCell ref="A9:B9"/>
    <mergeCell ref="C9:D9"/>
    <mergeCell ref="E9:F9"/>
    <mergeCell ref="A14:B14"/>
    <mergeCell ref="K9:L9"/>
    <mergeCell ref="M9:N9"/>
    <mergeCell ref="O9:P9"/>
    <mergeCell ref="A10:B10"/>
    <mergeCell ref="A11:B11"/>
    <mergeCell ref="G9:H9"/>
    <mergeCell ref="I9:J9"/>
    <mergeCell ref="A12:B12"/>
  </mergeCells>
  <hyperlinks>
    <hyperlink ref="H1" location="Index" display="Back to Index" xr:uid="{00000000-0004-0000-0F00-000000000000}"/>
  </hyperlinks>
  <pageMargins left="0.25" right="0.25" top="0.25" bottom="0.25" header="0.3" footer="0.3"/>
  <pageSetup scale="46" fitToHeight="0" orientation="landscape" r:id="rId1"/>
  <headerFooter>
    <oddFooter>&amp;L&amp;G&amp;RPage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2060"/>
  </sheetPr>
  <dimension ref="A1:Q35"/>
  <sheetViews>
    <sheetView zoomScale="90" zoomScaleNormal="90" workbookViewId="0">
      <selection activeCell="H25" sqref="H25"/>
    </sheetView>
  </sheetViews>
  <sheetFormatPr defaultColWidth="8.7109375" defaultRowHeight="12.75" x14ac:dyDescent="0.2"/>
  <cols>
    <col min="1" max="1" width="46.7109375" customWidth="1"/>
    <col min="2" max="2" width="11.5703125" customWidth="1"/>
    <col min="3" max="3" width="18.28515625" bestFit="1" customWidth="1"/>
    <col min="4" max="4" width="18.140625" bestFit="1" customWidth="1"/>
    <col min="5" max="5" width="15.7109375" bestFit="1" customWidth="1"/>
    <col min="6" max="6" width="16.7109375" bestFit="1" customWidth="1"/>
    <col min="7" max="7" width="16.140625" bestFit="1" customWidth="1"/>
    <col min="8" max="8" width="19.7109375" customWidth="1"/>
    <col min="9" max="9" width="18" bestFit="1" customWidth="1"/>
    <col min="10" max="10" width="16.7109375" bestFit="1" customWidth="1"/>
    <col min="11" max="11" width="18" customWidth="1"/>
    <col min="12" max="12" width="16.7109375" bestFit="1" customWidth="1"/>
    <col min="13" max="13" width="18" bestFit="1" customWidth="1"/>
    <col min="14" max="14" width="16.7109375" bestFit="1" customWidth="1"/>
    <col min="15" max="15" width="17" bestFit="1" customWidth="1"/>
    <col min="16" max="16" width="16.7109375" bestFit="1" customWidth="1"/>
    <col min="17" max="17" width="14.28515625" bestFit="1" customWidth="1"/>
  </cols>
  <sheetData>
    <row r="1" spans="1:17" ht="46.5" customHeight="1" x14ac:dyDescent="0.25">
      <c r="A1" s="220" t="s">
        <v>62</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159</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t="s">
        <v>25</v>
      </c>
      <c r="B8" s="254"/>
      <c r="C8" s="22">
        <v>0</v>
      </c>
      <c r="D8" s="24">
        <v>25000</v>
      </c>
      <c r="E8" s="22">
        <v>25001</v>
      </c>
      <c r="F8" s="24">
        <v>75000</v>
      </c>
      <c r="G8" s="22">
        <v>75001</v>
      </c>
      <c r="H8" s="24">
        <v>125000</v>
      </c>
      <c r="I8" s="22">
        <v>125001</v>
      </c>
      <c r="J8" s="24">
        <v>175000</v>
      </c>
      <c r="K8" s="22">
        <v>175001</v>
      </c>
      <c r="L8" s="24">
        <v>225000</v>
      </c>
      <c r="M8" s="22">
        <v>225001</v>
      </c>
      <c r="N8" s="24">
        <v>275000</v>
      </c>
      <c r="O8" s="22">
        <v>275001</v>
      </c>
      <c r="P8" s="71">
        <f>O8+49999</f>
        <v>325000</v>
      </c>
      <c r="Q8" s="72"/>
    </row>
    <row r="9" spans="1:17" s="10" customFormat="1" ht="15" x14ac:dyDescent="0.25">
      <c r="A9" s="241" t="s">
        <v>54</v>
      </c>
      <c r="B9" s="254"/>
      <c r="C9" s="231">
        <v>0</v>
      </c>
      <c r="D9" s="233"/>
      <c r="E9" s="231">
        <v>0</v>
      </c>
      <c r="F9" s="233"/>
      <c r="G9" s="231">
        <v>0</v>
      </c>
      <c r="H9" s="233"/>
      <c r="I9" s="231">
        <v>0</v>
      </c>
      <c r="J9" s="233"/>
      <c r="K9" s="231">
        <v>0</v>
      </c>
      <c r="L9" s="233"/>
      <c r="M9" s="231">
        <v>0</v>
      </c>
      <c r="N9" s="233"/>
      <c r="O9" s="234">
        <v>0</v>
      </c>
      <c r="P9" s="235"/>
      <c r="Q9" s="78"/>
    </row>
    <row r="10" spans="1:17" s="9" customFormat="1" ht="24.75" x14ac:dyDescent="0.25">
      <c r="A10" s="261" t="s">
        <v>37</v>
      </c>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40</v>
      </c>
      <c r="B11" s="251"/>
      <c r="C11" s="80">
        <f>C32</f>
        <v>140.82381143461899</v>
      </c>
      <c r="D11" s="76">
        <f t="shared" ref="D11:D19" si="0">C11*C$9</f>
        <v>0</v>
      </c>
      <c r="E11" s="56">
        <f>ROUND(C11*E$33,4)</f>
        <v>140.82380000000001</v>
      </c>
      <c r="F11" s="76">
        <f t="shared" ref="F11:F19" si="1">E11*E$9</f>
        <v>0</v>
      </c>
      <c r="G11" s="56">
        <f>ROUND(E11*G$33,4)</f>
        <v>140.82380000000001</v>
      </c>
      <c r="H11" s="76">
        <f t="shared" ref="H11:H19" si="2">G11*G$9</f>
        <v>0</v>
      </c>
      <c r="I11" s="56">
        <f>ROUND(G11*I$33,4)</f>
        <v>140.82380000000001</v>
      </c>
      <c r="J11" s="76">
        <f t="shared" ref="J11:J19" si="3">I11*I$9</f>
        <v>0</v>
      </c>
      <c r="K11" s="56">
        <f>ROUND(I11*K$33,4)</f>
        <v>140.82380000000001</v>
      </c>
      <c r="L11" s="76">
        <f t="shared" ref="L11:L19" si="4">K11*K$9</f>
        <v>0</v>
      </c>
      <c r="M11" s="56">
        <f>ROUND(K11*M$33,4)</f>
        <v>140.82380000000001</v>
      </c>
      <c r="N11" s="76">
        <f t="shared" ref="N11:N19" si="5">M11*M$9</f>
        <v>0</v>
      </c>
      <c r="O11" s="56">
        <f>ROUND(M11*O$33,4)</f>
        <v>140.82380000000001</v>
      </c>
      <c r="P11" s="76">
        <f t="shared" ref="P11:P19" si="6">O11*O$9</f>
        <v>0</v>
      </c>
      <c r="Q11" s="13"/>
    </row>
    <row r="12" spans="1:17" ht="14.25" x14ac:dyDescent="0.2">
      <c r="A12" s="250" t="s">
        <v>41</v>
      </c>
      <c r="B12" s="251"/>
      <c r="C12" s="80">
        <f t="shared" ref="C12:C19" si="7">ROUND(C11*(1+$C$31),2)</f>
        <v>145.05000000000001</v>
      </c>
      <c r="D12" s="76">
        <f t="shared" si="0"/>
        <v>0</v>
      </c>
      <c r="E12" s="56">
        <f t="shared" ref="E12:E19" si="8">ROUND(E11*(1+$C$31),4)</f>
        <v>145.04849999999999</v>
      </c>
      <c r="F12" s="76">
        <f t="shared" si="1"/>
        <v>0</v>
      </c>
      <c r="G12" s="56">
        <f t="shared" ref="G12:G19" si="9">ROUND(G11*(1+$C$31),4)</f>
        <v>145.04849999999999</v>
      </c>
      <c r="H12" s="76">
        <f t="shared" si="2"/>
        <v>0</v>
      </c>
      <c r="I12" s="56">
        <f t="shared" ref="I12:I19" si="10">ROUND(I11*(1+$C$31),4)</f>
        <v>145.04849999999999</v>
      </c>
      <c r="J12" s="76">
        <f t="shared" si="3"/>
        <v>0</v>
      </c>
      <c r="K12" s="56">
        <f t="shared" ref="K12:K19" si="11">ROUND(K11*(1+$C$31),4)</f>
        <v>145.04849999999999</v>
      </c>
      <c r="L12" s="76">
        <f t="shared" si="4"/>
        <v>0</v>
      </c>
      <c r="M12" s="56">
        <f t="shared" ref="M12:M19" si="12">ROUND(M11*(1+$C$31),4)</f>
        <v>145.04849999999999</v>
      </c>
      <c r="N12" s="76">
        <f t="shared" si="5"/>
        <v>0</v>
      </c>
      <c r="O12" s="56">
        <f t="shared" ref="O12:O19" si="13">ROUND(O11*(1+$C$31),4)</f>
        <v>145.04849999999999</v>
      </c>
      <c r="P12" s="76">
        <f t="shared" si="6"/>
        <v>0</v>
      </c>
      <c r="Q12" s="13"/>
    </row>
    <row r="13" spans="1:17" ht="14.25" x14ac:dyDescent="0.2">
      <c r="A13" s="250" t="s">
        <v>42</v>
      </c>
      <c r="B13" s="251"/>
      <c r="C13" s="80">
        <f t="shared" si="7"/>
        <v>149.4</v>
      </c>
      <c r="D13" s="76">
        <f t="shared" si="0"/>
        <v>0</v>
      </c>
      <c r="E13" s="56">
        <f t="shared" si="8"/>
        <v>149.4</v>
      </c>
      <c r="F13" s="76">
        <f t="shared" si="1"/>
        <v>0</v>
      </c>
      <c r="G13" s="56">
        <f t="shared" si="9"/>
        <v>149.4</v>
      </c>
      <c r="H13" s="76">
        <f t="shared" si="2"/>
        <v>0</v>
      </c>
      <c r="I13" s="56">
        <f t="shared" si="10"/>
        <v>149.4</v>
      </c>
      <c r="J13" s="76">
        <f t="shared" si="3"/>
        <v>0</v>
      </c>
      <c r="K13" s="56">
        <f t="shared" si="11"/>
        <v>149.4</v>
      </c>
      <c r="L13" s="76">
        <f t="shared" si="4"/>
        <v>0</v>
      </c>
      <c r="M13" s="56">
        <f t="shared" si="12"/>
        <v>149.4</v>
      </c>
      <c r="N13" s="76">
        <f t="shared" si="5"/>
        <v>0</v>
      </c>
      <c r="O13" s="56">
        <f t="shared" si="13"/>
        <v>149.4</v>
      </c>
      <c r="P13" s="76">
        <f t="shared" si="6"/>
        <v>0</v>
      </c>
      <c r="Q13" s="13"/>
    </row>
    <row r="14" spans="1:17" ht="14.25" x14ac:dyDescent="0.2">
      <c r="A14" s="250" t="s">
        <v>43</v>
      </c>
      <c r="B14" s="251"/>
      <c r="C14" s="80">
        <f t="shared" si="7"/>
        <v>153.88</v>
      </c>
      <c r="D14" s="76">
        <f t="shared" si="0"/>
        <v>0</v>
      </c>
      <c r="E14" s="56">
        <f t="shared" si="8"/>
        <v>153.88200000000001</v>
      </c>
      <c r="F14" s="76">
        <f t="shared" si="1"/>
        <v>0</v>
      </c>
      <c r="G14" s="56">
        <f t="shared" si="9"/>
        <v>153.88200000000001</v>
      </c>
      <c r="H14" s="76">
        <f t="shared" si="2"/>
        <v>0</v>
      </c>
      <c r="I14" s="56">
        <f t="shared" si="10"/>
        <v>153.88200000000001</v>
      </c>
      <c r="J14" s="76">
        <f t="shared" si="3"/>
        <v>0</v>
      </c>
      <c r="K14" s="56">
        <f t="shared" si="11"/>
        <v>153.88200000000001</v>
      </c>
      <c r="L14" s="76">
        <f t="shared" si="4"/>
        <v>0</v>
      </c>
      <c r="M14" s="56">
        <f t="shared" si="12"/>
        <v>153.88200000000001</v>
      </c>
      <c r="N14" s="76">
        <f t="shared" si="5"/>
        <v>0</v>
      </c>
      <c r="O14" s="56">
        <f t="shared" si="13"/>
        <v>153.88200000000001</v>
      </c>
      <c r="P14" s="76">
        <f t="shared" si="6"/>
        <v>0</v>
      </c>
      <c r="Q14" s="13"/>
    </row>
    <row r="15" spans="1:17" ht="14.25" x14ac:dyDescent="0.2">
      <c r="A15" s="250" t="s">
        <v>44</v>
      </c>
      <c r="B15" s="251"/>
      <c r="C15" s="80">
        <f t="shared" si="7"/>
        <v>158.5</v>
      </c>
      <c r="D15" s="76">
        <f t="shared" si="0"/>
        <v>0</v>
      </c>
      <c r="E15" s="56">
        <f t="shared" si="8"/>
        <v>158.49850000000001</v>
      </c>
      <c r="F15" s="76">
        <f t="shared" si="1"/>
        <v>0</v>
      </c>
      <c r="G15" s="56">
        <f t="shared" si="9"/>
        <v>158.49850000000001</v>
      </c>
      <c r="H15" s="76">
        <f t="shared" si="2"/>
        <v>0</v>
      </c>
      <c r="I15" s="56">
        <f t="shared" si="10"/>
        <v>158.49850000000001</v>
      </c>
      <c r="J15" s="76">
        <f t="shared" si="3"/>
        <v>0</v>
      </c>
      <c r="K15" s="56">
        <f t="shared" si="11"/>
        <v>158.49850000000001</v>
      </c>
      <c r="L15" s="76">
        <f t="shared" si="4"/>
        <v>0</v>
      </c>
      <c r="M15" s="56">
        <f t="shared" si="12"/>
        <v>158.49850000000001</v>
      </c>
      <c r="N15" s="76">
        <f t="shared" si="5"/>
        <v>0</v>
      </c>
      <c r="O15" s="56">
        <f t="shared" si="13"/>
        <v>158.49850000000001</v>
      </c>
      <c r="P15" s="76">
        <f t="shared" si="6"/>
        <v>0</v>
      </c>
      <c r="Q15" s="13"/>
    </row>
    <row r="16" spans="1:17" ht="14.25" x14ac:dyDescent="0.2">
      <c r="A16" s="250" t="s">
        <v>45</v>
      </c>
      <c r="B16" s="251"/>
      <c r="C16" s="80">
        <f t="shared" si="7"/>
        <v>163.26</v>
      </c>
      <c r="D16" s="76">
        <f t="shared" si="0"/>
        <v>0</v>
      </c>
      <c r="E16" s="56">
        <f t="shared" si="8"/>
        <v>163.2535</v>
      </c>
      <c r="F16" s="76">
        <f t="shared" si="1"/>
        <v>0</v>
      </c>
      <c r="G16" s="56">
        <f t="shared" si="9"/>
        <v>163.2535</v>
      </c>
      <c r="H16" s="76">
        <f t="shared" si="2"/>
        <v>0</v>
      </c>
      <c r="I16" s="56">
        <f t="shared" si="10"/>
        <v>163.2535</v>
      </c>
      <c r="J16" s="76">
        <f t="shared" si="3"/>
        <v>0</v>
      </c>
      <c r="K16" s="56">
        <f t="shared" si="11"/>
        <v>163.2535</v>
      </c>
      <c r="L16" s="76">
        <f t="shared" si="4"/>
        <v>0</v>
      </c>
      <c r="M16" s="56">
        <f t="shared" si="12"/>
        <v>163.2535</v>
      </c>
      <c r="N16" s="76">
        <f t="shared" si="5"/>
        <v>0</v>
      </c>
      <c r="O16" s="56">
        <f t="shared" si="13"/>
        <v>163.2535</v>
      </c>
      <c r="P16" s="76">
        <f t="shared" si="6"/>
        <v>0</v>
      </c>
      <c r="Q16" s="13"/>
    </row>
    <row r="17" spans="1:17" ht="14.25" x14ac:dyDescent="0.2">
      <c r="A17" s="250" t="s">
        <v>46</v>
      </c>
      <c r="B17" s="251"/>
      <c r="C17" s="80">
        <f t="shared" si="7"/>
        <v>168.16</v>
      </c>
      <c r="D17" s="76">
        <f t="shared" si="0"/>
        <v>0</v>
      </c>
      <c r="E17" s="56">
        <f t="shared" si="8"/>
        <v>168.15110000000001</v>
      </c>
      <c r="F17" s="76">
        <f t="shared" si="1"/>
        <v>0</v>
      </c>
      <c r="G17" s="56">
        <f t="shared" si="9"/>
        <v>168.15110000000001</v>
      </c>
      <c r="H17" s="76">
        <f t="shared" si="2"/>
        <v>0</v>
      </c>
      <c r="I17" s="56">
        <f t="shared" si="10"/>
        <v>168.15110000000001</v>
      </c>
      <c r="J17" s="76">
        <f t="shared" si="3"/>
        <v>0</v>
      </c>
      <c r="K17" s="56">
        <f t="shared" si="11"/>
        <v>168.15110000000001</v>
      </c>
      <c r="L17" s="76">
        <f t="shared" si="4"/>
        <v>0</v>
      </c>
      <c r="M17" s="56">
        <f t="shared" si="12"/>
        <v>168.15110000000001</v>
      </c>
      <c r="N17" s="76">
        <f t="shared" si="5"/>
        <v>0</v>
      </c>
      <c r="O17" s="56">
        <f t="shared" si="13"/>
        <v>168.15110000000001</v>
      </c>
      <c r="P17" s="76">
        <f t="shared" si="6"/>
        <v>0</v>
      </c>
      <c r="Q17" s="13"/>
    </row>
    <row r="18" spans="1:17" ht="14.25" x14ac:dyDescent="0.2">
      <c r="A18" s="250" t="s">
        <v>47</v>
      </c>
      <c r="B18" s="251"/>
      <c r="C18" s="80">
        <f t="shared" si="7"/>
        <v>173.2</v>
      </c>
      <c r="D18" s="76">
        <f t="shared" si="0"/>
        <v>0</v>
      </c>
      <c r="E18" s="56">
        <f t="shared" si="8"/>
        <v>173.19560000000001</v>
      </c>
      <c r="F18" s="76">
        <f t="shared" si="1"/>
        <v>0</v>
      </c>
      <c r="G18" s="56">
        <f t="shared" si="9"/>
        <v>173.19560000000001</v>
      </c>
      <c r="H18" s="76">
        <f t="shared" si="2"/>
        <v>0</v>
      </c>
      <c r="I18" s="56">
        <f t="shared" si="10"/>
        <v>173.19560000000001</v>
      </c>
      <c r="J18" s="76">
        <f t="shared" si="3"/>
        <v>0</v>
      </c>
      <c r="K18" s="56">
        <f t="shared" si="11"/>
        <v>173.19560000000001</v>
      </c>
      <c r="L18" s="76">
        <f t="shared" si="4"/>
        <v>0</v>
      </c>
      <c r="M18" s="56">
        <f t="shared" si="12"/>
        <v>173.19560000000001</v>
      </c>
      <c r="N18" s="76">
        <f t="shared" si="5"/>
        <v>0</v>
      </c>
      <c r="O18" s="56">
        <f t="shared" si="13"/>
        <v>173.19560000000001</v>
      </c>
      <c r="P18" s="76">
        <f t="shared" si="6"/>
        <v>0</v>
      </c>
      <c r="Q18" s="13"/>
    </row>
    <row r="19" spans="1:17" ht="14.25" x14ac:dyDescent="0.2">
      <c r="A19" s="250" t="s">
        <v>48</v>
      </c>
      <c r="B19" s="251"/>
      <c r="C19" s="80">
        <f t="shared" si="7"/>
        <v>178.4</v>
      </c>
      <c r="D19" s="76">
        <f t="shared" si="0"/>
        <v>0</v>
      </c>
      <c r="E19" s="56">
        <f t="shared" si="8"/>
        <v>178.39150000000001</v>
      </c>
      <c r="F19" s="76">
        <f t="shared" si="1"/>
        <v>0</v>
      </c>
      <c r="G19" s="56">
        <f t="shared" si="9"/>
        <v>178.39150000000001</v>
      </c>
      <c r="H19" s="76">
        <f t="shared" si="2"/>
        <v>0</v>
      </c>
      <c r="I19" s="56">
        <f t="shared" si="10"/>
        <v>178.39150000000001</v>
      </c>
      <c r="J19" s="76">
        <f t="shared" si="3"/>
        <v>0</v>
      </c>
      <c r="K19" s="56">
        <f t="shared" si="11"/>
        <v>178.39150000000001</v>
      </c>
      <c r="L19" s="76">
        <f t="shared" si="4"/>
        <v>0</v>
      </c>
      <c r="M19" s="56">
        <f t="shared" si="12"/>
        <v>178.39150000000001</v>
      </c>
      <c r="N19" s="76">
        <f t="shared" si="5"/>
        <v>0</v>
      </c>
      <c r="O19" s="56">
        <f t="shared" si="13"/>
        <v>178.39150000000001</v>
      </c>
      <c r="P19" s="76">
        <f t="shared" si="6"/>
        <v>0</v>
      </c>
      <c r="Q19" s="13"/>
    </row>
    <row r="20" spans="1:17" s="48" customFormat="1" ht="15" x14ac:dyDescent="0.25">
      <c r="A20" s="241" t="s">
        <v>160</v>
      </c>
      <c r="B20" s="242"/>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7"/>
    </row>
    <row r="21" spans="1:17" ht="15" thickBot="1" x14ac:dyDescent="0.25">
      <c r="A21" s="12"/>
      <c r="B21" s="2"/>
      <c r="C21" s="2"/>
      <c r="D21" s="2"/>
      <c r="E21" s="2"/>
      <c r="F21" s="2"/>
      <c r="G21" s="2"/>
      <c r="H21" s="2"/>
      <c r="I21" s="2"/>
      <c r="J21" s="2"/>
      <c r="K21" s="2"/>
      <c r="L21" s="2"/>
      <c r="M21" s="2"/>
      <c r="N21" s="2"/>
      <c r="O21" s="2"/>
      <c r="P21" s="2"/>
      <c r="Q21" s="13"/>
    </row>
    <row r="22" spans="1:17" ht="15.75" thickBot="1" x14ac:dyDescent="0.3">
      <c r="A22" s="229" t="s">
        <v>161</v>
      </c>
      <c r="B22" s="230"/>
      <c r="C22" s="82">
        <f>SUM(D20:P20)</f>
        <v>0</v>
      </c>
      <c r="D22" s="43"/>
      <c r="E22" s="2"/>
      <c r="F22" s="2"/>
      <c r="G22" s="2"/>
      <c r="H22" s="2"/>
      <c r="I22" s="2"/>
      <c r="J22" s="2"/>
      <c r="K22" s="2"/>
      <c r="L22" s="2"/>
      <c r="M22" s="2"/>
      <c r="N22" s="2"/>
      <c r="O22" s="2"/>
      <c r="P22" s="2"/>
      <c r="Q22" s="13"/>
    </row>
    <row r="23" spans="1:17" ht="14.25" x14ac:dyDescent="0.2">
      <c r="A23" s="12"/>
      <c r="B23" s="2"/>
      <c r="C23" s="2"/>
      <c r="D23" s="2"/>
      <c r="E23" s="2"/>
      <c r="F23" s="2"/>
      <c r="G23" s="2"/>
      <c r="H23" s="2"/>
      <c r="I23" s="2"/>
      <c r="J23" s="2"/>
      <c r="K23" s="2"/>
      <c r="L23" s="2"/>
      <c r="M23" s="2"/>
      <c r="N23" s="2"/>
      <c r="O23" s="2"/>
      <c r="P23" s="2"/>
      <c r="Q23" s="13"/>
    </row>
    <row r="24" spans="1:17" ht="15" x14ac:dyDescent="0.25">
      <c r="A24" s="90" t="s">
        <v>111</v>
      </c>
      <c r="B24" s="91"/>
      <c r="C24" s="2"/>
      <c r="D24" s="2"/>
      <c r="E24" s="2"/>
      <c r="F24" s="2"/>
      <c r="G24" s="2"/>
      <c r="H24" s="2"/>
      <c r="I24" s="2"/>
      <c r="J24" s="2"/>
      <c r="K24" s="2"/>
      <c r="L24" s="2"/>
      <c r="M24" s="2"/>
      <c r="N24" s="2"/>
      <c r="O24" s="2"/>
      <c r="P24" s="2"/>
      <c r="Q24" s="13"/>
    </row>
    <row r="25" spans="1:17" ht="15" x14ac:dyDescent="0.25">
      <c r="A25" s="92" t="s">
        <v>112</v>
      </c>
      <c r="B25" s="93">
        <v>0</v>
      </c>
      <c r="C25" s="2"/>
      <c r="D25" s="2"/>
      <c r="E25" s="2"/>
      <c r="F25" s="2"/>
      <c r="G25" s="2"/>
      <c r="H25" s="2"/>
      <c r="I25" s="2"/>
      <c r="J25" s="2"/>
      <c r="K25" s="2"/>
      <c r="L25" s="2"/>
      <c r="M25" s="2"/>
      <c r="N25" s="2"/>
      <c r="O25" s="2"/>
      <c r="P25" s="2"/>
      <c r="Q25" s="13"/>
    </row>
    <row r="26" spans="1:17" ht="15" x14ac:dyDescent="0.25">
      <c r="A26" s="92" t="s">
        <v>113</v>
      </c>
      <c r="B26" s="93">
        <v>0</v>
      </c>
      <c r="C26" s="2"/>
      <c r="D26" s="2"/>
      <c r="E26" s="2"/>
      <c r="F26" s="2"/>
      <c r="G26" s="2"/>
      <c r="H26" s="2"/>
      <c r="I26" s="2"/>
      <c r="J26" s="2"/>
      <c r="K26" s="2"/>
      <c r="L26" s="2"/>
      <c r="M26" s="2"/>
      <c r="N26" s="2"/>
      <c r="O26" s="2"/>
      <c r="P26" s="2"/>
      <c r="Q26" s="13"/>
    </row>
    <row r="27" spans="1:17" ht="15" x14ac:dyDescent="0.25">
      <c r="A27" s="92" t="s">
        <v>114</v>
      </c>
      <c r="B27" s="93">
        <f>B26-B25</f>
        <v>0</v>
      </c>
      <c r="C27" s="2"/>
      <c r="D27" s="2"/>
      <c r="E27" s="2"/>
      <c r="F27" s="2"/>
      <c r="G27" s="2"/>
      <c r="H27" s="2"/>
      <c r="I27" s="2"/>
      <c r="J27" s="2"/>
      <c r="K27" s="2"/>
      <c r="L27" s="2"/>
      <c r="M27" s="2"/>
      <c r="N27" s="2"/>
      <c r="O27" s="2"/>
      <c r="P27" s="2"/>
      <c r="Q27" s="13"/>
    </row>
    <row r="28" spans="1:17" ht="15" x14ac:dyDescent="0.25">
      <c r="A28" s="92" t="s">
        <v>116</v>
      </c>
      <c r="B28" s="93">
        <f>IFERROR(B27/B25,0)</f>
        <v>0</v>
      </c>
      <c r="C28" s="2"/>
      <c r="D28" s="2"/>
      <c r="E28" s="2"/>
      <c r="F28" s="2"/>
      <c r="G28" s="2"/>
      <c r="H28" s="2"/>
      <c r="I28" s="2"/>
      <c r="J28" s="2"/>
      <c r="K28" s="2"/>
      <c r="L28" s="2"/>
      <c r="M28" s="2"/>
      <c r="N28" s="2"/>
      <c r="O28" s="2"/>
      <c r="P28" s="2"/>
      <c r="Q28" s="13"/>
    </row>
    <row r="29" spans="1:17" ht="15" x14ac:dyDescent="0.25">
      <c r="A29" s="92" t="s">
        <v>115</v>
      </c>
      <c r="B29" s="93">
        <f>B28+1</f>
        <v>1</v>
      </c>
      <c r="C29" s="2"/>
      <c r="D29" s="2"/>
      <c r="E29" s="2"/>
      <c r="F29" s="2"/>
      <c r="G29" s="2"/>
      <c r="H29" s="2"/>
      <c r="I29" s="2"/>
      <c r="J29" s="2"/>
      <c r="K29" s="2"/>
      <c r="L29" s="2"/>
      <c r="M29" s="2"/>
      <c r="N29" s="2"/>
      <c r="O29" s="2"/>
      <c r="P29" s="2"/>
      <c r="Q29" s="13"/>
    </row>
    <row r="30" spans="1:17" ht="14.25" x14ac:dyDescent="0.2">
      <c r="A30" s="12"/>
      <c r="B30" s="2"/>
      <c r="C30" s="2"/>
      <c r="D30" s="2"/>
      <c r="E30" s="2"/>
      <c r="F30" s="2"/>
      <c r="G30" s="2"/>
      <c r="H30" s="2"/>
      <c r="I30" s="2"/>
      <c r="J30" s="2"/>
      <c r="K30" s="2"/>
      <c r="L30" s="2"/>
      <c r="M30" s="2"/>
      <c r="N30" s="2"/>
      <c r="O30" s="2"/>
      <c r="P30" s="2"/>
      <c r="Q30" s="13"/>
    </row>
    <row r="31" spans="1:17" ht="14.25" x14ac:dyDescent="0.2">
      <c r="A31" s="36" t="s">
        <v>34</v>
      </c>
      <c r="B31" s="2"/>
      <c r="C31" s="49">
        <v>0.03</v>
      </c>
      <c r="D31" s="2"/>
      <c r="E31" s="2"/>
      <c r="F31" s="2"/>
      <c r="G31" s="2"/>
      <c r="H31" s="2"/>
      <c r="I31" s="2"/>
      <c r="J31" s="2"/>
      <c r="K31" s="2"/>
      <c r="L31" s="2"/>
      <c r="M31" s="2"/>
      <c r="N31" s="2"/>
      <c r="O31" s="2"/>
      <c r="P31" s="2"/>
      <c r="Q31" s="13"/>
    </row>
    <row r="32" spans="1:17" ht="14.25" x14ac:dyDescent="0.2">
      <c r="A32" s="36" t="s">
        <v>53</v>
      </c>
      <c r="B32" s="2"/>
      <c r="C32" s="50">
        <f>(140.823811434619)*B29</f>
        <v>140.82381143461899</v>
      </c>
      <c r="D32" s="2"/>
      <c r="E32" s="2"/>
      <c r="F32" s="2"/>
      <c r="G32" s="2"/>
      <c r="H32" s="2"/>
      <c r="I32" s="2"/>
      <c r="J32" s="2"/>
      <c r="K32" s="2"/>
      <c r="L32" s="2"/>
      <c r="M32" s="2"/>
      <c r="N32" s="2"/>
      <c r="O32" s="2"/>
      <c r="P32" s="2"/>
      <c r="Q32" s="13"/>
    </row>
    <row r="33" spans="1:17" ht="15" thickBot="1" x14ac:dyDescent="0.25">
      <c r="A33" s="69" t="s">
        <v>36</v>
      </c>
      <c r="B33" s="53"/>
      <c r="C33" s="53"/>
      <c r="D33" s="53"/>
      <c r="E33" s="57">
        <v>1</v>
      </c>
      <c r="F33" s="53"/>
      <c r="G33" s="57">
        <v>1</v>
      </c>
      <c r="H33" s="53"/>
      <c r="I33" s="57">
        <v>1</v>
      </c>
      <c r="J33" s="53"/>
      <c r="K33" s="57">
        <v>1</v>
      </c>
      <c r="L33" s="53"/>
      <c r="M33" s="57">
        <v>1</v>
      </c>
      <c r="N33" s="53"/>
      <c r="O33" s="57">
        <v>1</v>
      </c>
      <c r="P33" s="53"/>
      <c r="Q33" s="55"/>
    </row>
    <row r="35" spans="1:17" ht="64.5" customHeight="1" x14ac:dyDescent="0.2">
      <c r="A35" s="252" t="s">
        <v>158</v>
      </c>
      <c r="B35" s="252"/>
      <c r="C35" s="252"/>
      <c r="D35" s="252"/>
      <c r="E35" s="252"/>
      <c r="F35" s="252"/>
      <c r="G35" s="252"/>
      <c r="H35" s="252"/>
      <c r="I35" s="252"/>
      <c r="J35" s="252"/>
      <c r="K35" s="252"/>
      <c r="L35" s="252"/>
      <c r="M35" s="252"/>
      <c r="N35" s="252"/>
      <c r="O35" s="252"/>
      <c r="P35" s="252"/>
      <c r="Q35" s="252"/>
    </row>
  </sheetData>
  <mergeCells count="32">
    <mergeCell ref="A19:B19"/>
    <mergeCell ref="A20:B20"/>
    <mergeCell ref="A22:B22"/>
    <mergeCell ref="A18:B18"/>
    <mergeCell ref="K9:L9"/>
    <mergeCell ref="A13:B13"/>
    <mergeCell ref="A14:B14"/>
    <mergeCell ref="A15:B15"/>
    <mergeCell ref="A16:B16"/>
    <mergeCell ref="A17:B17"/>
    <mergeCell ref="M9:N9"/>
    <mergeCell ref="O9:P9"/>
    <mergeCell ref="A10:B10"/>
    <mergeCell ref="A11:B11"/>
    <mergeCell ref="A12:B12"/>
    <mergeCell ref="I9:J9"/>
    <mergeCell ref="A35:Q35"/>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s>
  <hyperlinks>
    <hyperlink ref="H1" location="Index" display="Back to Index" xr:uid="{00000000-0004-0000-1000-000000000000}"/>
  </hyperlinks>
  <pageMargins left="0.25" right="0.25" top="0.25" bottom="0.25" header="0.3" footer="0.3"/>
  <pageSetup scale="40" fitToHeight="0" orientation="landscape" r:id="rId1"/>
  <headerFooter>
    <oddFooter>&amp;L&amp;G&amp;RPage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C987E-62EC-47D5-9F32-01E37F7D67A8}">
  <sheetPr>
    <tabColor rgb="FF002060"/>
    <pageSetUpPr fitToPage="1"/>
  </sheetPr>
  <dimension ref="A1:G42"/>
  <sheetViews>
    <sheetView zoomScale="90" zoomScaleNormal="90" workbookViewId="0">
      <selection activeCell="A17" sqref="A17:F18"/>
    </sheetView>
  </sheetViews>
  <sheetFormatPr defaultColWidth="8.7109375" defaultRowHeight="14.25" x14ac:dyDescent="0.2"/>
  <cols>
    <col min="1" max="1" width="45.7109375" style="110" customWidth="1"/>
    <col min="2" max="6" width="28.140625" style="109" customWidth="1"/>
    <col min="7" max="7" width="8.7109375" style="109" customWidth="1"/>
    <col min="8" max="16384" width="8.7109375" style="109"/>
  </cols>
  <sheetData>
    <row r="1" spans="1:7" ht="18.75" thickBot="1" x14ac:dyDescent="0.3">
      <c r="A1" s="197" t="s">
        <v>197</v>
      </c>
      <c r="B1" s="198"/>
      <c r="C1" s="198"/>
      <c r="D1" s="198"/>
      <c r="E1" s="199"/>
      <c r="F1" s="200"/>
    </row>
    <row r="3" spans="1:7" ht="15" thickBot="1" x14ac:dyDescent="0.25">
      <c r="A3" s="110" t="s">
        <v>198</v>
      </c>
    </row>
    <row r="4" spans="1:7" ht="42.75" customHeight="1" thickBot="1" x14ac:dyDescent="0.25">
      <c r="A4" s="193" t="s">
        <v>199</v>
      </c>
      <c r="B4" s="194"/>
      <c r="C4" s="194"/>
      <c r="D4" s="194"/>
      <c r="E4" s="195"/>
      <c r="F4" s="196"/>
    </row>
    <row r="5" spans="1:7" ht="15.75" x14ac:dyDescent="0.25">
      <c r="A5" s="187" t="s">
        <v>200</v>
      </c>
      <c r="B5" s="189" t="s">
        <v>201</v>
      </c>
      <c r="C5" s="190"/>
      <c r="D5" s="190"/>
      <c r="E5" s="191"/>
      <c r="F5" s="192"/>
    </row>
    <row r="6" spans="1:7" s="110" customFormat="1" ht="45" customHeight="1" thickBot="1" x14ac:dyDescent="0.3">
      <c r="A6" s="188"/>
      <c r="B6" s="111" t="s">
        <v>202</v>
      </c>
      <c r="C6" s="112" t="s">
        <v>203</v>
      </c>
      <c r="D6" s="112" t="s">
        <v>204</v>
      </c>
      <c r="E6" s="113" t="s">
        <v>205</v>
      </c>
      <c r="F6" s="113" t="s">
        <v>206</v>
      </c>
    </row>
    <row r="7" spans="1:7" ht="15.75" x14ac:dyDescent="0.25">
      <c r="A7" s="114" t="s">
        <v>207</v>
      </c>
      <c r="B7" s="115"/>
      <c r="C7" s="116"/>
      <c r="D7" s="116"/>
      <c r="E7" s="117"/>
      <c r="F7" s="165">
        <f>SUM(B7:E7)</f>
        <v>0</v>
      </c>
    </row>
    <row r="8" spans="1:7" ht="15.75" x14ac:dyDescent="0.25">
      <c r="A8" s="114" t="s">
        <v>208</v>
      </c>
      <c r="B8" s="115"/>
      <c r="C8" s="116"/>
      <c r="D8" s="116"/>
      <c r="E8" s="117"/>
      <c r="F8" s="165">
        <f t="shared" ref="F8:F9" si="0">SUM(B8:E8)</f>
        <v>0</v>
      </c>
    </row>
    <row r="9" spans="1:7" ht="15.75" x14ac:dyDescent="0.25">
      <c r="A9" s="114" t="s">
        <v>209</v>
      </c>
      <c r="B9" s="115"/>
      <c r="C9" s="116"/>
      <c r="D9" s="116"/>
      <c r="E9" s="117"/>
      <c r="F9" s="165">
        <f t="shared" si="0"/>
        <v>0</v>
      </c>
    </row>
    <row r="10" spans="1:7" ht="3" customHeight="1" x14ac:dyDescent="0.25">
      <c r="A10" s="118"/>
      <c r="B10" s="119"/>
      <c r="C10" s="120"/>
      <c r="D10" s="120"/>
      <c r="E10" s="121"/>
      <c r="F10" s="166"/>
    </row>
    <row r="11" spans="1:7" ht="27" customHeight="1" thickBot="1" x14ac:dyDescent="0.3">
      <c r="A11" s="122" t="s">
        <v>210</v>
      </c>
      <c r="B11" s="123">
        <f>SUM(B7:B9)</f>
        <v>0</v>
      </c>
      <c r="C11" s="123">
        <f>SUM(C7:C9)</f>
        <v>0</v>
      </c>
      <c r="D11" s="123">
        <f>SUM(D7:D9)</f>
        <v>0</v>
      </c>
      <c r="E11" s="123">
        <f>SUM(E7:E9)</f>
        <v>0</v>
      </c>
      <c r="F11" s="167">
        <f>SUM(F7:F9)</f>
        <v>0</v>
      </c>
    </row>
    <row r="12" spans="1:7" ht="16.5" thickBot="1" x14ac:dyDescent="0.3">
      <c r="A12" s="122" t="s">
        <v>211</v>
      </c>
      <c r="B12" s="124" t="e">
        <f>B11/$F$11</f>
        <v>#DIV/0!</v>
      </c>
      <c r="C12" s="124" t="e">
        <f t="shared" ref="C12:E12" si="1">C11/$F$11</f>
        <v>#DIV/0!</v>
      </c>
      <c r="D12" s="124" t="e">
        <f t="shared" si="1"/>
        <v>#DIV/0!</v>
      </c>
      <c r="E12" s="124" t="e">
        <f t="shared" si="1"/>
        <v>#DIV/0!</v>
      </c>
      <c r="F12" s="125" t="e">
        <f>SUM(B12:E12)</f>
        <v>#DIV/0!</v>
      </c>
    </row>
    <row r="13" spans="1:7" ht="25.5" x14ac:dyDescent="0.2">
      <c r="A13" s="126" t="s">
        <v>212</v>
      </c>
      <c r="B13" s="127">
        <v>0.05</v>
      </c>
      <c r="C13" s="127">
        <v>0.15</v>
      </c>
      <c r="D13" s="127">
        <v>0.25</v>
      </c>
      <c r="E13" s="127">
        <v>0.1</v>
      </c>
      <c r="F13" s="127"/>
    </row>
    <row r="14" spans="1:7" s="129" customFormat="1" ht="26.25" thickBot="1" x14ac:dyDescent="0.25">
      <c r="A14" s="126" t="s">
        <v>213</v>
      </c>
      <c r="B14" s="127">
        <v>0.35</v>
      </c>
      <c r="C14" s="127">
        <v>0.3</v>
      </c>
      <c r="D14" s="127">
        <v>0.5</v>
      </c>
      <c r="E14" s="127">
        <v>0.25</v>
      </c>
      <c r="F14" s="127"/>
      <c r="G14" s="128"/>
    </row>
    <row r="15" spans="1:7" s="134" customFormat="1" ht="16.5" thickBot="1" x14ac:dyDescent="0.3">
      <c r="A15" s="130" t="s">
        <v>214</v>
      </c>
      <c r="B15" s="131">
        <f>F11</f>
        <v>0</v>
      </c>
      <c r="C15" s="132"/>
      <c r="D15" s="132"/>
      <c r="E15" s="132"/>
      <c r="F15" s="132"/>
      <c r="G15" s="133"/>
    </row>
    <row r="16" spans="1:7" ht="15.75" x14ac:dyDescent="0.25">
      <c r="A16" s="135"/>
      <c r="B16" s="94"/>
      <c r="C16" s="94"/>
      <c r="D16" s="94"/>
      <c r="E16" s="94"/>
      <c r="F16" s="94"/>
    </row>
    <row r="17" spans="1:6" ht="15" customHeight="1" x14ac:dyDescent="0.2">
      <c r="A17" s="201" t="s">
        <v>215</v>
      </c>
      <c r="B17" s="201"/>
      <c r="C17" s="201"/>
      <c r="D17" s="201"/>
      <c r="E17" s="201"/>
      <c r="F17" s="201"/>
    </row>
    <row r="18" spans="1:6" ht="63" customHeight="1" x14ac:dyDescent="0.2">
      <c r="A18" s="201"/>
      <c r="B18" s="201"/>
      <c r="C18" s="201"/>
      <c r="D18" s="201"/>
      <c r="E18" s="201"/>
      <c r="F18" s="201"/>
    </row>
    <row r="19" spans="1:6" x14ac:dyDescent="0.2">
      <c r="A19" s="136"/>
    </row>
    <row r="20" spans="1:6" ht="15" thickBot="1" x14ac:dyDescent="0.25"/>
    <row r="21" spans="1:6" ht="40.5" customHeight="1" thickBot="1" x14ac:dyDescent="0.25">
      <c r="A21" s="193" t="s">
        <v>216</v>
      </c>
      <c r="B21" s="194"/>
      <c r="C21" s="194"/>
      <c r="D21" s="194"/>
      <c r="E21" s="195"/>
      <c r="F21" s="196"/>
    </row>
    <row r="22" spans="1:6" ht="15.75" x14ac:dyDescent="0.25">
      <c r="A22" s="187" t="s">
        <v>200</v>
      </c>
      <c r="B22" s="189" t="s">
        <v>217</v>
      </c>
      <c r="C22" s="190"/>
      <c r="D22" s="190"/>
      <c r="E22" s="191"/>
      <c r="F22" s="192"/>
    </row>
    <row r="23" spans="1:6" ht="30.75" thickBot="1" x14ac:dyDescent="0.3">
      <c r="A23" s="188"/>
      <c r="B23" s="111" t="s">
        <v>218</v>
      </c>
      <c r="C23" s="112" t="s">
        <v>203</v>
      </c>
      <c r="D23" s="112" t="s">
        <v>204</v>
      </c>
      <c r="E23" s="113" t="s">
        <v>205</v>
      </c>
      <c r="F23" s="113" t="s">
        <v>219</v>
      </c>
    </row>
    <row r="24" spans="1:6" ht="15.75" x14ac:dyDescent="0.25">
      <c r="A24" s="137" t="s">
        <v>220</v>
      </c>
      <c r="B24" s="138"/>
      <c r="C24" s="138"/>
      <c r="D24" s="138"/>
      <c r="E24" s="138"/>
      <c r="F24" s="138">
        <f>SUM(B24:E24)</f>
        <v>0</v>
      </c>
    </row>
    <row r="25" spans="1:6" ht="15.75" x14ac:dyDescent="0.25">
      <c r="A25" s="118"/>
      <c r="B25" s="139"/>
      <c r="C25" s="140"/>
      <c r="D25" s="140"/>
      <c r="E25" s="141"/>
      <c r="F25" s="141"/>
    </row>
    <row r="26" spans="1:6" ht="16.5" thickBot="1" x14ac:dyDescent="0.3">
      <c r="A26" s="122" t="s">
        <v>210</v>
      </c>
      <c r="B26" s="123">
        <f>B24</f>
        <v>0</v>
      </c>
      <c r="C26" s="123">
        <f t="shared" ref="C26:E26" si="2">C24</f>
        <v>0</v>
      </c>
      <c r="D26" s="123">
        <f t="shared" si="2"/>
        <v>0</v>
      </c>
      <c r="E26" s="123">
        <f t="shared" si="2"/>
        <v>0</v>
      </c>
      <c r="F26" s="123">
        <f>SUM(B26:E26)</f>
        <v>0</v>
      </c>
    </row>
    <row r="27" spans="1:6" ht="16.5" thickBot="1" x14ac:dyDescent="0.3">
      <c r="A27" s="122" t="s">
        <v>211</v>
      </c>
      <c r="B27" s="124" t="e">
        <f>B26/$F$26</f>
        <v>#DIV/0!</v>
      </c>
      <c r="C27" s="124" t="e">
        <f t="shared" ref="C27:E27" si="3">C26/$F$26</f>
        <v>#DIV/0!</v>
      </c>
      <c r="D27" s="124" t="e">
        <f t="shared" si="3"/>
        <v>#DIV/0!</v>
      </c>
      <c r="E27" s="124" t="e">
        <f t="shared" si="3"/>
        <v>#DIV/0!</v>
      </c>
      <c r="F27" s="125" t="e">
        <f>SUM(B27:E27)</f>
        <v>#DIV/0!</v>
      </c>
    </row>
    <row r="28" spans="1:6" ht="25.5" x14ac:dyDescent="0.2">
      <c r="A28" s="126" t="s">
        <v>212</v>
      </c>
      <c r="B28" s="127">
        <v>0.05</v>
      </c>
      <c r="C28" s="127">
        <v>0.15</v>
      </c>
      <c r="D28" s="127">
        <v>0.25</v>
      </c>
      <c r="E28" s="127">
        <v>0.1</v>
      </c>
      <c r="F28" s="127"/>
    </row>
    <row r="29" spans="1:6" ht="26.25" thickBot="1" x14ac:dyDescent="0.25">
      <c r="A29" s="126" t="s">
        <v>213</v>
      </c>
      <c r="B29" s="127">
        <v>0.35</v>
      </c>
      <c r="C29" s="127">
        <v>0.3</v>
      </c>
      <c r="D29" s="127">
        <v>0.5</v>
      </c>
      <c r="E29" s="127">
        <v>0.25</v>
      </c>
      <c r="F29" s="127"/>
    </row>
    <row r="30" spans="1:6" ht="16.5" thickBot="1" x14ac:dyDescent="0.3">
      <c r="A30" s="142" t="s">
        <v>221</v>
      </c>
      <c r="B30" s="143">
        <f>F26</f>
        <v>0</v>
      </c>
      <c r="C30" s="94"/>
      <c r="D30" s="94"/>
      <c r="E30" s="94"/>
      <c r="F30" s="94"/>
    </row>
    <row r="32" spans="1:6" ht="15" thickBot="1" x14ac:dyDescent="0.25"/>
    <row r="33" spans="1:6" ht="42" customHeight="1" thickBot="1" x14ac:dyDescent="0.25">
      <c r="A33" s="193" t="s">
        <v>222</v>
      </c>
      <c r="B33" s="194"/>
      <c r="C33" s="194"/>
      <c r="D33" s="194"/>
      <c r="E33" s="195"/>
      <c r="F33" s="196"/>
    </row>
    <row r="34" spans="1:6" ht="15.75" x14ac:dyDescent="0.25">
      <c r="A34" s="187" t="s">
        <v>200</v>
      </c>
      <c r="B34" s="189" t="s">
        <v>0</v>
      </c>
      <c r="C34" s="190"/>
      <c r="D34" s="190"/>
      <c r="E34" s="191"/>
      <c r="F34" s="192"/>
    </row>
    <row r="35" spans="1:6" ht="30.75" thickBot="1" x14ac:dyDescent="0.3">
      <c r="A35" s="188"/>
      <c r="B35" s="111" t="s">
        <v>218</v>
      </c>
      <c r="C35" s="112" t="s">
        <v>203</v>
      </c>
      <c r="D35" s="112" t="s">
        <v>204</v>
      </c>
      <c r="E35" s="113" t="s">
        <v>205</v>
      </c>
      <c r="F35" s="113" t="s">
        <v>219</v>
      </c>
    </row>
    <row r="36" spans="1:6" ht="15.75" x14ac:dyDescent="0.25">
      <c r="A36" s="144" t="s">
        <v>223</v>
      </c>
      <c r="B36" s="138"/>
      <c r="C36" s="145"/>
      <c r="D36" s="145"/>
      <c r="E36" s="117"/>
      <c r="F36" s="117">
        <f>SUM(B36:E36)</f>
        <v>0</v>
      </c>
    </row>
    <row r="37" spans="1:6" ht="15.75" x14ac:dyDescent="0.25">
      <c r="A37" s="118"/>
      <c r="B37" s="146"/>
      <c r="C37" s="147"/>
      <c r="D37" s="147"/>
      <c r="E37" s="148"/>
      <c r="F37" s="148"/>
    </row>
    <row r="38" spans="1:6" ht="16.5" thickBot="1" x14ac:dyDescent="0.3">
      <c r="A38" s="122" t="s">
        <v>210</v>
      </c>
      <c r="B38" s="123">
        <f>B36</f>
        <v>0</v>
      </c>
      <c r="C38" s="123">
        <f t="shared" ref="C38:E38" si="4">C36</f>
        <v>0</v>
      </c>
      <c r="D38" s="123">
        <f t="shared" si="4"/>
        <v>0</v>
      </c>
      <c r="E38" s="123">
        <f t="shared" si="4"/>
        <v>0</v>
      </c>
      <c r="F38" s="123">
        <f>SUM(B38:E38)</f>
        <v>0</v>
      </c>
    </row>
    <row r="39" spans="1:6" ht="16.5" thickBot="1" x14ac:dyDescent="0.3">
      <c r="A39" s="122" t="s">
        <v>211</v>
      </c>
      <c r="B39" s="124" t="e">
        <f>B38/$F$38</f>
        <v>#DIV/0!</v>
      </c>
      <c r="C39" s="124" t="e">
        <f t="shared" ref="C39:E39" si="5">C38/$F$38</f>
        <v>#DIV/0!</v>
      </c>
      <c r="D39" s="124" t="e">
        <f t="shared" si="5"/>
        <v>#DIV/0!</v>
      </c>
      <c r="E39" s="124" t="e">
        <f t="shared" si="5"/>
        <v>#DIV/0!</v>
      </c>
      <c r="F39" s="149" t="e">
        <f>SUM(B39:E39)</f>
        <v>#DIV/0!</v>
      </c>
    </row>
    <row r="40" spans="1:6" ht="25.5" x14ac:dyDescent="0.2">
      <c r="A40" s="126" t="s">
        <v>212</v>
      </c>
      <c r="B40" s="127">
        <v>0.05</v>
      </c>
      <c r="C40" s="127">
        <v>0.15</v>
      </c>
      <c r="D40" s="127">
        <v>0.25</v>
      </c>
      <c r="E40" s="127">
        <v>0.1</v>
      </c>
      <c r="F40" s="127"/>
    </row>
    <row r="41" spans="1:6" ht="26.25" thickBot="1" x14ac:dyDescent="0.25">
      <c r="A41" s="126" t="s">
        <v>213</v>
      </c>
      <c r="B41" s="127">
        <v>0.35</v>
      </c>
      <c r="C41" s="127">
        <v>0.3</v>
      </c>
      <c r="D41" s="127">
        <v>0.5</v>
      </c>
      <c r="E41" s="127">
        <v>0.25</v>
      </c>
      <c r="F41" s="127"/>
    </row>
    <row r="42" spans="1:6" ht="16.5" thickBot="1" x14ac:dyDescent="0.3">
      <c r="A42" s="142" t="s">
        <v>221</v>
      </c>
      <c r="B42" s="131">
        <f>F38</f>
        <v>0</v>
      </c>
      <c r="C42" s="94"/>
      <c r="D42" s="94"/>
      <c r="E42" s="94"/>
      <c r="F42" s="94"/>
    </row>
  </sheetData>
  <mergeCells count="11">
    <mergeCell ref="A21:F21"/>
    <mergeCell ref="A1:F1"/>
    <mergeCell ref="A4:F4"/>
    <mergeCell ref="A5:A6"/>
    <mergeCell ref="B5:F5"/>
    <mergeCell ref="A17:F18"/>
    <mergeCell ref="A22:A23"/>
    <mergeCell ref="B22:F22"/>
    <mergeCell ref="A33:F33"/>
    <mergeCell ref="A34:A35"/>
    <mergeCell ref="B34:F34"/>
  </mergeCells>
  <conditionalFormatting sqref="B12">
    <cfRule type="cellIs" dxfId="23" priority="23" operator="between">
      <formula>0.05</formula>
      <formula>0.35</formula>
    </cfRule>
    <cfRule type="cellIs" dxfId="22" priority="24" operator="notBetween">
      <formula>0.05</formula>
      <formula>0.35</formula>
    </cfRule>
  </conditionalFormatting>
  <conditionalFormatting sqref="B27">
    <cfRule type="cellIs" dxfId="21" priority="15" operator="between">
      <formula>0.05</formula>
      <formula>0.35</formula>
    </cfRule>
    <cfRule type="cellIs" dxfId="20" priority="16" operator="notBetween">
      <formula>0.05</formula>
      <formula>0.35</formula>
    </cfRule>
  </conditionalFormatting>
  <conditionalFormatting sqref="B39">
    <cfRule type="cellIs" dxfId="19" priority="13" operator="between">
      <formula>0.05</formula>
      <formula>0.35</formula>
    </cfRule>
    <cfRule type="cellIs" dxfId="18" priority="14" operator="notBetween">
      <formula>0.05</formula>
      <formula>0.35</formula>
    </cfRule>
  </conditionalFormatting>
  <conditionalFormatting sqref="C12">
    <cfRule type="cellIs" dxfId="17" priority="21" operator="between">
      <formula>0.15</formula>
      <formula>0.3</formula>
    </cfRule>
    <cfRule type="cellIs" dxfId="16" priority="22" operator="notBetween">
      <formula>0.15</formula>
      <formula>0.3</formula>
    </cfRule>
  </conditionalFormatting>
  <conditionalFormatting sqref="C27">
    <cfRule type="cellIs" dxfId="15" priority="11" operator="between">
      <formula>0.15</formula>
      <formula>0.3</formula>
    </cfRule>
    <cfRule type="cellIs" dxfId="14" priority="12" operator="notBetween">
      <formula>0.15</formula>
      <formula>0.3</formula>
    </cfRule>
  </conditionalFormatting>
  <conditionalFormatting sqref="C39">
    <cfRule type="cellIs" dxfId="13" priority="9" operator="between">
      <formula>0.15</formula>
      <formula>0.3</formula>
    </cfRule>
    <cfRule type="cellIs" dxfId="12" priority="10" operator="notBetween">
      <formula>0.15</formula>
      <formula>0.3</formula>
    </cfRule>
  </conditionalFormatting>
  <conditionalFormatting sqref="D12">
    <cfRule type="cellIs" dxfId="11" priority="19" operator="between">
      <formula>0.25</formula>
      <formula>0.5</formula>
    </cfRule>
    <cfRule type="cellIs" dxfId="10" priority="20" operator="notBetween">
      <formula>25</formula>
      <formula>0.5</formula>
    </cfRule>
  </conditionalFormatting>
  <conditionalFormatting sqref="D27">
    <cfRule type="cellIs" dxfId="9" priority="7" operator="between">
      <formula>0.25</formula>
      <formula>0.5</formula>
    </cfRule>
    <cfRule type="cellIs" dxfId="8" priority="8" operator="notBetween">
      <formula>25</formula>
      <formula>0.5</formula>
    </cfRule>
  </conditionalFormatting>
  <conditionalFormatting sqref="D39">
    <cfRule type="cellIs" dxfId="7" priority="5" operator="between">
      <formula>0.25</formula>
      <formula>0.5</formula>
    </cfRule>
    <cfRule type="cellIs" dxfId="6" priority="6" operator="notBetween">
      <formula>25</formula>
      <formula>0.5</formula>
    </cfRule>
  </conditionalFormatting>
  <conditionalFormatting sqref="E12">
    <cfRule type="cellIs" dxfId="5" priority="17" operator="between">
      <formula>0.1</formula>
      <formula>0.25</formula>
    </cfRule>
    <cfRule type="cellIs" dxfId="4" priority="18" operator="notBetween">
      <formula>0.1</formula>
      <formula>0.25</formula>
    </cfRule>
  </conditionalFormatting>
  <conditionalFormatting sqref="E27">
    <cfRule type="cellIs" dxfId="3" priority="3" operator="between">
      <formula>0.1</formula>
      <formula>0.25</formula>
    </cfRule>
    <cfRule type="cellIs" dxfId="2" priority="4" operator="notBetween">
      <formula>0.1</formula>
      <formula>0.25</formula>
    </cfRule>
  </conditionalFormatting>
  <conditionalFormatting sqref="E39">
    <cfRule type="cellIs" dxfId="1" priority="1" operator="between">
      <formula>0.1</formula>
      <formula>0.25</formula>
    </cfRule>
    <cfRule type="cellIs" dxfId="0" priority="2" operator="notBetween">
      <formula>0.1</formula>
      <formula>0.25</formula>
    </cfRule>
  </conditionalFormatting>
  <pageMargins left="0.7" right="0.7" top="0.75" bottom="0.75" header="0.3" footer="0.3"/>
  <pageSetup scale="49" fitToHeight="0" orientation="portrait" r:id="rId1"/>
  <headerFooter>
    <oddFooter>&amp;RPage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19102-EA5A-4373-ABB8-9A9193788A49}">
  <sheetPr>
    <tabColor rgb="FF002060"/>
    <pageSetUpPr fitToPage="1"/>
  </sheetPr>
  <dimension ref="A1:B60"/>
  <sheetViews>
    <sheetView zoomScale="90" zoomScaleNormal="90" workbookViewId="0">
      <selection activeCell="B60" sqref="A1:B60"/>
    </sheetView>
  </sheetViews>
  <sheetFormatPr defaultColWidth="8.7109375" defaultRowHeight="14.25" x14ac:dyDescent="0.2"/>
  <cols>
    <col min="1" max="2" width="47.28515625" style="109" customWidth="1"/>
    <col min="3" max="16384" width="8.7109375" style="109"/>
  </cols>
  <sheetData>
    <row r="1" spans="1:2" ht="18.75" thickBot="1" x14ac:dyDescent="0.3">
      <c r="A1" s="197" t="s">
        <v>224</v>
      </c>
      <c r="B1" s="204"/>
    </row>
    <row r="2" spans="1:2" ht="15" thickBot="1" x14ac:dyDescent="0.25"/>
    <row r="3" spans="1:2" ht="18.75" thickBot="1" x14ac:dyDescent="0.3">
      <c r="A3" s="202" t="s">
        <v>225</v>
      </c>
      <c r="B3" s="203"/>
    </row>
    <row r="4" spans="1:2" ht="16.5" thickBot="1" x14ac:dyDescent="0.3">
      <c r="A4" s="150" t="s">
        <v>164</v>
      </c>
      <c r="B4" s="96" t="s">
        <v>165</v>
      </c>
    </row>
    <row r="5" spans="1:2" ht="15" x14ac:dyDescent="0.2">
      <c r="A5" s="151" t="s">
        <v>226</v>
      </c>
      <c r="B5" s="168"/>
    </row>
    <row r="6" spans="1:2" ht="15" x14ac:dyDescent="0.2">
      <c r="A6" s="152" t="s">
        <v>227</v>
      </c>
      <c r="B6" s="169"/>
    </row>
    <row r="7" spans="1:2" ht="15" x14ac:dyDescent="0.2">
      <c r="A7" s="152" t="s">
        <v>228</v>
      </c>
      <c r="B7" s="169"/>
    </row>
    <row r="8" spans="1:2" ht="15" x14ac:dyDescent="0.2">
      <c r="A8" s="152" t="s">
        <v>229</v>
      </c>
      <c r="B8" s="169"/>
    </row>
    <row r="9" spans="1:2" ht="2.65" customHeight="1" x14ac:dyDescent="0.25">
      <c r="A9" s="154"/>
      <c r="B9" s="170"/>
    </row>
    <row r="10" spans="1:2" ht="15.75" x14ac:dyDescent="0.25">
      <c r="A10" s="155" t="s">
        <v>230</v>
      </c>
      <c r="B10" s="169">
        <f>SUM(B5:B8)</f>
        <v>0</v>
      </c>
    </row>
    <row r="11" spans="1:2" ht="2.65" customHeight="1" x14ac:dyDescent="0.25">
      <c r="A11" s="154"/>
      <c r="B11" s="101"/>
    </row>
    <row r="12" spans="1:2" ht="15" x14ac:dyDescent="0.2">
      <c r="A12" s="152" t="s">
        <v>231</v>
      </c>
      <c r="B12" s="169"/>
    </row>
    <row r="13" spans="1:2" ht="15" x14ac:dyDescent="0.2">
      <c r="A13" s="152" t="s">
        <v>232</v>
      </c>
      <c r="B13" s="169"/>
    </row>
    <row r="14" spans="1:2" ht="15" x14ac:dyDescent="0.2">
      <c r="A14" s="152" t="s">
        <v>233</v>
      </c>
      <c r="B14" s="169"/>
    </row>
    <row r="15" spans="1:2" ht="15" x14ac:dyDescent="0.2">
      <c r="A15" s="152" t="s">
        <v>234</v>
      </c>
      <c r="B15" s="169"/>
    </row>
    <row r="16" spans="1:2" ht="15" x14ac:dyDescent="0.2">
      <c r="A16" s="152" t="s">
        <v>235</v>
      </c>
      <c r="B16" s="169"/>
    </row>
    <row r="17" spans="1:2" ht="2.65" customHeight="1" x14ac:dyDescent="0.25">
      <c r="A17" s="154"/>
      <c r="B17" s="170"/>
    </row>
    <row r="18" spans="1:2" ht="15.75" x14ac:dyDescent="0.25">
      <c r="A18" s="155" t="s">
        <v>230</v>
      </c>
      <c r="B18" s="171">
        <f>SUM(B12:B16)</f>
        <v>0</v>
      </c>
    </row>
    <row r="19" spans="1:2" ht="2.65" customHeight="1" x14ac:dyDescent="0.25">
      <c r="A19" s="154"/>
      <c r="B19" s="170"/>
    </row>
    <row r="20" spans="1:2" ht="16.5" thickBot="1" x14ac:dyDescent="0.3">
      <c r="A20" s="102" t="s">
        <v>236</v>
      </c>
      <c r="B20" s="172">
        <f>+B18+B10</f>
        <v>0</v>
      </c>
    </row>
    <row r="22" spans="1:2" ht="28.15" customHeight="1" x14ac:dyDescent="0.25">
      <c r="A22" s="205" t="s">
        <v>237</v>
      </c>
      <c r="B22" s="206"/>
    </row>
    <row r="23" spans="1:2" ht="17.649999999999999" customHeight="1" thickBot="1" x14ac:dyDescent="0.3">
      <c r="A23" s="205"/>
      <c r="B23" s="207"/>
    </row>
    <row r="24" spans="1:2" ht="18.75" thickBot="1" x14ac:dyDescent="0.3">
      <c r="A24" s="202" t="s">
        <v>238</v>
      </c>
      <c r="B24" s="203"/>
    </row>
    <row r="25" spans="1:2" ht="16.5" thickBot="1" x14ac:dyDescent="0.3">
      <c r="A25" s="150" t="s">
        <v>164</v>
      </c>
      <c r="B25" s="96" t="s">
        <v>165</v>
      </c>
    </row>
    <row r="26" spans="1:2" ht="15.75" x14ac:dyDescent="0.25">
      <c r="A26" s="151" t="s">
        <v>239</v>
      </c>
      <c r="B26" s="168"/>
    </row>
    <row r="27" spans="1:2" ht="15.75" x14ac:dyDescent="0.25">
      <c r="A27" s="152" t="s">
        <v>240</v>
      </c>
      <c r="B27" s="168"/>
    </row>
    <row r="28" spans="1:2" ht="15.75" x14ac:dyDescent="0.25">
      <c r="A28" s="152" t="s">
        <v>241</v>
      </c>
      <c r="B28" s="168"/>
    </row>
    <row r="29" spans="1:2" ht="15.75" x14ac:dyDescent="0.25">
      <c r="A29" s="152" t="s">
        <v>242</v>
      </c>
      <c r="B29" s="169"/>
    </row>
    <row r="30" spans="1:2" ht="15.75" x14ac:dyDescent="0.25">
      <c r="A30" s="154"/>
      <c r="B30" s="170"/>
    </row>
    <row r="31" spans="1:2" ht="15.75" x14ac:dyDescent="0.25">
      <c r="A31" s="155" t="s">
        <v>243</v>
      </c>
      <c r="B31" s="169">
        <f>SUM(B26:B29)</f>
        <v>0</v>
      </c>
    </row>
    <row r="32" spans="1:2" ht="15.75" x14ac:dyDescent="0.25">
      <c r="A32" s="154"/>
      <c r="B32" s="170"/>
    </row>
    <row r="33" spans="1:2" ht="15.75" x14ac:dyDescent="0.25">
      <c r="A33" s="152" t="s">
        <v>244</v>
      </c>
      <c r="B33" s="169"/>
    </row>
    <row r="34" spans="1:2" ht="15.75" x14ac:dyDescent="0.25">
      <c r="A34" s="152" t="s">
        <v>245</v>
      </c>
      <c r="B34" s="169"/>
    </row>
    <row r="35" spans="1:2" ht="15.75" x14ac:dyDescent="0.25">
      <c r="A35" s="152" t="s">
        <v>246</v>
      </c>
      <c r="B35" s="169"/>
    </row>
    <row r="36" spans="1:2" ht="15.75" x14ac:dyDescent="0.25">
      <c r="A36" s="152" t="s">
        <v>247</v>
      </c>
      <c r="B36" s="169"/>
    </row>
    <row r="37" spans="1:2" ht="15.75" x14ac:dyDescent="0.25">
      <c r="A37" s="152" t="s">
        <v>248</v>
      </c>
      <c r="B37" s="169"/>
    </row>
    <row r="38" spans="1:2" ht="15.75" x14ac:dyDescent="0.25">
      <c r="A38" s="154"/>
      <c r="B38" s="170"/>
    </row>
    <row r="39" spans="1:2" ht="15.75" x14ac:dyDescent="0.25">
      <c r="A39" s="155" t="s">
        <v>243</v>
      </c>
      <c r="B39" s="171">
        <f>SUM(B33:B37)</f>
        <v>0</v>
      </c>
    </row>
    <row r="40" spans="1:2" ht="15.75" x14ac:dyDescent="0.25">
      <c r="A40" s="154"/>
      <c r="B40" s="170"/>
    </row>
    <row r="41" spans="1:2" ht="16.5" thickBot="1" x14ac:dyDescent="0.3">
      <c r="A41" s="102" t="s">
        <v>249</v>
      </c>
      <c r="B41" s="172">
        <f>+B39+B31</f>
        <v>0</v>
      </c>
    </row>
    <row r="42" spans="1:2" ht="15" thickBot="1" x14ac:dyDescent="0.25"/>
    <row r="43" spans="1:2" ht="18.75" thickBot="1" x14ac:dyDescent="0.3">
      <c r="A43" s="202" t="s">
        <v>250</v>
      </c>
      <c r="B43" s="203"/>
    </row>
    <row r="44" spans="1:2" ht="16.5" thickBot="1" x14ac:dyDescent="0.3">
      <c r="A44" s="150" t="s">
        <v>164</v>
      </c>
      <c r="B44" s="96" t="s">
        <v>165</v>
      </c>
    </row>
    <row r="45" spans="1:2" ht="15.75" x14ac:dyDescent="0.25">
      <c r="A45" s="151" t="s">
        <v>251</v>
      </c>
      <c r="B45" s="168"/>
    </row>
    <row r="46" spans="1:2" ht="15.75" x14ac:dyDescent="0.25">
      <c r="A46" s="152" t="s">
        <v>252</v>
      </c>
      <c r="B46" s="169"/>
    </row>
    <row r="47" spans="1:2" ht="15.75" x14ac:dyDescent="0.25">
      <c r="A47" s="152" t="s">
        <v>253</v>
      </c>
      <c r="B47" s="169"/>
    </row>
    <row r="48" spans="1:2" ht="15.75" x14ac:dyDescent="0.25">
      <c r="A48" s="152" t="s">
        <v>254</v>
      </c>
      <c r="B48" s="169"/>
    </row>
    <row r="49" spans="1:2" ht="15.75" x14ac:dyDescent="0.25">
      <c r="A49" s="154"/>
      <c r="B49" s="170"/>
    </row>
    <row r="50" spans="1:2" ht="15.75" x14ac:dyDescent="0.25">
      <c r="A50" s="155" t="s">
        <v>255</v>
      </c>
      <c r="B50" s="169">
        <f>SUM(B45:B48)</f>
        <v>0</v>
      </c>
    </row>
    <row r="51" spans="1:2" ht="15.75" x14ac:dyDescent="0.25">
      <c r="A51" s="154"/>
      <c r="B51" s="170"/>
    </row>
    <row r="52" spans="1:2" ht="15.75" x14ac:dyDescent="0.25">
      <c r="A52" s="152" t="s">
        <v>256</v>
      </c>
      <c r="B52" s="169"/>
    </row>
    <row r="53" spans="1:2" ht="15.75" x14ac:dyDescent="0.25">
      <c r="A53" s="152" t="s">
        <v>257</v>
      </c>
      <c r="B53" s="169"/>
    </row>
    <row r="54" spans="1:2" ht="15.75" x14ac:dyDescent="0.25">
      <c r="A54" s="152" t="s">
        <v>258</v>
      </c>
      <c r="B54" s="169"/>
    </row>
    <row r="55" spans="1:2" ht="15.75" x14ac:dyDescent="0.25">
      <c r="A55" s="152" t="s">
        <v>259</v>
      </c>
      <c r="B55" s="169"/>
    </row>
    <row r="56" spans="1:2" ht="15.75" x14ac:dyDescent="0.25">
      <c r="A56" s="152" t="s">
        <v>260</v>
      </c>
      <c r="B56" s="169"/>
    </row>
    <row r="57" spans="1:2" ht="15.75" x14ac:dyDescent="0.25">
      <c r="A57" s="154"/>
      <c r="B57" s="170"/>
    </row>
    <row r="58" spans="1:2" ht="15.75" x14ac:dyDescent="0.25">
      <c r="A58" s="155" t="s">
        <v>255</v>
      </c>
      <c r="B58" s="171">
        <f>SUM(B52:B56)</f>
        <v>0</v>
      </c>
    </row>
    <row r="59" spans="1:2" ht="15.75" x14ac:dyDescent="0.25">
      <c r="A59" s="154"/>
      <c r="B59" s="170"/>
    </row>
    <row r="60" spans="1:2" ht="16.5" thickBot="1" x14ac:dyDescent="0.3">
      <c r="A60" s="102" t="s">
        <v>261</v>
      </c>
      <c r="B60" s="172">
        <f>+B58+B50</f>
        <v>0</v>
      </c>
    </row>
  </sheetData>
  <mergeCells count="6">
    <mergeCell ref="A43:B43"/>
    <mergeCell ref="A1:B1"/>
    <mergeCell ref="A3:B3"/>
    <mergeCell ref="A22:B22"/>
    <mergeCell ref="A23:B23"/>
    <mergeCell ref="A24:B24"/>
  </mergeCells>
  <pageMargins left="0.7" right="0.7" top="0.75" bottom="0.75" header="0.3" footer="0.3"/>
  <pageSetup scale="78" orientation="portrait"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7D931-2041-4A59-8868-C01C87A71761}">
  <sheetPr>
    <tabColor rgb="FF002060"/>
    <pageSetUpPr fitToPage="1"/>
  </sheetPr>
  <dimension ref="A1:B54"/>
  <sheetViews>
    <sheetView zoomScale="90" zoomScaleNormal="90" workbookViewId="0">
      <selection activeCell="B6" sqref="B6"/>
    </sheetView>
  </sheetViews>
  <sheetFormatPr defaultColWidth="9" defaultRowHeight="15" x14ac:dyDescent="0.25"/>
  <cols>
    <col min="1" max="1" width="53.28515625" style="156" customWidth="1"/>
    <col min="2" max="2" width="41.7109375" style="156" customWidth="1"/>
    <col min="3" max="16384" width="9" style="156"/>
  </cols>
  <sheetData>
    <row r="1" spans="1:2" ht="18.75" thickBot="1" x14ac:dyDescent="0.3">
      <c r="A1" s="197" t="s">
        <v>262</v>
      </c>
      <c r="B1" s="204"/>
    </row>
    <row r="2" spans="1:2" ht="15.75" thickBot="1" x14ac:dyDescent="0.3"/>
    <row r="3" spans="1:2" ht="18.75" thickBot="1" x14ac:dyDescent="0.3">
      <c r="A3" s="202" t="s">
        <v>263</v>
      </c>
      <c r="B3" s="203"/>
    </row>
    <row r="4" spans="1:2" ht="16.5" thickBot="1" x14ac:dyDescent="0.3">
      <c r="A4" s="150" t="s">
        <v>164</v>
      </c>
      <c r="B4" s="96" t="s">
        <v>165</v>
      </c>
    </row>
    <row r="5" spans="1:2" ht="15.75" x14ac:dyDescent="0.25">
      <c r="A5" s="151" t="s">
        <v>264</v>
      </c>
      <c r="B5" s="98"/>
    </row>
    <row r="6" spans="1:2" ht="15.75" x14ac:dyDescent="0.25">
      <c r="A6" s="157" t="s">
        <v>265</v>
      </c>
      <c r="B6" s="173">
        <f>SUM(B5)</f>
        <v>0</v>
      </c>
    </row>
    <row r="7" spans="1:2" ht="15.75" x14ac:dyDescent="0.25">
      <c r="A7" s="158" t="s">
        <v>266</v>
      </c>
      <c r="B7" s="153"/>
    </row>
    <row r="8" spans="1:2" ht="15.75" x14ac:dyDescent="0.25">
      <c r="A8" s="158" t="s">
        <v>267</v>
      </c>
      <c r="B8" s="153"/>
    </row>
    <row r="9" spans="1:2" ht="15.75" x14ac:dyDescent="0.25">
      <c r="A9" s="158" t="s">
        <v>268</v>
      </c>
      <c r="B9" s="153"/>
    </row>
    <row r="10" spans="1:2" ht="15.75" x14ac:dyDescent="0.25">
      <c r="A10" s="158" t="s">
        <v>269</v>
      </c>
      <c r="B10" s="153"/>
    </row>
    <row r="11" spans="1:2" ht="15.75" x14ac:dyDescent="0.25">
      <c r="A11" s="159" t="s">
        <v>270</v>
      </c>
      <c r="B11" s="153"/>
    </row>
    <row r="12" spans="1:2" ht="15.75" x14ac:dyDescent="0.25">
      <c r="A12" s="159" t="s">
        <v>271</v>
      </c>
      <c r="B12" s="153"/>
    </row>
    <row r="13" spans="1:2" ht="15.75" x14ac:dyDescent="0.25">
      <c r="A13" s="159" t="s">
        <v>272</v>
      </c>
      <c r="B13" s="153"/>
    </row>
    <row r="14" spans="1:2" ht="15.75" x14ac:dyDescent="0.25">
      <c r="A14" s="159" t="s">
        <v>273</v>
      </c>
      <c r="B14" s="153"/>
    </row>
    <row r="15" spans="1:2" ht="15.75" x14ac:dyDescent="0.25">
      <c r="A15" s="159" t="s">
        <v>274</v>
      </c>
      <c r="B15" s="153"/>
    </row>
    <row r="16" spans="1:2" ht="15.75" x14ac:dyDescent="0.25">
      <c r="A16" s="160" t="s">
        <v>275</v>
      </c>
      <c r="B16" s="173">
        <f>SUM(B7:B15)</f>
        <v>0</v>
      </c>
    </row>
    <row r="17" spans="1:2" ht="15.75" x14ac:dyDescent="0.25">
      <c r="A17" s="154"/>
      <c r="B17" s="174"/>
    </row>
    <row r="18" spans="1:2" ht="16.5" thickBot="1" x14ac:dyDescent="0.3">
      <c r="A18" s="161" t="s">
        <v>276</v>
      </c>
      <c r="B18" s="175">
        <f>B16+B6</f>
        <v>0</v>
      </c>
    </row>
    <row r="19" spans="1:2" ht="15.75" x14ac:dyDescent="0.25">
      <c r="A19" s="162"/>
      <c r="B19" s="94"/>
    </row>
    <row r="20" spans="1:2" ht="15.75" x14ac:dyDescent="0.25">
      <c r="A20" s="208" t="s">
        <v>277</v>
      </c>
      <c r="B20" s="208"/>
    </row>
    <row r="21" spans="1:2" ht="15.75" thickBot="1" x14ac:dyDescent="0.3"/>
    <row r="22" spans="1:2" ht="18.75" thickBot="1" x14ac:dyDescent="0.3">
      <c r="A22" s="202" t="s">
        <v>278</v>
      </c>
      <c r="B22" s="203"/>
    </row>
    <row r="23" spans="1:2" ht="16.5" thickBot="1" x14ac:dyDescent="0.3">
      <c r="A23" s="150" t="s">
        <v>164</v>
      </c>
      <c r="B23" s="96" t="s">
        <v>165</v>
      </c>
    </row>
    <row r="24" spans="1:2" ht="15.75" x14ac:dyDescent="0.25">
      <c r="A24" s="151" t="s">
        <v>279</v>
      </c>
      <c r="B24" s="98"/>
    </row>
    <row r="25" spans="1:2" ht="15.75" x14ac:dyDescent="0.25">
      <c r="A25" s="157" t="s">
        <v>280</v>
      </c>
      <c r="B25" s="173">
        <f>SUM(B24)</f>
        <v>0</v>
      </c>
    </row>
    <row r="26" spans="1:2" ht="15.75" x14ac:dyDescent="0.25">
      <c r="A26" s="158" t="s">
        <v>281</v>
      </c>
      <c r="B26" s="153"/>
    </row>
    <row r="27" spans="1:2" ht="15.75" x14ac:dyDescent="0.25">
      <c r="A27" s="158" t="s">
        <v>282</v>
      </c>
      <c r="B27" s="153"/>
    </row>
    <row r="28" spans="1:2" ht="15.75" x14ac:dyDescent="0.25">
      <c r="A28" s="158" t="s">
        <v>283</v>
      </c>
      <c r="B28" s="153"/>
    </row>
    <row r="29" spans="1:2" ht="15.75" x14ac:dyDescent="0.25">
      <c r="A29" s="158" t="s">
        <v>284</v>
      </c>
      <c r="B29" s="153"/>
    </row>
    <row r="30" spans="1:2" ht="15.75" x14ac:dyDescent="0.25">
      <c r="A30" s="159" t="s">
        <v>285</v>
      </c>
      <c r="B30" s="153"/>
    </row>
    <row r="31" spans="1:2" ht="15.75" x14ac:dyDescent="0.25">
      <c r="A31" s="159" t="s">
        <v>286</v>
      </c>
      <c r="B31" s="153"/>
    </row>
    <row r="32" spans="1:2" ht="15.75" x14ac:dyDescent="0.25">
      <c r="A32" s="159" t="s">
        <v>287</v>
      </c>
      <c r="B32" s="153"/>
    </row>
    <row r="33" spans="1:2" ht="15.75" x14ac:dyDescent="0.25">
      <c r="A33" s="159" t="s">
        <v>288</v>
      </c>
      <c r="B33" s="153"/>
    </row>
    <row r="34" spans="1:2" ht="15.75" x14ac:dyDescent="0.25">
      <c r="A34" s="159" t="s">
        <v>289</v>
      </c>
      <c r="B34" s="153"/>
    </row>
    <row r="35" spans="1:2" ht="15.75" x14ac:dyDescent="0.25">
      <c r="A35" s="160" t="s">
        <v>290</v>
      </c>
      <c r="B35" s="173">
        <f>SUM(B26:B34)</f>
        <v>0</v>
      </c>
    </row>
    <row r="36" spans="1:2" ht="15.75" x14ac:dyDescent="0.25">
      <c r="A36" s="154"/>
      <c r="B36" s="174"/>
    </row>
    <row r="37" spans="1:2" ht="16.5" thickBot="1" x14ac:dyDescent="0.3">
      <c r="A37" s="161" t="s">
        <v>291</v>
      </c>
      <c r="B37" s="175">
        <f>B35+B25</f>
        <v>0</v>
      </c>
    </row>
    <row r="38" spans="1:2" ht="15.75" thickBot="1" x14ac:dyDescent="0.3"/>
    <row r="39" spans="1:2" ht="18.75" thickBot="1" x14ac:dyDescent="0.3">
      <c r="A39" s="202" t="s">
        <v>292</v>
      </c>
      <c r="B39" s="203"/>
    </row>
    <row r="40" spans="1:2" ht="16.5" thickBot="1" x14ac:dyDescent="0.3">
      <c r="A40" s="150" t="s">
        <v>164</v>
      </c>
      <c r="B40" s="96" t="s">
        <v>165</v>
      </c>
    </row>
    <row r="41" spans="1:2" ht="15.75" x14ac:dyDescent="0.25">
      <c r="A41" s="151" t="s">
        <v>293</v>
      </c>
      <c r="B41" s="98"/>
    </row>
    <row r="42" spans="1:2" ht="15.75" x14ac:dyDescent="0.25">
      <c r="A42" s="157" t="s">
        <v>294</v>
      </c>
      <c r="B42" s="173">
        <f>SUM(B41)</f>
        <v>0</v>
      </c>
    </row>
    <row r="43" spans="1:2" ht="15.75" x14ac:dyDescent="0.25">
      <c r="A43" s="158" t="s">
        <v>295</v>
      </c>
      <c r="B43" s="153"/>
    </row>
    <row r="44" spans="1:2" ht="15.75" x14ac:dyDescent="0.25">
      <c r="A44" s="158" t="s">
        <v>296</v>
      </c>
      <c r="B44" s="153"/>
    </row>
    <row r="45" spans="1:2" ht="15.75" x14ac:dyDescent="0.25">
      <c r="A45" s="158" t="s">
        <v>297</v>
      </c>
      <c r="B45" s="153"/>
    </row>
    <row r="46" spans="1:2" ht="15.75" x14ac:dyDescent="0.25">
      <c r="A46" s="158" t="s">
        <v>298</v>
      </c>
      <c r="B46" s="153"/>
    </row>
    <row r="47" spans="1:2" ht="15.75" x14ac:dyDescent="0.25">
      <c r="A47" s="159" t="s">
        <v>299</v>
      </c>
      <c r="B47" s="153"/>
    </row>
    <row r="48" spans="1:2" ht="15.75" x14ac:dyDescent="0.25">
      <c r="A48" s="159" t="s">
        <v>300</v>
      </c>
      <c r="B48" s="153"/>
    </row>
    <row r="49" spans="1:2" ht="15.75" x14ac:dyDescent="0.25">
      <c r="A49" s="159" t="s">
        <v>301</v>
      </c>
      <c r="B49" s="153"/>
    </row>
    <row r="50" spans="1:2" ht="15.75" x14ac:dyDescent="0.25">
      <c r="A50" s="159" t="s">
        <v>302</v>
      </c>
      <c r="B50" s="153"/>
    </row>
    <row r="51" spans="1:2" ht="15.75" x14ac:dyDescent="0.25">
      <c r="A51" s="159" t="s">
        <v>303</v>
      </c>
      <c r="B51" s="153"/>
    </row>
    <row r="52" spans="1:2" ht="15.75" x14ac:dyDescent="0.25">
      <c r="A52" s="160" t="s">
        <v>304</v>
      </c>
      <c r="B52" s="173">
        <f>SUM(B43:B51)</f>
        <v>0</v>
      </c>
    </row>
    <row r="53" spans="1:2" ht="15.75" x14ac:dyDescent="0.25">
      <c r="A53" s="154"/>
      <c r="B53" s="174"/>
    </row>
    <row r="54" spans="1:2" ht="16.5" thickBot="1" x14ac:dyDescent="0.3">
      <c r="A54" s="161" t="s">
        <v>305</v>
      </c>
      <c r="B54" s="175">
        <f>B52+B42</f>
        <v>0</v>
      </c>
    </row>
  </sheetData>
  <mergeCells count="5">
    <mergeCell ref="A1:B1"/>
    <mergeCell ref="A3:B3"/>
    <mergeCell ref="A20:B20"/>
    <mergeCell ref="A22:B22"/>
    <mergeCell ref="A39:B39"/>
  </mergeCells>
  <pageMargins left="0.7" right="0.7" top="0.75" bottom="0.75" header="0.3" footer="0.3"/>
  <pageSetup scale="82" orientation="portrait" r:id="rId1"/>
  <headerFoot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H57"/>
  <sheetViews>
    <sheetView zoomScale="90" zoomScaleNormal="90" workbookViewId="0">
      <selection sqref="A1:C1"/>
    </sheetView>
  </sheetViews>
  <sheetFormatPr defaultColWidth="8.7109375" defaultRowHeight="14.25" x14ac:dyDescent="0.2"/>
  <cols>
    <col min="1" max="1" width="36.7109375" style="2" bestFit="1" customWidth="1"/>
    <col min="2" max="3" width="40.7109375" style="2" customWidth="1"/>
    <col min="4" max="4" width="8.7109375" style="2"/>
    <col min="5" max="5" width="10.7109375" style="2" customWidth="1"/>
    <col min="6" max="16384" width="8.7109375" style="2"/>
  </cols>
  <sheetData>
    <row r="1" spans="1:8" ht="18.75" thickBot="1" x14ac:dyDescent="0.3">
      <c r="A1" s="209" t="s">
        <v>1</v>
      </c>
      <c r="B1" s="210"/>
      <c r="C1" s="211"/>
      <c r="H1" s="1"/>
    </row>
    <row r="2" spans="1:8" ht="15" thickBot="1" x14ac:dyDescent="0.25"/>
    <row r="3" spans="1:8" ht="18.75" thickBot="1" x14ac:dyDescent="0.3">
      <c r="A3" s="212" t="s">
        <v>2</v>
      </c>
      <c r="B3" s="213"/>
      <c r="C3" s="214"/>
    </row>
    <row r="4" spans="1:8" ht="15.75" x14ac:dyDescent="0.25">
      <c r="A4" s="215" t="s">
        <v>3</v>
      </c>
      <c r="B4" s="217" t="s">
        <v>4</v>
      </c>
      <c r="C4" s="218"/>
    </row>
    <row r="5" spans="1:8" ht="16.5" thickBot="1" x14ac:dyDescent="0.3">
      <c r="A5" s="216"/>
      <c r="B5" s="3" t="s">
        <v>5</v>
      </c>
      <c r="C5" s="4" t="s">
        <v>6</v>
      </c>
      <c r="E5" s="5"/>
    </row>
    <row r="6" spans="1:8" ht="15" x14ac:dyDescent="0.2">
      <c r="A6" s="6" t="s">
        <v>63</v>
      </c>
      <c r="B6" s="84">
        <v>136.32999999999998</v>
      </c>
      <c r="C6" s="85">
        <v>130.86999999999998</v>
      </c>
    </row>
    <row r="7" spans="1:8" ht="15" x14ac:dyDescent="0.2">
      <c r="A7" s="6" t="s">
        <v>64</v>
      </c>
      <c r="B7" s="84">
        <v>161.56</v>
      </c>
      <c r="C7" s="85">
        <v>155.1</v>
      </c>
    </row>
    <row r="8" spans="1:8" ht="15" x14ac:dyDescent="0.2">
      <c r="A8" s="6" t="s">
        <v>65</v>
      </c>
      <c r="B8" s="84">
        <v>100.99</v>
      </c>
      <c r="C8" s="85">
        <v>96.949999999999989</v>
      </c>
    </row>
    <row r="9" spans="1:8" ht="15" x14ac:dyDescent="0.2">
      <c r="A9" s="6" t="s">
        <v>66</v>
      </c>
      <c r="B9" s="84">
        <v>141.38999999999999</v>
      </c>
      <c r="C9" s="85">
        <v>135.72999999999999</v>
      </c>
    </row>
    <row r="10" spans="1:8" ht="15" x14ac:dyDescent="0.2">
      <c r="A10" s="6" t="s">
        <v>67</v>
      </c>
      <c r="B10" s="84">
        <v>136.32999999999998</v>
      </c>
      <c r="C10" s="85">
        <v>130.86999999999998</v>
      </c>
    </row>
    <row r="11" spans="1:8" ht="15" x14ac:dyDescent="0.2">
      <c r="A11" s="6" t="s">
        <v>68</v>
      </c>
      <c r="B11" s="84">
        <v>111.06</v>
      </c>
      <c r="C11" s="85">
        <v>106.61999999999999</v>
      </c>
    </row>
    <row r="12" spans="1:8" ht="15" x14ac:dyDescent="0.2">
      <c r="A12" s="6" t="s">
        <v>69</v>
      </c>
      <c r="B12" s="84">
        <v>90.889999999999986</v>
      </c>
      <c r="C12" s="85">
        <v>87.25</v>
      </c>
    </row>
    <row r="13" spans="1:8" ht="15" x14ac:dyDescent="0.2">
      <c r="A13" s="6" t="s">
        <v>70</v>
      </c>
      <c r="B13" s="84">
        <v>80.789999999999992</v>
      </c>
      <c r="C13" s="85">
        <v>77.56</v>
      </c>
    </row>
    <row r="14" spans="1:8" ht="15" x14ac:dyDescent="0.2">
      <c r="A14" s="6" t="s">
        <v>71</v>
      </c>
      <c r="B14" s="84">
        <v>111.06</v>
      </c>
      <c r="C14" s="85">
        <v>106.61999999999999</v>
      </c>
    </row>
    <row r="15" spans="1:8" ht="15" x14ac:dyDescent="0.2">
      <c r="A15" s="6" t="s">
        <v>72</v>
      </c>
      <c r="B15" s="84">
        <v>90.889999999999986</v>
      </c>
      <c r="C15" s="85">
        <v>87.25</v>
      </c>
    </row>
    <row r="16" spans="1:8" ht="15" x14ac:dyDescent="0.2">
      <c r="A16" s="6" t="s">
        <v>73</v>
      </c>
      <c r="B16" s="84">
        <v>100.99</v>
      </c>
      <c r="C16" s="85">
        <v>96.949999999999989</v>
      </c>
    </row>
    <row r="17" spans="1:3" ht="15" x14ac:dyDescent="0.2">
      <c r="A17" s="6" t="s">
        <v>74</v>
      </c>
      <c r="B17" s="84">
        <v>95.93</v>
      </c>
      <c r="C17" s="85">
        <v>92.09</v>
      </c>
    </row>
    <row r="18" spans="1:3" ht="15" x14ac:dyDescent="0.2">
      <c r="A18" s="6" t="s">
        <v>75</v>
      </c>
      <c r="B18" s="84">
        <v>161.56</v>
      </c>
      <c r="C18" s="85">
        <v>155.1</v>
      </c>
    </row>
    <row r="19" spans="1:3" ht="15" x14ac:dyDescent="0.2">
      <c r="A19" s="6" t="s">
        <v>76</v>
      </c>
      <c r="B19" s="84">
        <v>126.24999999999999</v>
      </c>
      <c r="C19" s="85">
        <v>121.19999999999999</v>
      </c>
    </row>
    <row r="20" spans="1:3" ht="15" x14ac:dyDescent="0.2">
      <c r="A20" s="6" t="s">
        <v>77</v>
      </c>
      <c r="B20" s="84">
        <v>126.24999999999999</v>
      </c>
      <c r="C20" s="85">
        <v>121.19999999999999</v>
      </c>
    </row>
    <row r="21" spans="1:3" ht="15" x14ac:dyDescent="0.2">
      <c r="A21" s="6" t="s">
        <v>78</v>
      </c>
      <c r="B21" s="84">
        <v>126.24999999999999</v>
      </c>
      <c r="C21" s="85">
        <v>121.19999999999999</v>
      </c>
    </row>
    <row r="22" spans="1:3" ht="15" x14ac:dyDescent="0.2">
      <c r="A22" s="6" t="s">
        <v>79</v>
      </c>
      <c r="B22" s="84">
        <v>141.38999999999999</v>
      </c>
      <c r="C22" s="85">
        <v>135.72999999999999</v>
      </c>
    </row>
    <row r="23" spans="1:3" ht="15" x14ac:dyDescent="0.2">
      <c r="A23" s="6" t="s">
        <v>80</v>
      </c>
      <c r="B23" s="84">
        <v>131.29</v>
      </c>
      <c r="C23" s="85">
        <v>126.04</v>
      </c>
    </row>
    <row r="24" spans="1:3" ht="15" x14ac:dyDescent="0.2">
      <c r="A24" s="6" t="s">
        <v>81</v>
      </c>
      <c r="B24" s="84">
        <v>111.06</v>
      </c>
      <c r="C24" s="85">
        <v>106.61999999999999</v>
      </c>
    </row>
    <row r="25" spans="1:3" ht="15" x14ac:dyDescent="0.2">
      <c r="A25" s="6" t="s">
        <v>82</v>
      </c>
      <c r="B25" s="84">
        <v>111.06</v>
      </c>
      <c r="C25" s="85">
        <v>106.61999999999999</v>
      </c>
    </row>
    <row r="26" spans="1:3" ht="15" x14ac:dyDescent="0.2">
      <c r="A26" s="6" t="s">
        <v>83</v>
      </c>
      <c r="B26" s="84">
        <v>126.24999999999999</v>
      </c>
      <c r="C26" s="85">
        <v>121.19999999999999</v>
      </c>
    </row>
    <row r="27" spans="1:3" ht="15" x14ac:dyDescent="0.2">
      <c r="A27" s="6" t="s">
        <v>84</v>
      </c>
      <c r="B27" s="84">
        <v>116.13</v>
      </c>
      <c r="C27" s="85">
        <v>111.47999999999999</v>
      </c>
    </row>
    <row r="28" spans="1:3" ht="15" x14ac:dyDescent="0.2">
      <c r="A28" s="6" t="s">
        <v>85</v>
      </c>
      <c r="B28" s="84">
        <v>111.06</v>
      </c>
      <c r="C28" s="85">
        <v>106.61999999999999</v>
      </c>
    </row>
    <row r="29" spans="1:3" ht="15" x14ac:dyDescent="0.2">
      <c r="A29" s="6" t="s">
        <v>86</v>
      </c>
      <c r="B29" s="84">
        <v>111.06</v>
      </c>
      <c r="C29" s="85">
        <v>106.61999999999999</v>
      </c>
    </row>
    <row r="30" spans="1:3" ht="15" x14ac:dyDescent="0.2">
      <c r="A30" s="6" t="s">
        <v>87</v>
      </c>
      <c r="B30" s="84">
        <v>161.56</v>
      </c>
      <c r="C30" s="85">
        <v>155.1</v>
      </c>
    </row>
    <row r="31" spans="1:3" ht="15" x14ac:dyDescent="0.2">
      <c r="A31" s="6" t="s">
        <v>88</v>
      </c>
      <c r="B31" s="84">
        <v>161.56</v>
      </c>
      <c r="C31" s="85">
        <v>155.1</v>
      </c>
    </row>
    <row r="32" spans="1:3" ht="15" x14ac:dyDescent="0.2">
      <c r="A32" s="6" t="s">
        <v>89</v>
      </c>
      <c r="B32" s="84">
        <v>161.56</v>
      </c>
      <c r="C32" s="85">
        <v>155.1</v>
      </c>
    </row>
    <row r="33" spans="1:3" ht="15" x14ac:dyDescent="0.2">
      <c r="A33" s="6" t="s">
        <v>90</v>
      </c>
      <c r="B33" s="84">
        <v>161.56</v>
      </c>
      <c r="C33" s="85">
        <v>155.1</v>
      </c>
    </row>
    <row r="34" spans="1:3" ht="15" x14ac:dyDescent="0.2">
      <c r="A34" s="6" t="s">
        <v>91</v>
      </c>
      <c r="B34" s="84">
        <v>126.24999999999999</v>
      </c>
      <c r="C34" s="85">
        <v>121.19999999999999</v>
      </c>
    </row>
    <row r="35" spans="1:3" ht="15" x14ac:dyDescent="0.2">
      <c r="A35" s="6" t="s">
        <v>92</v>
      </c>
      <c r="B35" s="84">
        <v>80.789999999999992</v>
      </c>
      <c r="C35" s="85">
        <v>77.56</v>
      </c>
    </row>
    <row r="36" spans="1:3" ht="15.4" customHeight="1" x14ac:dyDescent="0.2">
      <c r="A36" s="6" t="s">
        <v>93</v>
      </c>
      <c r="B36" s="84">
        <v>95.93</v>
      </c>
      <c r="C36" s="85">
        <v>92.09</v>
      </c>
    </row>
    <row r="37" spans="1:3" ht="15.4" customHeight="1" x14ac:dyDescent="0.2">
      <c r="A37" s="6" t="s">
        <v>94</v>
      </c>
      <c r="B37" s="84">
        <v>121.16000000000001</v>
      </c>
      <c r="C37" s="85">
        <v>116.32000000000001</v>
      </c>
    </row>
    <row r="38" spans="1:3" ht="15.4" customHeight="1" x14ac:dyDescent="0.2">
      <c r="A38" s="6" t="s">
        <v>95</v>
      </c>
      <c r="B38" s="84">
        <v>111.06</v>
      </c>
      <c r="C38" s="85">
        <v>106.61999999999999</v>
      </c>
    </row>
    <row r="39" spans="1:3" ht="15.4" customHeight="1" x14ac:dyDescent="0.2">
      <c r="A39" s="6" t="s">
        <v>96</v>
      </c>
      <c r="B39" s="84">
        <v>111.06</v>
      </c>
      <c r="C39" s="85">
        <v>106.61999999999999</v>
      </c>
    </row>
    <row r="40" spans="1:3" ht="15.4" customHeight="1" x14ac:dyDescent="0.2">
      <c r="A40" s="6" t="s">
        <v>97</v>
      </c>
      <c r="B40" s="84">
        <v>95.93</v>
      </c>
      <c r="C40" s="85">
        <v>92.09</v>
      </c>
    </row>
    <row r="41" spans="1:3" ht="15.4" customHeight="1" x14ac:dyDescent="0.2">
      <c r="A41" s="6" t="s">
        <v>98</v>
      </c>
      <c r="B41" s="84">
        <v>131.29</v>
      </c>
      <c r="C41" s="85">
        <v>126.04</v>
      </c>
    </row>
    <row r="42" spans="1:3" ht="15.4" customHeight="1" x14ac:dyDescent="0.2">
      <c r="A42" s="6" t="s">
        <v>99</v>
      </c>
      <c r="B42" s="84">
        <v>111.06</v>
      </c>
      <c r="C42" s="85">
        <v>106.61999999999999</v>
      </c>
    </row>
    <row r="43" spans="1:3" ht="15.4" customHeight="1" x14ac:dyDescent="0.2">
      <c r="A43" s="6" t="s">
        <v>100</v>
      </c>
      <c r="B43" s="84">
        <v>100.99</v>
      </c>
      <c r="C43" s="85">
        <v>96.949999999999989</v>
      </c>
    </row>
    <row r="44" spans="1:3" ht="15.4" customHeight="1" x14ac:dyDescent="0.2">
      <c r="A44" s="6" t="s">
        <v>101</v>
      </c>
      <c r="B44" s="84">
        <v>126.24999999999999</v>
      </c>
      <c r="C44" s="85">
        <v>121.19999999999999</v>
      </c>
    </row>
    <row r="45" spans="1:3" ht="15.4" customHeight="1" x14ac:dyDescent="0.2">
      <c r="A45" s="6" t="s">
        <v>102</v>
      </c>
      <c r="B45" s="84">
        <v>131.29</v>
      </c>
      <c r="C45" s="85">
        <v>126.04</v>
      </c>
    </row>
    <row r="46" spans="1:3" ht="15.4" customHeight="1" x14ac:dyDescent="0.2">
      <c r="A46" s="6" t="s">
        <v>103</v>
      </c>
      <c r="B46" s="84">
        <v>126.24999999999999</v>
      </c>
      <c r="C46" s="85">
        <v>121.19999999999999</v>
      </c>
    </row>
    <row r="47" spans="1:3" ht="15.4" customHeight="1" x14ac:dyDescent="0.2">
      <c r="A47" s="6" t="s">
        <v>104</v>
      </c>
      <c r="B47" s="84">
        <v>126.24999999999999</v>
      </c>
      <c r="C47" s="85">
        <v>121.19999999999999</v>
      </c>
    </row>
    <row r="48" spans="1:3" ht="15.4" customHeight="1" x14ac:dyDescent="0.2">
      <c r="A48" s="6" t="s">
        <v>105</v>
      </c>
      <c r="B48" s="84">
        <v>75.75</v>
      </c>
      <c r="C48" s="85">
        <v>72.72</v>
      </c>
    </row>
    <row r="49" spans="1:3" ht="15.4" customHeight="1" x14ac:dyDescent="0.2">
      <c r="A49" s="6" t="s">
        <v>106</v>
      </c>
      <c r="B49" s="84">
        <v>60.599999999999994</v>
      </c>
      <c r="C49" s="85">
        <v>58.179999999999993</v>
      </c>
    </row>
    <row r="50" spans="1:3" ht="15.4" customHeight="1" x14ac:dyDescent="0.2">
      <c r="A50" s="6" t="s">
        <v>107</v>
      </c>
      <c r="B50" s="84">
        <v>121.16000000000001</v>
      </c>
      <c r="C50" s="85">
        <v>116.32000000000001</v>
      </c>
    </row>
    <row r="51" spans="1:3" ht="15.4" customHeight="1" x14ac:dyDescent="0.2">
      <c r="A51" s="6" t="s">
        <v>108</v>
      </c>
      <c r="B51" s="84">
        <v>126.24999999999999</v>
      </c>
      <c r="C51" s="85">
        <v>121.19999999999999</v>
      </c>
    </row>
    <row r="52" spans="1:3" ht="15.4" customHeight="1" x14ac:dyDescent="0.2">
      <c r="A52" s="6" t="s">
        <v>109</v>
      </c>
      <c r="B52" s="84">
        <v>100.99</v>
      </c>
      <c r="C52" s="85">
        <v>96.949999999999989</v>
      </c>
    </row>
    <row r="53" spans="1:3" ht="15.4" customHeight="1" x14ac:dyDescent="0.2">
      <c r="A53" s="6"/>
      <c r="B53" s="86"/>
      <c r="C53" s="87"/>
    </row>
    <row r="54" spans="1:3" ht="15.4" customHeight="1" x14ac:dyDescent="0.2">
      <c r="A54" s="7"/>
      <c r="B54" s="84"/>
      <c r="C54" s="85"/>
    </row>
    <row r="55" spans="1:3" ht="15.4" customHeight="1" thickBot="1" x14ac:dyDescent="0.25">
      <c r="A55" s="8"/>
      <c r="B55" s="88"/>
      <c r="C55" s="89"/>
    </row>
    <row r="57" spans="1:3" ht="34.5" customHeight="1" x14ac:dyDescent="0.2">
      <c r="A57" s="219" t="s">
        <v>7</v>
      </c>
      <c r="B57" s="219"/>
      <c r="C57" s="219"/>
    </row>
  </sheetData>
  <mergeCells count="5">
    <mergeCell ref="A1:C1"/>
    <mergeCell ref="A3:C3"/>
    <mergeCell ref="A4:A5"/>
    <mergeCell ref="B4:C4"/>
    <mergeCell ref="A57:C57"/>
  </mergeCells>
  <hyperlinks>
    <hyperlink ref="H1" location="Index" display="Back to Index" xr:uid="{00000000-0004-0000-0400-000000000000}"/>
  </hyperlinks>
  <pageMargins left="0.7" right="0.7" top="0.75" bottom="0.75" header="0.3" footer="0.3"/>
  <pageSetup scale="77" orientation="portrait" r:id="rId1"/>
  <headerFooter>
    <oddFooter>&amp;L&amp;G&amp;RPage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S25"/>
  <sheetViews>
    <sheetView zoomScale="90" zoomScaleNormal="90" workbookViewId="0">
      <selection activeCell="J20" sqref="J20"/>
    </sheetView>
  </sheetViews>
  <sheetFormatPr defaultColWidth="9.140625" defaultRowHeight="14.25" x14ac:dyDescent="0.2"/>
  <cols>
    <col min="1" max="1" width="46.7109375" style="2" customWidth="1"/>
    <col min="2" max="2" width="11.5703125" style="2" customWidth="1"/>
    <col min="3" max="3" width="18.28515625" style="2" bestFit="1" customWidth="1"/>
    <col min="4" max="4" width="14.7109375" style="2" bestFit="1" customWidth="1"/>
    <col min="5" max="7" width="12.7109375" style="2" customWidth="1"/>
    <col min="8" max="8" width="15.7109375" style="2" bestFit="1" customWidth="1"/>
    <col min="9" max="11" width="16.7109375" style="2" bestFit="1" customWidth="1"/>
    <col min="12" max="12" width="18.28515625" style="2" bestFit="1" customWidth="1"/>
    <col min="13" max="13" width="16.7109375" style="2" bestFit="1" customWidth="1"/>
    <col min="14" max="14" width="18.28515625" style="2" bestFit="1" customWidth="1"/>
    <col min="15" max="15" width="16.7109375" style="2" bestFit="1" customWidth="1"/>
    <col min="16" max="16" width="18.28515625" style="2" bestFit="1" customWidth="1"/>
    <col min="17" max="17" width="16.7109375" style="2" bestFit="1" customWidth="1"/>
    <col min="18" max="18" width="12.7109375" style="2" customWidth="1"/>
    <col min="19" max="19" width="16.7109375" style="2" bestFit="1" customWidth="1"/>
    <col min="20" max="16384" width="9.140625" style="2"/>
  </cols>
  <sheetData>
    <row r="1" spans="1:19" s="9" customFormat="1" ht="36.75" customHeight="1" x14ac:dyDescent="0.25">
      <c r="A1" s="220" t="s">
        <v>146</v>
      </c>
      <c r="B1" s="220"/>
      <c r="C1" s="220"/>
      <c r="D1" s="220"/>
      <c r="E1" s="220"/>
      <c r="F1" s="220"/>
      <c r="G1" s="220"/>
      <c r="H1" s="221"/>
      <c r="I1" s="220"/>
      <c r="J1" s="220"/>
      <c r="K1" s="220"/>
      <c r="L1" s="220"/>
      <c r="M1" s="220"/>
      <c r="N1" s="220"/>
      <c r="O1" s="220"/>
      <c r="P1" s="220"/>
      <c r="Q1" s="220"/>
      <c r="R1" s="220"/>
      <c r="S1" s="220"/>
    </row>
    <row r="3" spans="1:19" ht="15" thickBot="1" x14ac:dyDescent="0.25"/>
    <row r="4" spans="1:19" ht="15" x14ac:dyDescent="0.25">
      <c r="A4" s="222" t="s">
        <v>119</v>
      </c>
      <c r="B4" s="223"/>
      <c r="C4" s="223"/>
      <c r="D4" s="223"/>
      <c r="E4" s="223"/>
      <c r="F4" s="223"/>
      <c r="G4" s="223"/>
      <c r="H4" s="223"/>
      <c r="I4" s="223"/>
      <c r="J4" s="223"/>
      <c r="K4" s="223"/>
      <c r="L4" s="223"/>
      <c r="M4" s="223"/>
      <c r="N4" s="223"/>
      <c r="O4" s="223"/>
      <c r="P4" s="223"/>
      <c r="Q4" s="223"/>
      <c r="R4" s="223"/>
      <c r="S4" s="224"/>
    </row>
    <row r="5" spans="1:19" x14ac:dyDescent="0.2">
      <c r="A5" s="12"/>
      <c r="S5" s="13"/>
    </row>
    <row r="6" spans="1:19" ht="15" x14ac:dyDescent="0.25">
      <c r="A6" s="12"/>
      <c r="B6" s="14" t="s">
        <v>8</v>
      </c>
      <c r="C6" s="225" t="s">
        <v>9</v>
      </c>
      <c r="D6" s="226"/>
      <c r="E6" s="225" t="s">
        <v>10</v>
      </c>
      <c r="F6" s="227"/>
      <c r="G6" s="226"/>
      <c r="H6" s="225" t="s">
        <v>11</v>
      </c>
      <c r="I6" s="226"/>
      <c r="J6" s="225" t="s">
        <v>12</v>
      </c>
      <c r="K6" s="226"/>
      <c r="L6" s="225" t="s">
        <v>13</v>
      </c>
      <c r="M6" s="226"/>
      <c r="N6" s="225" t="s">
        <v>14</v>
      </c>
      <c r="O6" s="226"/>
      <c r="P6" s="225" t="s">
        <v>15</v>
      </c>
      <c r="Q6" s="226"/>
      <c r="R6" s="225" t="s">
        <v>16</v>
      </c>
      <c r="S6" s="228"/>
    </row>
    <row r="7" spans="1:19" ht="15" hidden="1" customHeight="1" x14ac:dyDescent="0.25">
      <c r="A7" s="12"/>
      <c r="B7" s="14" t="s">
        <v>17</v>
      </c>
      <c r="C7" s="15"/>
      <c r="D7" s="16"/>
      <c r="E7" s="17" t="s">
        <v>18</v>
      </c>
      <c r="G7" s="18"/>
      <c r="H7" s="17" t="s">
        <v>19</v>
      </c>
      <c r="I7" s="18"/>
      <c r="J7" s="17" t="s">
        <v>20</v>
      </c>
      <c r="K7" s="18"/>
      <c r="L7" s="17" t="s">
        <v>21</v>
      </c>
      <c r="M7" s="18"/>
      <c r="N7" s="17" t="s">
        <v>22</v>
      </c>
      <c r="O7" s="18"/>
      <c r="P7" s="17" t="s">
        <v>23</v>
      </c>
      <c r="Q7" s="18"/>
      <c r="R7" s="17" t="s">
        <v>24</v>
      </c>
      <c r="S7" s="13"/>
    </row>
    <row r="8" spans="1:19" s="26" customFormat="1" ht="15" x14ac:dyDescent="0.25">
      <c r="A8" s="19"/>
      <c r="B8" s="14" t="s">
        <v>25</v>
      </c>
      <c r="C8" s="20">
        <v>0</v>
      </c>
      <c r="D8" s="21">
        <v>25000</v>
      </c>
      <c r="E8" s="22">
        <v>0</v>
      </c>
      <c r="F8" s="23"/>
      <c r="G8" s="24">
        <v>25000</v>
      </c>
      <c r="H8" s="22">
        <v>25001</v>
      </c>
      <c r="I8" s="24">
        <v>75000</v>
      </c>
      <c r="J8" s="22">
        <v>75001</v>
      </c>
      <c r="K8" s="24">
        <v>125000</v>
      </c>
      <c r="L8" s="22">
        <v>125001</v>
      </c>
      <c r="M8" s="24">
        <v>175000</v>
      </c>
      <c r="N8" s="22">
        <v>175001</v>
      </c>
      <c r="O8" s="24">
        <v>225000</v>
      </c>
      <c r="P8" s="22">
        <v>225001</v>
      </c>
      <c r="Q8" s="24">
        <v>275000</v>
      </c>
      <c r="R8" s="22">
        <v>275001</v>
      </c>
      <c r="S8" s="25">
        <f>R8+49999</f>
        <v>325000</v>
      </c>
    </row>
    <row r="9" spans="1:19" s="10" customFormat="1" ht="15" x14ac:dyDescent="0.25">
      <c r="A9" s="27"/>
      <c r="B9" s="28" t="s">
        <v>26</v>
      </c>
      <c r="C9" s="29"/>
      <c r="D9" s="81"/>
      <c r="E9" s="231" t="s">
        <v>27</v>
      </c>
      <c r="F9" s="232"/>
      <c r="G9" s="233"/>
      <c r="H9" s="234">
        <v>0</v>
      </c>
      <c r="I9" s="235"/>
      <c r="J9" s="234">
        <v>0</v>
      </c>
      <c r="K9" s="235"/>
      <c r="L9" s="234">
        <v>0</v>
      </c>
      <c r="M9" s="235"/>
      <c r="N9" s="234">
        <v>0</v>
      </c>
      <c r="O9" s="235"/>
      <c r="P9" s="234">
        <v>0</v>
      </c>
      <c r="Q9" s="235"/>
      <c r="R9" s="234">
        <v>0</v>
      </c>
      <c r="S9" s="236"/>
    </row>
    <row r="10" spans="1:19" s="9" customFormat="1" ht="24.75" customHeight="1" x14ac:dyDescent="0.25">
      <c r="A10" s="30"/>
      <c r="C10" s="237" t="s">
        <v>28</v>
      </c>
      <c r="D10" s="238"/>
      <c r="E10" s="31" t="s">
        <v>29</v>
      </c>
      <c r="F10" s="32" t="s">
        <v>30</v>
      </c>
      <c r="G10" s="33" t="s">
        <v>31</v>
      </c>
      <c r="H10" s="31" t="s">
        <v>29</v>
      </c>
      <c r="I10" s="33" t="s">
        <v>32</v>
      </c>
      <c r="J10" s="31" t="s">
        <v>29</v>
      </c>
      <c r="K10" s="33" t="s">
        <v>32</v>
      </c>
      <c r="L10" s="31" t="s">
        <v>29</v>
      </c>
      <c r="M10" s="33" t="s">
        <v>32</v>
      </c>
      <c r="N10" s="31" t="s">
        <v>29</v>
      </c>
      <c r="O10" s="33" t="s">
        <v>32</v>
      </c>
      <c r="P10" s="34" t="s">
        <v>29</v>
      </c>
      <c r="Q10" s="33" t="s">
        <v>32</v>
      </c>
      <c r="R10" s="31" t="s">
        <v>29</v>
      </c>
      <c r="S10" s="35" t="s">
        <v>32</v>
      </c>
    </row>
    <row r="11" spans="1:19" ht="15" x14ac:dyDescent="0.25">
      <c r="A11" s="245" t="s">
        <v>0</v>
      </c>
      <c r="B11" s="246"/>
      <c r="C11" s="239">
        <f>(4797290.69957164)*B21</f>
        <v>4797290.6995716402</v>
      </c>
      <c r="D11" s="240"/>
      <c r="E11" s="37" t="s">
        <v>33</v>
      </c>
      <c r="F11" s="38" t="s">
        <v>33</v>
      </c>
      <c r="G11" s="39" t="s">
        <v>33</v>
      </c>
      <c r="H11" s="40">
        <f>0.693968567971081*B21</f>
        <v>0.69396856797108097</v>
      </c>
      <c r="I11" s="41">
        <f>MAX(ROUND((H$9-25000)*H11,2),0)</f>
        <v>0</v>
      </c>
      <c r="J11" s="40">
        <f>2.28488778158264*B21</f>
        <v>2.2848877815826398</v>
      </c>
      <c r="K11" s="41">
        <f>MAX(ROUND((J$9-25000)*J11,2),0)</f>
        <v>0</v>
      </c>
      <c r="L11" s="40">
        <f>3.01889712489055*B21</f>
        <v>3.0188971248905498</v>
      </c>
      <c r="M11" s="41">
        <f>MAX(ROUND((L$9-25000)*L11,2),0)</f>
        <v>0</v>
      </c>
      <c r="N11" s="40">
        <f>3.0237773910027*B21</f>
        <v>3.0237773910026999</v>
      </c>
      <c r="O11" s="41">
        <f>MAX(ROUND((N$9-25000)*N11,2),0)</f>
        <v>0</v>
      </c>
      <c r="P11" s="40">
        <f>3.21673054734995*B21</f>
        <v>3.2167305473499499</v>
      </c>
      <c r="Q11" s="41">
        <f>MAX(ROUND((P$9-25000)*P11,2),0)</f>
        <v>0</v>
      </c>
      <c r="R11" s="40">
        <f>2.76939364904233*B21</f>
        <v>2.7693936490423301</v>
      </c>
      <c r="S11" s="42">
        <f>MAX(ROUND((R$9-25000)*R11,2),0)</f>
        <v>0</v>
      </c>
    </row>
    <row r="12" spans="1:19" s="48" customFormat="1" ht="15" x14ac:dyDescent="0.25">
      <c r="A12" s="241" t="s">
        <v>117</v>
      </c>
      <c r="B12" s="242"/>
      <c r="C12" s="243">
        <f>C11</f>
        <v>4797290.6995716402</v>
      </c>
      <c r="D12" s="244"/>
      <c r="E12" s="44"/>
      <c r="F12" s="45"/>
      <c r="G12" s="46">
        <f>SUM(G11:G11)</f>
        <v>0</v>
      </c>
      <c r="H12" s="44"/>
      <c r="I12" s="46">
        <f>SUM(I11:I11)</f>
        <v>0</v>
      </c>
      <c r="J12" s="44"/>
      <c r="K12" s="46">
        <f>SUM(K11:K11)</f>
        <v>0</v>
      </c>
      <c r="L12" s="44"/>
      <c r="M12" s="46">
        <f>SUM(M11:M11)</f>
        <v>0</v>
      </c>
      <c r="N12" s="44"/>
      <c r="O12" s="46">
        <f>SUM(O11:O11)</f>
        <v>0</v>
      </c>
      <c r="P12" s="44"/>
      <c r="Q12" s="46">
        <f>SUM(Q11:Q11)</f>
        <v>0</v>
      </c>
      <c r="R12" s="44"/>
      <c r="S12" s="47">
        <f>SUM(S11:S11)</f>
        <v>0</v>
      </c>
    </row>
    <row r="13" spans="1:19" ht="15" thickBot="1" x14ac:dyDescent="0.25">
      <c r="A13" s="12"/>
      <c r="S13" s="13"/>
    </row>
    <row r="14" spans="1:19" ht="15.75" thickBot="1" x14ac:dyDescent="0.3">
      <c r="A14" s="229" t="s">
        <v>118</v>
      </c>
      <c r="B14" s="230"/>
      <c r="C14" s="82">
        <f>SUM(E12:S12)+C12</f>
        <v>4797290.6995716402</v>
      </c>
      <c r="D14" s="14"/>
      <c r="E14" s="43"/>
      <c r="Q14" s="10"/>
      <c r="S14" s="13"/>
    </row>
    <row r="15" spans="1:19" x14ac:dyDescent="0.2">
      <c r="A15" s="12"/>
      <c r="S15" s="13"/>
    </row>
    <row r="16" spans="1:19" ht="15" x14ac:dyDescent="0.25">
      <c r="A16" s="90" t="s">
        <v>111</v>
      </c>
      <c r="B16" s="91"/>
      <c r="S16" s="13"/>
    </row>
    <row r="17" spans="1:19" ht="15" x14ac:dyDescent="0.25">
      <c r="A17" s="92" t="s">
        <v>112</v>
      </c>
      <c r="B17" s="93">
        <v>0</v>
      </c>
      <c r="S17" s="13"/>
    </row>
    <row r="18" spans="1:19" ht="15" x14ac:dyDescent="0.25">
      <c r="A18" s="92" t="s">
        <v>113</v>
      </c>
      <c r="B18" s="93">
        <v>0</v>
      </c>
      <c r="S18" s="13"/>
    </row>
    <row r="19" spans="1:19" ht="15" x14ac:dyDescent="0.25">
      <c r="A19" s="92" t="s">
        <v>114</v>
      </c>
      <c r="B19" s="93">
        <f>B18-B17</f>
        <v>0</v>
      </c>
      <c r="S19" s="13"/>
    </row>
    <row r="20" spans="1:19" ht="15" x14ac:dyDescent="0.25">
      <c r="A20" s="92" t="s">
        <v>116</v>
      </c>
      <c r="B20" s="93">
        <f>IFERROR(B19/B17,0)</f>
        <v>0</v>
      </c>
      <c r="S20" s="13"/>
    </row>
    <row r="21" spans="1:19" ht="15" x14ac:dyDescent="0.25">
      <c r="A21" s="92" t="s">
        <v>115</v>
      </c>
      <c r="B21" s="93">
        <f>B20+1</f>
        <v>1</v>
      </c>
      <c r="S21" s="13"/>
    </row>
    <row r="22" spans="1:19" x14ac:dyDescent="0.2">
      <c r="A22" s="12"/>
      <c r="S22" s="13"/>
    </row>
    <row r="23" spans="1:19" x14ac:dyDescent="0.2">
      <c r="A23" s="12" t="s">
        <v>34</v>
      </c>
      <c r="C23" s="49">
        <v>0.03</v>
      </c>
      <c r="S23" s="13"/>
    </row>
    <row r="24" spans="1:19" x14ac:dyDescent="0.2">
      <c r="A24" s="12" t="s">
        <v>35</v>
      </c>
      <c r="C24" s="50">
        <f>(27.4130897118379)*B21</f>
        <v>27.413089711837902</v>
      </c>
      <c r="J24" s="51"/>
      <c r="S24" s="13"/>
    </row>
    <row r="25" spans="1:19" ht="15" thickBot="1" x14ac:dyDescent="0.25">
      <c r="A25" s="52" t="s">
        <v>36</v>
      </c>
      <c r="B25" s="53"/>
      <c r="C25" s="53"/>
      <c r="D25" s="53"/>
      <c r="E25" s="53"/>
      <c r="F25" s="53"/>
      <c r="G25" s="53"/>
      <c r="H25" s="54">
        <v>1</v>
      </c>
      <c r="I25" s="53"/>
      <c r="J25" s="54">
        <v>1</v>
      </c>
      <c r="K25" s="53"/>
      <c r="L25" s="54">
        <v>1</v>
      </c>
      <c r="M25" s="53"/>
      <c r="N25" s="54">
        <v>1</v>
      </c>
      <c r="O25" s="53"/>
      <c r="P25" s="54">
        <v>1</v>
      </c>
      <c r="Q25" s="53"/>
      <c r="R25" s="54">
        <v>1</v>
      </c>
      <c r="S25" s="55"/>
    </row>
  </sheetData>
  <mergeCells count="23">
    <mergeCell ref="R9:S9"/>
    <mergeCell ref="C10:D10"/>
    <mergeCell ref="C11:D11"/>
    <mergeCell ref="A12:B12"/>
    <mergeCell ref="C12:D12"/>
    <mergeCell ref="N9:O9"/>
    <mergeCell ref="P9:Q9"/>
    <mergeCell ref="A11:B11"/>
    <mergeCell ref="A14:B14"/>
    <mergeCell ref="E9:G9"/>
    <mergeCell ref="H9:I9"/>
    <mergeCell ref="J9:K9"/>
    <mergeCell ref="L9:M9"/>
    <mergeCell ref="A1:S1"/>
    <mergeCell ref="A4:S4"/>
    <mergeCell ref="C6:D6"/>
    <mergeCell ref="E6:G6"/>
    <mergeCell ref="H6:I6"/>
    <mergeCell ref="J6:K6"/>
    <mergeCell ref="L6:M6"/>
    <mergeCell ref="N6:O6"/>
    <mergeCell ref="P6:Q6"/>
    <mergeCell ref="R6:S6"/>
  </mergeCells>
  <hyperlinks>
    <hyperlink ref="H1" location="Index" display="Back to Index" xr:uid="{00000000-0004-0000-0500-000000000000}"/>
  </hyperlinks>
  <pageMargins left="0.25" right="0.25" top="0.25" bottom="0.25" header="0.3" footer="0.3"/>
  <pageSetup scale="41" fitToHeight="0" orientation="landscape" r:id="rId1"/>
  <headerFooter>
    <oddFooter>&amp;L&amp;G&amp;RPage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pageSetUpPr fitToPage="1"/>
  </sheetPr>
  <dimension ref="A1:Y33"/>
  <sheetViews>
    <sheetView zoomScale="90" zoomScaleNormal="90" workbookViewId="0">
      <selection activeCell="K28" sqref="K28"/>
    </sheetView>
  </sheetViews>
  <sheetFormatPr defaultColWidth="9.140625" defaultRowHeight="14.25" x14ac:dyDescent="0.2"/>
  <cols>
    <col min="1" max="1" width="46.7109375" style="2" customWidth="1"/>
    <col min="2" max="2" width="13.42578125" style="2" customWidth="1"/>
    <col min="3" max="3" width="17.42578125" style="2" customWidth="1"/>
    <col min="4" max="4" width="17.85546875" style="2" customWidth="1"/>
    <col min="5" max="7" width="12.7109375" style="2" customWidth="1"/>
    <col min="8" max="8" width="17" style="2" customWidth="1"/>
    <col min="9" max="9" width="16.7109375" style="2" bestFit="1" customWidth="1"/>
    <col min="10" max="10" width="21.28515625" style="2" customWidth="1"/>
    <col min="11" max="11" width="18" style="2" customWidth="1"/>
    <col min="12" max="12" width="17.28515625" style="2" customWidth="1"/>
    <col min="13" max="13" width="20" style="2" customWidth="1"/>
    <col min="14" max="14" width="16" style="2" bestFit="1" customWidth="1"/>
    <col min="15" max="15" width="17.7109375" style="2" bestFit="1" customWidth="1"/>
    <col min="16" max="16" width="17" style="2" bestFit="1" customWidth="1"/>
    <col min="17" max="17" width="16" style="2" bestFit="1" customWidth="1"/>
    <col min="18" max="18" width="17.7109375" style="2" bestFit="1" customWidth="1"/>
    <col min="19" max="19" width="17" style="2" bestFit="1" customWidth="1"/>
    <col min="20" max="20" width="16" style="2" bestFit="1" customWidth="1"/>
    <col min="21" max="21" width="17.7109375" style="2" bestFit="1" customWidth="1"/>
    <col min="22" max="22" width="17" style="2" bestFit="1" customWidth="1"/>
    <col min="23" max="23" width="11.28515625" style="2" bestFit="1" customWidth="1"/>
    <col min="24" max="24" width="17.7109375" style="2" bestFit="1" customWidth="1"/>
    <col min="25" max="25" width="17" style="2" bestFit="1" customWidth="1"/>
    <col min="26" max="16384" width="9.140625" style="2"/>
  </cols>
  <sheetData>
    <row r="1" spans="1:25" ht="35.25" customHeight="1" x14ac:dyDescent="0.25">
      <c r="A1" s="220" t="s">
        <v>120</v>
      </c>
      <c r="B1" s="247"/>
      <c r="C1" s="247"/>
      <c r="D1" s="247"/>
      <c r="E1" s="247"/>
      <c r="F1" s="247"/>
      <c r="G1" s="247"/>
      <c r="H1" s="248"/>
      <c r="I1" s="247"/>
      <c r="J1" s="247"/>
      <c r="K1" s="247"/>
      <c r="L1" s="247"/>
      <c r="M1" s="247"/>
      <c r="N1" s="247"/>
      <c r="O1" s="247"/>
      <c r="P1" s="247"/>
      <c r="Q1" s="247"/>
      <c r="R1" s="247"/>
      <c r="S1" s="247"/>
    </row>
    <row r="2" spans="1:25" x14ac:dyDescent="0.2">
      <c r="A2" s="11"/>
    </row>
    <row r="3" spans="1:25" ht="15" thickBot="1" x14ac:dyDescent="0.25"/>
    <row r="4" spans="1:25" ht="15" x14ac:dyDescent="0.25">
      <c r="A4" s="222" t="s">
        <v>123</v>
      </c>
      <c r="B4" s="223"/>
      <c r="C4" s="223"/>
      <c r="D4" s="223"/>
      <c r="E4" s="223"/>
      <c r="F4" s="223"/>
      <c r="G4" s="223"/>
      <c r="H4" s="223"/>
      <c r="I4" s="223"/>
      <c r="J4" s="223"/>
      <c r="K4" s="223"/>
      <c r="L4" s="223"/>
      <c r="M4" s="223"/>
      <c r="N4" s="223"/>
      <c r="O4" s="223"/>
      <c r="P4" s="223"/>
      <c r="Q4" s="223"/>
      <c r="R4" s="223"/>
      <c r="S4" s="223"/>
      <c r="T4" s="223"/>
      <c r="U4" s="223"/>
      <c r="V4" s="223"/>
      <c r="W4" s="223"/>
      <c r="X4" s="223"/>
      <c r="Y4" s="224"/>
    </row>
    <row r="5" spans="1:25" x14ac:dyDescent="0.2">
      <c r="A5" s="12"/>
      <c r="Y5" s="13"/>
    </row>
    <row r="6" spans="1:25" ht="15" x14ac:dyDescent="0.25">
      <c r="A6" s="12"/>
      <c r="B6" s="14" t="s">
        <v>8</v>
      </c>
      <c r="C6" s="225" t="s">
        <v>9</v>
      </c>
      <c r="D6" s="226"/>
      <c r="E6" s="225" t="s">
        <v>10</v>
      </c>
      <c r="F6" s="227"/>
      <c r="G6" s="226"/>
      <c r="H6" s="225" t="s">
        <v>11</v>
      </c>
      <c r="I6" s="227"/>
      <c r="J6" s="226"/>
      <c r="K6" s="225" t="s">
        <v>12</v>
      </c>
      <c r="L6" s="227"/>
      <c r="M6" s="226"/>
      <c r="N6" s="225" t="s">
        <v>13</v>
      </c>
      <c r="O6" s="227"/>
      <c r="P6" s="226"/>
      <c r="Q6" s="225" t="s">
        <v>14</v>
      </c>
      <c r="R6" s="227"/>
      <c r="S6" s="226"/>
      <c r="T6" s="225" t="s">
        <v>15</v>
      </c>
      <c r="U6" s="227"/>
      <c r="V6" s="226"/>
      <c r="W6" s="225" t="s">
        <v>16</v>
      </c>
      <c r="X6" s="227"/>
      <c r="Y6" s="228"/>
    </row>
    <row r="7" spans="1:25" ht="15" hidden="1" x14ac:dyDescent="0.25">
      <c r="A7" s="12"/>
      <c r="B7" s="14" t="s">
        <v>17</v>
      </c>
      <c r="C7" s="15"/>
      <c r="D7" s="16"/>
      <c r="E7" s="17" t="s">
        <v>18</v>
      </c>
      <c r="G7" s="18"/>
      <c r="H7" s="17" t="s">
        <v>19</v>
      </c>
      <c r="J7" s="18"/>
      <c r="K7" s="17" t="s">
        <v>20</v>
      </c>
      <c r="M7" s="18"/>
      <c r="N7" s="17" t="s">
        <v>21</v>
      </c>
      <c r="P7" s="18"/>
      <c r="Q7" s="17" t="s">
        <v>22</v>
      </c>
      <c r="S7" s="18"/>
      <c r="T7" s="17" t="s">
        <v>23</v>
      </c>
      <c r="V7" s="18"/>
      <c r="W7" s="17" t="s">
        <v>24</v>
      </c>
      <c r="Y7" s="13"/>
    </row>
    <row r="8" spans="1:25" s="26" customFormat="1" ht="15" x14ac:dyDescent="0.25">
      <c r="A8" s="19"/>
      <c r="B8" s="14" t="s">
        <v>25</v>
      </c>
      <c r="C8" s="20">
        <v>0</v>
      </c>
      <c r="D8" s="21">
        <v>25000</v>
      </c>
      <c r="E8" s="22">
        <v>0</v>
      </c>
      <c r="F8" s="23"/>
      <c r="G8" s="24">
        <v>25000</v>
      </c>
      <c r="H8" s="22">
        <v>25001</v>
      </c>
      <c r="I8" s="23"/>
      <c r="J8" s="24">
        <v>75000</v>
      </c>
      <c r="K8" s="22">
        <v>75001</v>
      </c>
      <c r="L8" s="23"/>
      <c r="M8" s="24">
        <v>125000</v>
      </c>
      <c r="N8" s="22">
        <v>125001</v>
      </c>
      <c r="O8" s="23"/>
      <c r="P8" s="24">
        <v>175000</v>
      </c>
      <c r="Q8" s="22">
        <v>175001</v>
      </c>
      <c r="R8" s="23"/>
      <c r="S8" s="24">
        <v>225000</v>
      </c>
      <c r="T8" s="22">
        <v>225001</v>
      </c>
      <c r="U8" s="23"/>
      <c r="V8" s="24">
        <v>275000</v>
      </c>
      <c r="W8" s="22">
        <v>275001</v>
      </c>
      <c r="X8" s="23"/>
      <c r="Y8" s="25">
        <f>W8+49999</f>
        <v>325000</v>
      </c>
    </row>
    <row r="9" spans="1:25" s="10" customFormat="1" ht="15" x14ac:dyDescent="0.25">
      <c r="A9" s="27"/>
      <c r="B9" s="28" t="s">
        <v>26</v>
      </c>
      <c r="C9" s="29"/>
      <c r="D9" s="81"/>
      <c r="E9" s="231" t="s">
        <v>27</v>
      </c>
      <c r="F9" s="232"/>
      <c r="G9" s="233"/>
      <c r="H9" s="234">
        <v>0</v>
      </c>
      <c r="I9" s="249"/>
      <c r="J9" s="235"/>
      <c r="K9" s="234">
        <v>0</v>
      </c>
      <c r="L9" s="249"/>
      <c r="M9" s="235"/>
      <c r="N9" s="234">
        <v>0</v>
      </c>
      <c r="O9" s="249"/>
      <c r="P9" s="235"/>
      <c r="Q9" s="234">
        <v>0</v>
      </c>
      <c r="R9" s="249"/>
      <c r="S9" s="235"/>
      <c r="T9" s="234">
        <v>0</v>
      </c>
      <c r="U9" s="249"/>
      <c r="V9" s="235"/>
      <c r="W9" s="234">
        <v>0</v>
      </c>
      <c r="X9" s="249"/>
      <c r="Y9" s="236"/>
    </row>
    <row r="10" spans="1:25" s="9" customFormat="1" ht="24.75" x14ac:dyDescent="0.25">
      <c r="A10" s="30" t="s">
        <v>37</v>
      </c>
      <c r="C10" s="31" t="s">
        <v>38</v>
      </c>
      <c r="D10" s="33" t="s">
        <v>39</v>
      </c>
      <c r="E10" s="31" t="s">
        <v>29</v>
      </c>
      <c r="F10" s="32" t="s">
        <v>30</v>
      </c>
      <c r="G10" s="33" t="s">
        <v>31</v>
      </c>
      <c r="H10" s="31" t="s">
        <v>29</v>
      </c>
      <c r="I10" s="32" t="s">
        <v>30</v>
      </c>
      <c r="J10" s="33" t="s">
        <v>31</v>
      </c>
      <c r="K10" s="31" t="s">
        <v>29</v>
      </c>
      <c r="L10" s="32" t="s">
        <v>30</v>
      </c>
      <c r="M10" s="33" t="s">
        <v>31</v>
      </c>
      <c r="N10" s="31" t="s">
        <v>29</v>
      </c>
      <c r="O10" s="32" t="s">
        <v>30</v>
      </c>
      <c r="P10" s="33" t="s">
        <v>31</v>
      </c>
      <c r="Q10" s="31" t="s">
        <v>29</v>
      </c>
      <c r="R10" s="32" t="s">
        <v>30</v>
      </c>
      <c r="S10" s="33" t="s">
        <v>31</v>
      </c>
      <c r="T10" s="31" t="s">
        <v>29</v>
      </c>
      <c r="U10" s="32" t="s">
        <v>30</v>
      </c>
      <c r="V10" s="33" t="s">
        <v>31</v>
      </c>
      <c r="W10" s="31" t="s">
        <v>29</v>
      </c>
      <c r="X10" s="32" t="s">
        <v>30</v>
      </c>
      <c r="Y10" s="35" t="s">
        <v>31</v>
      </c>
    </row>
    <row r="11" spans="1:25" x14ac:dyDescent="0.2">
      <c r="A11" s="250" t="s">
        <v>40</v>
      </c>
      <c r="B11" s="251"/>
      <c r="C11" s="61">
        <f>(215012.343268749)*B29</f>
        <v>215012.34326874901</v>
      </c>
      <c r="D11" s="41">
        <f t="shared" ref="D11:D19" si="0">C11*12</f>
        <v>2580148.1192249879</v>
      </c>
      <c r="E11" s="37" t="s">
        <v>33</v>
      </c>
      <c r="F11" s="37" t="s">
        <v>33</v>
      </c>
      <c r="G11" s="37" t="s">
        <v>33</v>
      </c>
      <c r="H11" s="40">
        <f>1.21555435648213*B29</f>
        <v>1.2155543564821301</v>
      </c>
      <c r="I11" s="43">
        <f t="shared" ref="I11:I19" si="1">MAX(ROUND((H$9-25000)*H11,2),0)</f>
        <v>0</v>
      </c>
      <c r="J11" s="41">
        <f>I11*12</f>
        <v>0</v>
      </c>
      <c r="K11" s="40">
        <f>0.77530094174962*B29</f>
        <v>0.77530094174962005</v>
      </c>
      <c r="L11" s="43">
        <f t="shared" ref="L11:L19" si="2">MAX(ROUND((K$9-25000)*K11,2),0)</f>
        <v>0</v>
      </c>
      <c r="M11" s="41">
        <f t="shared" ref="M11:M19" si="3">L11*12</f>
        <v>0</v>
      </c>
      <c r="N11" s="40">
        <f>0.685600720264545*B29</f>
        <v>0.68560072026454499</v>
      </c>
      <c r="O11" s="43">
        <f t="shared" ref="O11:O19" si="4">MAX(ROUND((N$9-25000)*N11,2),0)</f>
        <v>0</v>
      </c>
      <c r="P11" s="41">
        <f t="shared" ref="P11:P19" si="5">O11*12</f>
        <v>0</v>
      </c>
      <c r="Q11" s="40">
        <f>0.586064240021614*B29</f>
        <v>0.58606424002161395</v>
      </c>
      <c r="R11" s="43">
        <f t="shared" ref="R11:R19" si="6">MAX(ROUND((Q$9-25000)*Q11,2),0)</f>
        <v>0</v>
      </c>
      <c r="S11" s="41">
        <f t="shared" ref="S11:S19" si="7">R11*12</f>
        <v>0</v>
      </c>
      <c r="T11" s="40">
        <f>0.58289134775008*B29</f>
        <v>0.58289134775008</v>
      </c>
      <c r="U11" s="43">
        <f t="shared" ref="U11:U19" si="8">MAX(ROUND((T$9-25000)*T11,2),0)</f>
        <v>0</v>
      </c>
      <c r="V11" s="41">
        <f t="shared" ref="V11:V19" si="9">U11*12</f>
        <v>0</v>
      </c>
      <c r="W11" s="40">
        <f>0.556407916249376*B29</f>
        <v>0.55640791624937602</v>
      </c>
      <c r="X11" s="43">
        <f t="shared" ref="X11:X19" si="10">MAX(ROUND((W$9-25000)*W11,2),0)</f>
        <v>0</v>
      </c>
      <c r="Y11" s="42">
        <f t="shared" ref="Y11:Y19" si="11">X11*12</f>
        <v>0</v>
      </c>
    </row>
    <row r="12" spans="1:25" x14ac:dyDescent="0.2">
      <c r="A12" s="250" t="s">
        <v>41</v>
      </c>
      <c r="B12" s="251"/>
      <c r="C12" s="61">
        <f>207952.407805953*B29</f>
        <v>207952.407805953</v>
      </c>
      <c r="D12" s="41">
        <f t="shared" si="0"/>
        <v>2495428.8936714362</v>
      </c>
      <c r="E12" s="37" t="s">
        <v>33</v>
      </c>
      <c r="F12" s="37" t="s">
        <v>33</v>
      </c>
      <c r="G12" s="37" t="s">
        <v>33</v>
      </c>
      <c r="H12" s="40">
        <f>1.22192943561532*B29</f>
        <v>1.2219294356153201</v>
      </c>
      <c r="I12" s="43">
        <f t="shared" si="1"/>
        <v>0</v>
      </c>
      <c r="J12" s="41">
        <f>I12*12</f>
        <v>0</v>
      </c>
      <c r="K12" s="40">
        <f>0.778122878471839*B29</f>
        <v>0.77812287847183903</v>
      </c>
      <c r="L12" s="43">
        <f t="shared" si="2"/>
        <v>0</v>
      </c>
      <c r="M12" s="41">
        <f t="shared" si="3"/>
        <v>0</v>
      </c>
      <c r="N12" s="40">
        <f>0.687463858730529*B29</f>
        <v>0.68746385873052895</v>
      </c>
      <c r="O12" s="43">
        <f t="shared" si="4"/>
        <v>0</v>
      </c>
      <c r="P12" s="41">
        <f t="shared" si="5"/>
        <v>0</v>
      </c>
      <c r="Q12" s="40">
        <f>0.587748019217064*B29</f>
        <v>0.58774801921706399</v>
      </c>
      <c r="R12" s="43">
        <f t="shared" si="6"/>
        <v>0</v>
      </c>
      <c r="S12" s="41">
        <f t="shared" si="7"/>
        <v>0</v>
      </c>
      <c r="T12" s="40">
        <f>0.584263402199463*B29</f>
        <v>0.58426340219946304</v>
      </c>
      <c r="U12" s="43">
        <f t="shared" si="8"/>
        <v>0</v>
      </c>
      <c r="V12" s="41">
        <f t="shared" si="9"/>
        <v>0</v>
      </c>
      <c r="W12" s="40">
        <f>0.557578723917282*B29</f>
        <v>0.55757872391728203</v>
      </c>
      <c r="X12" s="43">
        <f t="shared" si="10"/>
        <v>0</v>
      </c>
      <c r="Y12" s="42">
        <f t="shared" si="11"/>
        <v>0</v>
      </c>
    </row>
    <row r="13" spans="1:25" x14ac:dyDescent="0.2">
      <c r="A13" s="250" t="s">
        <v>42</v>
      </c>
      <c r="B13" s="251"/>
      <c r="C13" s="61">
        <f>209927.323602376*B29</f>
        <v>209927.32360237601</v>
      </c>
      <c r="D13" s="41">
        <f t="shared" si="0"/>
        <v>2519127.883228512</v>
      </c>
      <c r="E13" s="37" t="s">
        <v>33</v>
      </c>
      <c r="F13" s="37" t="s">
        <v>33</v>
      </c>
      <c r="G13" s="37" t="s">
        <v>33</v>
      </c>
      <c r="H13" s="40">
        <f>1.2284957671225*B29</f>
        <v>1.2284957671225001</v>
      </c>
      <c r="I13" s="43">
        <f t="shared" si="1"/>
        <v>0</v>
      </c>
      <c r="J13" s="41">
        <f t="shared" ref="J13:J19" si="12">I13*12</f>
        <v>0</v>
      </c>
      <c r="K13" s="40">
        <f>0.781029473295723*B29</f>
        <v>0.78102947329572303</v>
      </c>
      <c r="L13" s="43">
        <f t="shared" si="2"/>
        <v>0</v>
      </c>
      <c r="M13" s="41">
        <f t="shared" si="3"/>
        <v>0</v>
      </c>
      <c r="N13" s="40">
        <f>0.689382891350492*B29</f>
        <v>0.68938289135049202</v>
      </c>
      <c r="O13" s="43">
        <f t="shared" si="4"/>
        <v>0</v>
      </c>
      <c r="P13" s="41">
        <f t="shared" si="5"/>
        <v>0</v>
      </c>
      <c r="Q13" s="40">
        <f>0.589482311788378*B29</f>
        <v>0.58948231178837796</v>
      </c>
      <c r="R13" s="43">
        <f t="shared" si="6"/>
        <v>0</v>
      </c>
      <c r="S13" s="41">
        <f t="shared" si="7"/>
        <v>0</v>
      </c>
      <c r="T13" s="40">
        <f>0.585676618282328*B29</f>
        <v>0.58567661828232798</v>
      </c>
      <c r="U13" s="43">
        <f t="shared" si="8"/>
        <v>0</v>
      </c>
      <c r="V13" s="41">
        <f t="shared" si="9"/>
        <v>0</v>
      </c>
      <c r="W13" s="40">
        <f>0.558784655815224*B29</f>
        <v>0.55878465581522396</v>
      </c>
      <c r="X13" s="43">
        <f t="shared" si="10"/>
        <v>0</v>
      </c>
      <c r="Y13" s="42">
        <f t="shared" si="11"/>
        <v>0</v>
      </c>
    </row>
    <row r="14" spans="1:25" x14ac:dyDescent="0.2">
      <c r="A14" s="250" t="s">
        <v>43</v>
      </c>
      <c r="B14" s="251"/>
      <c r="C14" s="61">
        <f>213942.981497001*B29</f>
        <v>213942.98149700099</v>
      </c>
      <c r="D14" s="41">
        <f t="shared" si="0"/>
        <v>2567315.7779640118</v>
      </c>
      <c r="E14" s="37" t="s">
        <v>33</v>
      </c>
      <c r="F14" s="37" t="s">
        <v>33</v>
      </c>
      <c r="G14" s="37" t="s">
        <v>33</v>
      </c>
      <c r="H14" s="40">
        <f>1.23525908857489*B29</f>
        <v>1.23525908857489</v>
      </c>
      <c r="I14" s="43">
        <f t="shared" si="1"/>
        <v>0</v>
      </c>
      <c r="J14" s="41">
        <f t="shared" si="12"/>
        <v>0</v>
      </c>
      <c r="K14" s="40">
        <f>0.784023265964325*B29</f>
        <v>0.78402326596432503</v>
      </c>
      <c r="L14" s="43">
        <f t="shared" si="2"/>
        <v>0</v>
      </c>
      <c r="M14" s="41">
        <f t="shared" si="3"/>
        <v>0</v>
      </c>
      <c r="N14" s="40">
        <f>0.691359494949054*B29</f>
        <v>0.69135949494905402</v>
      </c>
      <c r="O14" s="43">
        <f t="shared" si="4"/>
        <v>0</v>
      </c>
      <c r="P14" s="41">
        <f t="shared" si="5"/>
        <v>0</v>
      </c>
      <c r="Q14" s="40">
        <f>0.591268633136831*B29</f>
        <v>0.59126863313683098</v>
      </c>
      <c r="R14" s="43">
        <f t="shared" si="6"/>
        <v>0</v>
      </c>
      <c r="S14" s="41">
        <f t="shared" si="7"/>
        <v>0</v>
      </c>
      <c r="T14" s="40">
        <f>0.587132230847679*B29</f>
        <v>0.58713223084767896</v>
      </c>
      <c r="U14" s="43">
        <f t="shared" si="8"/>
        <v>0</v>
      </c>
      <c r="V14" s="41">
        <f t="shared" si="9"/>
        <v>0</v>
      </c>
      <c r="W14" s="40">
        <f>0.560026765670105*B29</f>
        <v>0.56002676567010501</v>
      </c>
      <c r="X14" s="43">
        <f t="shared" si="10"/>
        <v>0</v>
      </c>
      <c r="Y14" s="42">
        <f t="shared" si="11"/>
        <v>0</v>
      </c>
    </row>
    <row r="15" spans="1:25" x14ac:dyDescent="0.2">
      <c r="A15" s="250" t="s">
        <v>44</v>
      </c>
      <c r="B15" s="251"/>
      <c r="C15" s="61">
        <f>218079.109128464*B29</f>
        <v>218079.10912846401</v>
      </c>
      <c r="D15" s="41">
        <f t="shared" si="0"/>
        <v>2616949.3095415682</v>
      </c>
      <c r="E15" s="37" t="s">
        <v>33</v>
      </c>
      <c r="F15" s="37" t="s">
        <v>33</v>
      </c>
      <c r="G15" s="37" t="s">
        <v>33</v>
      </c>
      <c r="H15" s="40">
        <f>1.24222530967086*B29</f>
        <v>1.24222530967086</v>
      </c>
      <c r="I15" s="43">
        <f t="shared" si="1"/>
        <v>0</v>
      </c>
      <c r="J15" s="41">
        <f t="shared" si="12"/>
        <v>0</v>
      </c>
      <c r="K15" s="40">
        <f>0.787106872412985*B29</f>
        <v>0.78710687241298505</v>
      </c>
      <c r="L15" s="43">
        <f t="shared" si="2"/>
        <v>0</v>
      </c>
      <c r="M15" s="41">
        <f t="shared" si="3"/>
        <v>0</v>
      </c>
      <c r="N15" s="40">
        <f>0.693395396655573*B29</f>
        <v>0.69339539665557304</v>
      </c>
      <c r="O15" s="43">
        <f t="shared" si="4"/>
        <v>0</v>
      </c>
      <c r="P15" s="41">
        <f t="shared" si="5"/>
        <v>0</v>
      </c>
      <c r="Q15" s="40">
        <f>0.593108544125738*B29</f>
        <v>0.59310854412573799</v>
      </c>
      <c r="R15" s="43">
        <f t="shared" si="6"/>
        <v>0</v>
      </c>
      <c r="S15" s="41">
        <f t="shared" si="7"/>
        <v>0</v>
      </c>
      <c r="T15" s="40">
        <f>0.58863151178999*B29</f>
        <v>0.58863151178998996</v>
      </c>
      <c r="U15" s="43">
        <f t="shared" si="8"/>
        <v>0</v>
      </c>
      <c r="V15" s="41">
        <f t="shared" si="9"/>
        <v>0</v>
      </c>
      <c r="W15" s="40">
        <f>0.561306138820632*B29</f>
        <v>0.56130613882063196</v>
      </c>
      <c r="X15" s="43">
        <f t="shared" si="10"/>
        <v>0</v>
      </c>
      <c r="Y15" s="42">
        <f t="shared" si="11"/>
        <v>0</v>
      </c>
    </row>
    <row r="16" spans="1:25" x14ac:dyDescent="0.2">
      <c r="A16" s="250" t="s">
        <v>45</v>
      </c>
      <c r="B16" s="251"/>
      <c r="C16" s="61">
        <f>222339.320588871*B29</f>
        <v>222339.32058887099</v>
      </c>
      <c r="D16" s="41">
        <f t="shared" si="0"/>
        <v>2668071.8470664518</v>
      </c>
      <c r="E16" s="37" t="s">
        <v>33</v>
      </c>
      <c r="F16" s="37" t="s">
        <v>33</v>
      </c>
      <c r="G16" s="37" t="s">
        <v>33</v>
      </c>
      <c r="H16" s="40">
        <f>1.2494005173997*B29</f>
        <v>1.2494005173997</v>
      </c>
      <c r="I16" s="43">
        <f t="shared" si="1"/>
        <v>0</v>
      </c>
      <c r="J16" s="41">
        <f t="shared" si="12"/>
        <v>0</v>
      </c>
      <c r="K16" s="40">
        <f>0.790282987055104*B29</f>
        <v>0.79028298705510402</v>
      </c>
      <c r="L16" s="43">
        <f t="shared" si="2"/>
        <v>0</v>
      </c>
      <c r="M16" s="41">
        <f t="shared" si="3"/>
        <v>0</v>
      </c>
      <c r="N16" s="40">
        <f>0.695492375413287*B29</f>
        <v>0.69549237541328701</v>
      </c>
      <c r="O16" s="43">
        <f t="shared" si="4"/>
        <v>0</v>
      </c>
      <c r="P16" s="41">
        <f t="shared" si="5"/>
        <v>0</v>
      </c>
      <c r="Q16" s="40">
        <f>0.595003652444312*B29</f>
        <v>0.59500365244431197</v>
      </c>
      <c r="R16" s="43">
        <f t="shared" si="6"/>
        <v>0</v>
      </c>
      <c r="S16" s="41">
        <f t="shared" si="7"/>
        <v>0</v>
      </c>
      <c r="T16" s="40">
        <f>0.59017577116057*B29</f>
        <v>0.59017577116056996</v>
      </c>
      <c r="U16" s="43">
        <f t="shared" si="8"/>
        <v>0</v>
      </c>
      <c r="V16" s="41">
        <f t="shared" si="9"/>
        <v>0</v>
      </c>
      <c r="W16" s="40">
        <f>0.562623893165675*B29</f>
        <v>0.56262389316567496</v>
      </c>
      <c r="X16" s="43">
        <f t="shared" si="10"/>
        <v>0</v>
      </c>
      <c r="Y16" s="42">
        <f t="shared" si="11"/>
        <v>0</v>
      </c>
    </row>
    <row r="17" spans="1:25" x14ac:dyDescent="0.2">
      <c r="A17" s="250" t="s">
        <v>46</v>
      </c>
      <c r="B17" s="251"/>
      <c r="C17" s="61">
        <f>224544.750018713*B29</f>
        <v>224544.75001871301</v>
      </c>
      <c r="D17" s="41">
        <f t="shared" si="0"/>
        <v>2694537.0002245558</v>
      </c>
      <c r="E17" s="37" t="s">
        <v>33</v>
      </c>
      <c r="F17" s="37" t="s">
        <v>33</v>
      </c>
      <c r="G17" s="37" t="s">
        <v>33</v>
      </c>
      <c r="H17" s="40">
        <f>1.25679098136041*B29</f>
        <v>1.2567909813604099</v>
      </c>
      <c r="I17" s="43">
        <f t="shared" si="1"/>
        <v>0</v>
      </c>
      <c r="J17" s="41">
        <f t="shared" si="12"/>
        <v>0</v>
      </c>
      <c r="K17" s="40">
        <f>0.793554385136487*B29</f>
        <v>0.79355438513648702</v>
      </c>
      <c r="L17" s="43">
        <f t="shared" si="2"/>
        <v>0</v>
      </c>
      <c r="M17" s="41">
        <f t="shared" si="3"/>
        <v>0</v>
      </c>
      <c r="N17" s="40">
        <f>0.697652263533733*B29</f>
        <v>0.697652263533733</v>
      </c>
      <c r="O17" s="43">
        <f t="shared" si="4"/>
        <v>0</v>
      </c>
      <c r="P17" s="41">
        <f t="shared" si="5"/>
        <v>0</v>
      </c>
      <c r="Q17" s="40">
        <f>0.596955614012443*B29</f>
        <v>0.59695561401244301</v>
      </c>
      <c r="R17" s="43">
        <f t="shared" si="6"/>
        <v>0</v>
      </c>
      <c r="S17" s="41">
        <f t="shared" si="7"/>
        <v>0</v>
      </c>
      <c r="T17" s="40">
        <f>0.591766358312268*B29</f>
        <v>0.59176635831226798</v>
      </c>
      <c r="U17" s="43">
        <f t="shared" si="8"/>
        <v>0</v>
      </c>
      <c r="V17" s="41">
        <f t="shared" si="9"/>
        <v>0</v>
      </c>
      <c r="W17" s="40">
        <f>0.56398118014107*B29</f>
        <v>0.56398118014107002</v>
      </c>
      <c r="X17" s="43">
        <f t="shared" si="10"/>
        <v>0</v>
      </c>
      <c r="Y17" s="42">
        <f t="shared" si="11"/>
        <v>0</v>
      </c>
    </row>
    <row r="18" spans="1:25" x14ac:dyDescent="0.2">
      <c r="A18" s="250" t="s">
        <v>47</v>
      </c>
      <c r="B18" s="251"/>
      <c r="C18" s="61">
        <f>228998.930705828*B29</f>
        <v>228998.93070582801</v>
      </c>
      <c r="D18" s="41">
        <f t="shared" si="0"/>
        <v>2747987.1684699361</v>
      </c>
      <c r="E18" s="37" t="s">
        <v>33</v>
      </c>
      <c r="F18" s="37" t="s">
        <v>33</v>
      </c>
      <c r="G18" s="37" t="s">
        <v>33</v>
      </c>
      <c r="H18" s="40">
        <f>1.26440315923995*B29</f>
        <v>1.2644031592399501</v>
      </c>
      <c r="I18" s="43">
        <f t="shared" si="1"/>
        <v>0</v>
      </c>
      <c r="J18" s="41">
        <f t="shared" si="12"/>
        <v>0</v>
      </c>
      <c r="K18" s="40">
        <f>0.796923925160312*B29</f>
        <v>0.79692392516031196</v>
      </c>
      <c r="L18" s="43">
        <f t="shared" si="2"/>
        <v>0</v>
      </c>
      <c r="M18" s="41">
        <f t="shared" si="3"/>
        <v>0</v>
      </c>
      <c r="N18" s="40">
        <f>0.699876948297792*B29</f>
        <v>0.69987694829779201</v>
      </c>
      <c r="O18" s="43">
        <f t="shared" si="4"/>
        <v>0</v>
      </c>
      <c r="P18" s="41">
        <f t="shared" si="5"/>
        <v>0</v>
      </c>
      <c r="Q18" s="40">
        <f>0.598966134427618*B29</f>
        <v>0.59896613442761804</v>
      </c>
      <c r="R18" s="43">
        <f t="shared" si="6"/>
        <v>0</v>
      </c>
      <c r="S18" s="41">
        <f t="shared" si="7"/>
        <v>0</v>
      </c>
      <c r="T18" s="40">
        <f>0.593404663078517*B29</f>
        <v>0.59340466307851703</v>
      </c>
      <c r="U18" s="43">
        <f t="shared" si="8"/>
        <v>0</v>
      </c>
      <c r="V18" s="41">
        <f t="shared" si="9"/>
        <v>0</v>
      </c>
      <c r="W18" s="40">
        <f>0.565379185725726*B29</f>
        <v>0.56537918572572599</v>
      </c>
      <c r="X18" s="43">
        <f t="shared" si="10"/>
        <v>0</v>
      </c>
      <c r="Y18" s="42">
        <f t="shared" si="11"/>
        <v>0</v>
      </c>
    </row>
    <row r="19" spans="1:25" x14ac:dyDescent="0.2">
      <c r="A19" s="250" t="s">
        <v>48</v>
      </c>
      <c r="B19" s="251"/>
      <c r="C19" s="61">
        <f>233586.736813555*B29</f>
        <v>233586.73681355501</v>
      </c>
      <c r="D19" s="41">
        <f t="shared" si="0"/>
        <v>2803040.8417626601</v>
      </c>
      <c r="E19" s="37" t="s">
        <v>33</v>
      </c>
      <c r="F19" s="37" t="s">
        <v>33</v>
      </c>
      <c r="G19" s="37" t="s">
        <v>33</v>
      </c>
      <c r="H19" s="40">
        <f>1.27224370245586*B29</f>
        <v>1.2722437024558599</v>
      </c>
      <c r="I19" s="43">
        <f t="shared" si="1"/>
        <v>0</v>
      </c>
      <c r="J19" s="41">
        <f t="shared" si="12"/>
        <v>0</v>
      </c>
      <c r="K19" s="40">
        <f>0.800394551384851*B29</f>
        <v>0.80039455138485105</v>
      </c>
      <c r="L19" s="43">
        <f t="shared" si="2"/>
        <v>0</v>
      </c>
      <c r="M19" s="41">
        <f t="shared" si="3"/>
        <v>0</v>
      </c>
      <c r="N19" s="40">
        <f>0.702168373604773*B29</f>
        <v>0.70216837360477302</v>
      </c>
      <c r="O19" s="43">
        <f t="shared" si="4"/>
        <v>0</v>
      </c>
      <c r="P19" s="41">
        <f t="shared" si="5"/>
        <v>0</v>
      </c>
      <c r="Q19" s="40">
        <f>0.601036970455249*B29</f>
        <v>0.60103697045524895</v>
      </c>
      <c r="R19" s="43">
        <f t="shared" si="6"/>
        <v>0</v>
      </c>
      <c r="S19" s="41">
        <f t="shared" si="7"/>
        <v>0</v>
      </c>
      <c r="T19" s="40">
        <f>0.595092116987753*B29</f>
        <v>0.59509211698775299</v>
      </c>
      <c r="U19" s="43">
        <f t="shared" si="8"/>
        <v>0</v>
      </c>
      <c r="V19" s="41">
        <f t="shared" si="9"/>
        <v>0</v>
      </c>
      <c r="W19" s="40">
        <f>0.566819131477922*B29</f>
        <v>0.56681913147792196</v>
      </c>
      <c r="X19" s="43">
        <f t="shared" si="10"/>
        <v>0</v>
      </c>
      <c r="Y19" s="42">
        <f t="shared" si="11"/>
        <v>0</v>
      </c>
    </row>
    <row r="20" spans="1:25" s="48" customFormat="1" ht="15" x14ac:dyDescent="0.25">
      <c r="A20" s="241" t="s">
        <v>121</v>
      </c>
      <c r="B20" s="242"/>
      <c r="C20" s="62"/>
      <c r="D20" s="63">
        <f>SUM(D11:D19)</f>
        <v>23692606.841154121</v>
      </c>
      <c r="E20" s="44"/>
      <c r="F20" s="45"/>
      <c r="G20" s="46">
        <f>SUM(G11:G19)</f>
        <v>0</v>
      </c>
      <c r="H20" s="44"/>
      <c r="I20" s="45"/>
      <c r="J20" s="46">
        <f>SUM(J11:J19)</f>
        <v>0</v>
      </c>
      <c r="K20" s="44"/>
      <c r="L20" s="45"/>
      <c r="M20" s="46">
        <f>SUM(M11:M19)</f>
        <v>0</v>
      </c>
      <c r="N20" s="44"/>
      <c r="O20" s="45"/>
      <c r="P20" s="46">
        <f>SUM(P11:P19)</f>
        <v>0</v>
      </c>
      <c r="Q20" s="44"/>
      <c r="R20" s="45"/>
      <c r="S20" s="46">
        <f>SUM(S11:S19)</f>
        <v>0</v>
      </c>
      <c r="T20" s="44"/>
      <c r="U20" s="45"/>
      <c r="V20" s="46">
        <f>SUM(V11:V19)</f>
        <v>0</v>
      </c>
      <c r="W20" s="44"/>
      <c r="X20" s="45"/>
      <c r="Y20" s="47">
        <f>SUM(Y11:Y19)</f>
        <v>0</v>
      </c>
    </row>
    <row r="21" spans="1:25" ht="16.5" thickBot="1" x14ac:dyDescent="0.3">
      <c r="A21" s="12"/>
      <c r="D21" s="58"/>
      <c r="E21" s="59"/>
      <c r="F21" s="59"/>
      <c r="G21" s="59"/>
      <c r="H21" s="59"/>
      <c r="I21" s="59"/>
      <c r="J21" s="59"/>
      <c r="K21" s="59"/>
      <c r="L21" s="59"/>
      <c r="M21" s="59"/>
      <c r="N21" s="59"/>
      <c r="O21" s="59"/>
      <c r="P21" s="59"/>
      <c r="Q21" s="59"/>
      <c r="R21" s="59"/>
      <c r="S21" s="59"/>
      <c r="T21" s="59"/>
      <c r="U21" s="59"/>
      <c r="V21" s="59"/>
      <c r="W21" s="59"/>
      <c r="X21" s="59"/>
      <c r="Y21" s="64"/>
    </row>
    <row r="22" spans="1:25" ht="15.75" thickBot="1" x14ac:dyDescent="0.3">
      <c r="A22" s="229" t="s">
        <v>122</v>
      </c>
      <c r="B22" s="230"/>
      <c r="C22" s="82">
        <f>SUM(E20:Y20)+D20</f>
        <v>23692606.841154121</v>
      </c>
      <c r="D22" s="14"/>
      <c r="E22" s="43"/>
      <c r="J22" s="65"/>
      <c r="V22" s="10"/>
      <c r="Y22" s="13"/>
    </row>
    <row r="23" spans="1:25" x14ac:dyDescent="0.2">
      <c r="A23" s="12"/>
      <c r="K23" s="66"/>
      <c r="L23" s="66"/>
      <c r="Y23" s="13"/>
    </row>
    <row r="24" spans="1:25" ht="15" x14ac:dyDescent="0.25">
      <c r="A24" s="90" t="s">
        <v>111</v>
      </c>
      <c r="B24" s="91"/>
      <c r="K24" s="66"/>
      <c r="L24" s="66"/>
      <c r="Y24" s="13"/>
    </row>
    <row r="25" spans="1:25" ht="15" x14ac:dyDescent="0.25">
      <c r="A25" s="92" t="s">
        <v>112</v>
      </c>
      <c r="B25" s="93">
        <v>0</v>
      </c>
      <c r="K25" s="66"/>
      <c r="L25" s="66"/>
      <c r="Y25" s="13"/>
    </row>
    <row r="26" spans="1:25" ht="15" x14ac:dyDescent="0.25">
      <c r="A26" s="92" t="s">
        <v>113</v>
      </c>
      <c r="B26" s="93">
        <v>0</v>
      </c>
      <c r="K26" s="66"/>
      <c r="L26" s="66"/>
      <c r="Y26" s="13"/>
    </row>
    <row r="27" spans="1:25" ht="15" x14ac:dyDescent="0.25">
      <c r="A27" s="92" t="s">
        <v>114</v>
      </c>
      <c r="B27" s="93">
        <f>B26-B25</f>
        <v>0</v>
      </c>
      <c r="K27" s="66"/>
      <c r="L27" s="66"/>
      <c r="Y27" s="13"/>
    </row>
    <row r="28" spans="1:25" ht="15" x14ac:dyDescent="0.25">
      <c r="A28" s="92" t="s">
        <v>116</v>
      </c>
      <c r="B28" s="93">
        <f>IFERROR(B27/B25,0)</f>
        <v>0</v>
      </c>
      <c r="K28" s="66"/>
      <c r="L28" s="66"/>
      <c r="Y28" s="13"/>
    </row>
    <row r="29" spans="1:25" ht="15" x14ac:dyDescent="0.25">
      <c r="A29" s="92" t="s">
        <v>115</v>
      </c>
      <c r="B29" s="93">
        <f>B28+1</f>
        <v>1</v>
      </c>
      <c r="K29" s="66"/>
      <c r="L29" s="66"/>
      <c r="Y29" s="13"/>
    </row>
    <row r="30" spans="1:25" x14ac:dyDescent="0.2">
      <c r="A30" s="12"/>
      <c r="K30" s="66"/>
      <c r="L30" s="66"/>
      <c r="Y30" s="13"/>
    </row>
    <row r="31" spans="1:25" x14ac:dyDescent="0.2">
      <c r="A31" s="36" t="s">
        <v>34</v>
      </c>
      <c r="C31" s="67">
        <v>0.03</v>
      </c>
      <c r="Y31" s="13"/>
    </row>
    <row r="32" spans="1:25" x14ac:dyDescent="0.2">
      <c r="A32" s="36" t="s">
        <v>35</v>
      </c>
      <c r="C32" s="68">
        <f>(8.60049373074997)*B29</f>
        <v>8.6004937307499691</v>
      </c>
      <c r="Y32" s="13"/>
    </row>
    <row r="33" spans="1:25" ht="15" thickBot="1" x14ac:dyDescent="0.25">
      <c r="A33" s="69" t="s">
        <v>36</v>
      </c>
      <c r="B33" s="53"/>
      <c r="C33" s="53"/>
      <c r="D33" s="53"/>
      <c r="E33" s="53"/>
      <c r="F33" s="53"/>
      <c r="G33" s="53"/>
      <c r="H33" s="70">
        <v>1</v>
      </c>
      <c r="I33" s="53"/>
      <c r="J33" s="53"/>
      <c r="K33" s="70">
        <v>1</v>
      </c>
      <c r="L33" s="53"/>
      <c r="M33" s="53"/>
      <c r="N33" s="70">
        <v>1</v>
      </c>
      <c r="O33" s="53"/>
      <c r="P33" s="53"/>
      <c r="Q33" s="70">
        <v>1</v>
      </c>
      <c r="R33" s="53"/>
      <c r="S33" s="53"/>
      <c r="T33" s="70">
        <v>1</v>
      </c>
      <c r="U33" s="53"/>
      <c r="V33" s="53"/>
      <c r="W33" s="70">
        <v>1</v>
      </c>
      <c r="X33" s="53"/>
      <c r="Y33" s="55"/>
    </row>
  </sheetData>
  <mergeCells count="28">
    <mergeCell ref="A20:B20"/>
    <mergeCell ref="A22:B22"/>
    <mergeCell ref="A13:B13"/>
    <mergeCell ref="A14:B14"/>
    <mergeCell ref="Q9:S9"/>
    <mergeCell ref="T9:V9"/>
    <mergeCell ref="A19:B19"/>
    <mergeCell ref="K9:M9"/>
    <mergeCell ref="N9:P9"/>
    <mergeCell ref="W9:Y9"/>
    <mergeCell ref="A11:B11"/>
    <mergeCell ref="A12:B12"/>
    <mergeCell ref="A16:B16"/>
    <mergeCell ref="A17:B17"/>
    <mergeCell ref="A18:B18"/>
    <mergeCell ref="A15:B15"/>
    <mergeCell ref="E9:G9"/>
    <mergeCell ref="H9:J9"/>
    <mergeCell ref="A1:S1"/>
    <mergeCell ref="A4:Y4"/>
    <mergeCell ref="C6:D6"/>
    <mergeCell ref="E6:G6"/>
    <mergeCell ref="H6:J6"/>
    <mergeCell ref="K6:M6"/>
    <mergeCell ref="N6:P6"/>
    <mergeCell ref="Q6:S6"/>
    <mergeCell ref="T6:V6"/>
    <mergeCell ref="W6:Y6"/>
  </mergeCells>
  <hyperlinks>
    <hyperlink ref="H1" location="Index" display="Back to Index" xr:uid="{00000000-0004-0000-0600-000000000000}"/>
  </hyperlinks>
  <pageMargins left="0.25" right="0.25" top="0.25" bottom="0.25" header="0.3" footer="0.3"/>
  <pageSetup scale="30" fitToHeight="0" orientation="landscape" r:id="rId1"/>
  <headerFooter>
    <oddFooter>&amp;L&amp;G&amp;RPage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Q27"/>
  <sheetViews>
    <sheetView zoomScale="90" zoomScaleNormal="90" workbookViewId="0">
      <selection activeCell="H17" sqref="H17"/>
    </sheetView>
  </sheetViews>
  <sheetFormatPr defaultColWidth="8.7109375" defaultRowHeight="12.75" x14ac:dyDescent="0.2"/>
  <cols>
    <col min="1" max="1" width="57.28515625" customWidth="1"/>
    <col min="2" max="2" width="11.5703125" customWidth="1"/>
    <col min="3" max="3" width="20.7109375" customWidth="1"/>
    <col min="4" max="4" width="18.140625" customWidth="1"/>
    <col min="5" max="5" width="17" customWidth="1"/>
    <col min="6" max="6" width="18.7109375" customWidth="1"/>
    <col min="7" max="7" width="17.28515625" customWidth="1"/>
    <col min="8" max="8" width="18" customWidth="1"/>
    <col min="9" max="9" width="17.28515625" customWidth="1"/>
    <col min="10" max="10" width="17.140625" customWidth="1"/>
    <col min="11" max="11" width="19.28515625" customWidth="1"/>
    <col min="12" max="12" width="19.140625" customWidth="1"/>
    <col min="13" max="13" width="19.28515625" customWidth="1"/>
    <col min="14" max="14" width="17.140625" customWidth="1"/>
    <col min="15" max="15" width="17" customWidth="1"/>
    <col min="16" max="16" width="17.7109375" customWidth="1"/>
    <col min="17" max="17" width="14.28515625" bestFit="1" customWidth="1"/>
  </cols>
  <sheetData>
    <row r="1" spans="1:17" s="11" customFormat="1" ht="40.5" customHeight="1" x14ac:dyDescent="0.25">
      <c r="A1" s="220" t="s">
        <v>126</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125</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c r="B8" s="254"/>
      <c r="C8" s="22">
        <v>0</v>
      </c>
      <c r="D8" s="24">
        <v>25000</v>
      </c>
      <c r="E8" s="22">
        <v>25001</v>
      </c>
      <c r="F8" s="24">
        <v>75000</v>
      </c>
      <c r="G8" s="22">
        <v>75001</v>
      </c>
      <c r="H8" s="24">
        <v>125000</v>
      </c>
      <c r="I8" s="22">
        <v>125001</v>
      </c>
      <c r="J8" s="24">
        <v>175000</v>
      </c>
      <c r="K8" s="22">
        <v>175001</v>
      </c>
      <c r="L8" s="24">
        <v>225000</v>
      </c>
      <c r="M8" s="22">
        <v>225001</v>
      </c>
      <c r="N8" s="24">
        <v>275000</v>
      </c>
      <c r="O8" s="22">
        <v>275001</v>
      </c>
      <c r="P8" s="71">
        <f>O8+49999</f>
        <v>325000</v>
      </c>
      <c r="Q8" s="72"/>
    </row>
    <row r="9" spans="1:17" s="74" customFormat="1" ht="15" x14ac:dyDescent="0.25">
      <c r="A9" s="255" t="s">
        <v>49</v>
      </c>
      <c r="B9" s="256"/>
      <c r="C9" s="257">
        <v>0</v>
      </c>
      <c r="D9" s="258"/>
      <c r="E9" s="257">
        <v>0</v>
      </c>
      <c r="F9" s="258"/>
      <c r="G9" s="257">
        <v>0</v>
      </c>
      <c r="H9" s="258"/>
      <c r="I9" s="257">
        <v>0</v>
      </c>
      <c r="J9" s="258"/>
      <c r="K9" s="257">
        <v>0</v>
      </c>
      <c r="L9" s="258"/>
      <c r="M9" s="257">
        <v>0</v>
      </c>
      <c r="N9" s="258"/>
      <c r="O9" s="259">
        <v>0</v>
      </c>
      <c r="P9" s="260"/>
      <c r="Q9" s="73"/>
    </row>
    <row r="10" spans="1:17" s="9" customFormat="1" ht="24.75" x14ac:dyDescent="0.25">
      <c r="A10" s="261"/>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52</v>
      </c>
      <c r="B11" s="251"/>
      <c r="C11" s="80">
        <f>C24</f>
        <v>141.83496096205701</v>
      </c>
      <c r="D11" s="76">
        <f>C11*C$9</f>
        <v>0</v>
      </c>
      <c r="E11" s="56">
        <f>ROUND(C24*E$25,4)</f>
        <v>141.83500000000001</v>
      </c>
      <c r="F11" s="76">
        <f>E11*E$9</f>
        <v>0</v>
      </c>
      <c r="G11" s="56">
        <f>ROUND(E11*G$25,4)</f>
        <v>141.83500000000001</v>
      </c>
      <c r="H11" s="76">
        <f>G11*G$9</f>
        <v>0</v>
      </c>
      <c r="I11" s="56">
        <f>ROUND(G11*I$25,4)</f>
        <v>141.83500000000001</v>
      </c>
      <c r="J11" s="76">
        <f>I11*I$9</f>
        <v>0</v>
      </c>
      <c r="K11" s="56">
        <f>ROUND(I11*K$25,4)</f>
        <v>141.83500000000001</v>
      </c>
      <c r="L11" s="76">
        <f>K11*K$9</f>
        <v>0</v>
      </c>
      <c r="M11" s="56">
        <f>ROUND(K11*M$25,4)</f>
        <v>141.83500000000001</v>
      </c>
      <c r="N11" s="76">
        <f>M11*M$9</f>
        <v>0</v>
      </c>
      <c r="O11" s="56">
        <f>ROUND(M11*O$25,4)</f>
        <v>141.83500000000001</v>
      </c>
      <c r="P11" s="76">
        <f>O11*O$9</f>
        <v>0</v>
      </c>
      <c r="Q11" s="13"/>
    </row>
    <row r="12" spans="1:17" s="48" customFormat="1" ht="15" x14ac:dyDescent="0.25">
      <c r="A12" s="241" t="s">
        <v>127</v>
      </c>
      <c r="B12" s="242"/>
      <c r="C12" s="62"/>
      <c r="D12" s="63">
        <f>SUM(D11:D11)</f>
        <v>0</v>
      </c>
      <c r="E12" s="44"/>
      <c r="F12" s="46">
        <f>SUM(F11:F11)</f>
        <v>0</v>
      </c>
      <c r="G12" s="44"/>
      <c r="H12" s="46">
        <f>SUM(H11:H11)</f>
        <v>0</v>
      </c>
      <c r="I12" s="44"/>
      <c r="J12" s="46">
        <f>SUM(J11:J11)</f>
        <v>0</v>
      </c>
      <c r="K12" s="44"/>
      <c r="L12" s="46">
        <f>SUM(L11:L11)</f>
        <v>0</v>
      </c>
      <c r="M12" s="44"/>
      <c r="N12" s="46">
        <f>SUM(N11:N11)</f>
        <v>0</v>
      </c>
      <c r="O12" s="44"/>
      <c r="P12" s="46">
        <f>SUM(P11:P11)</f>
        <v>0</v>
      </c>
      <c r="Q12" s="77"/>
    </row>
    <row r="13" spans="1:17" ht="15" thickBot="1" x14ac:dyDescent="0.25">
      <c r="A13" s="12"/>
      <c r="B13" s="2"/>
      <c r="C13" s="2"/>
      <c r="D13" s="2"/>
      <c r="E13" s="2"/>
      <c r="F13" s="2"/>
      <c r="G13" s="2"/>
      <c r="H13" s="2"/>
      <c r="I13" s="2"/>
      <c r="J13" s="2"/>
      <c r="K13" s="2"/>
      <c r="L13" s="2"/>
      <c r="M13" s="2"/>
      <c r="N13" s="2"/>
      <c r="O13" s="2"/>
      <c r="P13" s="2"/>
      <c r="Q13" s="13"/>
    </row>
    <row r="14" spans="1:17" ht="15.75" thickBot="1" x14ac:dyDescent="0.3">
      <c r="A14" s="229" t="s">
        <v>147</v>
      </c>
      <c r="B14" s="230"/>
      <c r="C14" s="82">
        <f>SUM(D12:P12)</f>
        <v>0</v>
      </c>
      <c r="D14" s="43"/>
      <c r="E14" s="2"/>
      <c r="F14" s="2"/>
      <c r="G14" s="2"/>
      <c r="H14" s="2"/>
      <c r="I14" s="2"/>
      <c r="J14" s="2"/>
      <c r="K14" s="2"/>
      <c r="L14" s="2"/>
      <c r="M14" s="2"/>
      <c r="N14" s="2"/>
      <c r="O14" s="2"/>
      <c r="P14" s="2"/>
      <c r="Q14" s="13"/>
    </row>
    <row r="15" spans="1:17" ht="14.25" x14ac:dyDescent="0.2">
      <c r="A15" s="12"/>
      <c r="B15" s="2"/>
      <c r="C15" s="2"/>
      <c r="D15" s="2"/>
      <c r="E15" s="2"/>
      <c r="F15" s="2"/>
      <c r="G15" s="2"/>
      <c r="H15" s="2"/>
      <c r="I15" s="2"/>
      <c r="J15" s="2"/>
      <c r="K15" s="2"/>
      <c r="L15" s="2"/>
      <c r="M15" s="2"/>
      <c r="N15" s="2"/>
      <c r="O15" s="2"/>
      <c r="P15" s="2"/>
      <c r="Q15" s="13"/>
    </row>
    <row r="16" spans="1:17" ht="15" x14ac:dyDescent="0.25">
      <c r="A16" s="90" t="s">
        <v>111</v>
      </c>
      <c r="B16" s="91"/>
      <c r="C16" s="2"/>
      <c r="D16" s="2"/>
      <c r="E16" s="2"/>
      <c r="F16" s="2"/>
      <c r="G16" s="2"/>
      <c r="H16" s="2"/>
      <c r="I16" s="2"/>
      <c r="J16" s="2"/>
      <c r="K16" s="2"/>
      <c r="L16" s="2"/>
      <c r="M16" s="2"/>
      <c r="N16" s="2"/>
      <c r="O16" s="2"/>
      <c r="P16" s="2"/>
      <c r="Q16" s="13"/>
    </row>
    <row r="17" spans="1:17" ht="15" x14ac:dyDescent="0.25">
      <c r="A17" s="92" t="s">
        <v>112</v>
      </c>
      <c r="B17" s="93">
        <v>0</v>
      </c>
      <c r="C17" s="2"/>
      <c r="D17" s="2"/>
      <c r="E17" s="2"/>
      <c r="F17" s="2"/>
      <c r="G17" s="2"/>
      <c r="H17" s="2"/>
      <c r="I17" s="2"/>
      <c r="J17" s="2"/>
      <c r="K17" s="2"/>
      <c r="L17" s="2"/>
      <c r="M17" s="2"/>
      <c r="N17" s="2"/>
      <c r="O17" s="2"/>
      <c r="P17" s="2"/>
      <c r="Q17" s="13"/>
    </row>
    <row r="18" spans="1:17" ht="15" x14ac:dyDescent="0.25">
      <c r="A18" s="92" t="s">
        <v>113</v>
      </c>
      <c r="B18" s="93">
        <v>0</v>
      </c>
      <c r="C18" s="2"/>
      <c r="D18" s="2"/>
      <c r="E18" s="2"/>
      <c r="F18" s="2"/>
      <c r="G18" s="2"/>
      <c r="H18" s="2"/>
      <c r="I18" s="2"/>
      <c r="J18" s="2"/>
      <c r="K18" s="2"/>
      <c r="L18" s="2"/>
      <c r="M18" s="2"/>
      <c r="N18" s="2"/>
      <c r="O18" s="2"/>
      <c r="P18" s="2"/>
      <c r="Q18" s="13"/>
    </row>
    <row r="19" spans="1:17" ht="15" x14ac:dyDescent="0.25">
      <c r="A19" s="92" t="s">
        <v>114</v>
      </c>
      <c r="B19" s="93">
        <f>B18-B17</f>
        <v>0</v>
      </c>
      <c r="C19" s="2"/>
      <c r="D19" s="2"/>
      <c r="E19" s="2"/>
      <c r="F19" s="2"/>
      <c r="G19" s="2"/>
      <c r="H19" s="2"/>
      <c r="I19" s="2"/>
      <c r="J19" s="2"/>
      <c r="K19" s="2"/>
      <c r="L19" s="2"/>
      <c r="M19" s="2"/>
      <c r="N19" s="2"/>
      <c r="O19" s="2"/>
      <c r="P19" s="2"/>
      <c r="Q19" s="13"/>
    </row>
    <row r="20" spans="1:17" ht="15" x14ac:dyDescent="0.25">
      <c r="A20" s="92" t="s">
        <v>116</v>
      </c>
      <c r="B20" s="93">
        <f>IFERROR(B19/B17,0)</f>
        <v>0</v>
      </c>
      <c r="C20" s="2"/>
      <c r="D20" s="2"/>
      <c r="E20" s="2"/>
      <c r="F20" s="2"/>
      <c r="G20" s="2"/>
      <c r="H20" s="2"/>
      <c r="I20" s="2"/>
      <c r="J20" s="2"/>
      <c r="K20" s="2"/>
      <c r="L20" s="2"/>
      <c r="M20" s="2"/>
      <c r="N20" s="2"/>
      <c r="O20" s="2"/>
      <c r="P20" s="2"/>
      <c r="Q20" s="13"/>
    </row>
    <row r="21" spans="1:17" ht="15" x14ac:dyDescent="0.25">
      <c r="A21" s="92" t="s">
        <v>115</v>
      </c>
      <c r="B21" s="93">
        <f>B20+1</f>
        <v>1</v>
      </c>
      <c r="C21" s="2"/>
      <c r="D21" s="2"/>
      <c r="E21" s="2"/>
      <c r="F21" s="2"/>
      <c r="G21" s="2"/>
      <c r="H21" s="2"/>
      <c r="I21" s="2"/>
      <c r="J21" s="2"/>
      <c r="K21" s="2"/>
      <c r="L21" s="2"/>
      <c r="M21" s="2"/>
      <c r="N21" s="2"/>
      <c r="O21" s="2"/>
      <c r="P21" s="2"/>
      <c r="Q21" s="13"/>
    </row>
    <row r="22" spans="1:17" ht="14.25" x14ac:dyDescent="0.2">
      <c r="A22" s="12"/>
      <c r="B22" s="2"/>
      <c r="C22" s="2"/>
      <c r="D22" s="2"/>
      <c r="E22" s="2"/>
      <c r="F22" s="2"/>
      <c r="G22" s="2"/>
      <c r="H22" s="2"/>
      <c r="I22" s="2"/>
      <c r="J22" s="2"/>
      <c r="K22" s="2"/>
      <c r="L22" s="2"/>
      <c r="M22" s="2"/>
      <c r="N22" s="2"/>
      <c r="O22" s="2"/>
      <c r="P22" s="2"/>
      <c r="Q22" s="13"/>
    </row>
    <row r="23" spans="1:17" ht="14.25" x14ac:dyDescent="0.2">
      <c r="A23" s="36" t="s">
        <v>34</v>
      </c>
      <c r="B23" s="2"/>
      <c r="C23" s="49">
        <v>0.03</v>
      </c>
      <c r="D23" s="2"/>
      <c r="E23" s="2"/>
      <c r="F23" s="2"/>
      <c r="G23" s="2"/>
      <c r="H23" s="2"/>
      <c r="I23" s="2"/>
      <c r="J23" s="2"/>
      <c r="K23" s="2"/>
      <c r="L23" s="2"/>
      <c r="M23" s="2"/>
      <c r="N23" s="2"/>
      <c r="O23" s="2"/>
      <c r="P23" s="2"/>
      <c r="Q23" s="13"/>
    </row>
    <row r="24" spans="1:17" ht="14.25" x14ac:dyDescent="0.2">
      <c r="A24" s="36" t="s">
        <v>53</v>
      </c>
      <c r="B24" s="2"/>
      <c r="C24" s="50">
        <f>(141.834960962057)*B21</f>
        <v>141.83496096205701</v>
      </c>
      <c r="D24" s="2"/>
      <c r="E24" s="2"/>
      <c r="F24" s="2"/>
      <c r="G24" s="2"/>
      <c r="H24" s="2"/>
      <c r="I24" s="2"/>
      <c r="J24" s="2"/>
      <c r="K24" s="2"/>
      <c r="L24" s="2"/>
      <c r="M24" s="2"/>
      <c r="N24" s="2"/>
      <c r="O24" s="2"/>
      <c r="P24" s="2"/>
      <c r="Q24" s="13"/>
    </row>
    <row r="25" spans="1:17" ht="15" thickBot="1" x14ac:dyDescent="0.25">
      <c r="A25" s="69" t="s">
        <v>36</v>
      </c>
      <c r="B25" s="53"/>
      <c r="C25" s="53"/>
      <c r="D25" s="53"/>
      <c r="E25" s="57">
        <v>1</v>
      </c>
      <c r="F25" s="53"/>
      <c r="G25" s="57">
        <v>1</v>
      </c>
      <c r="H25" s="53"/>
      <c r="I25" s="57">
        <v>1</v>
      </c>
      <c r="J25" s="53"/>
      <c r="K25" s="57">
        <v>1</v>
      </c>
      <c r="L25" s="53"/>
      <c r="M25" s="57">
        <v>1</v>
      </c>
      <c r="N25" s="53"/>
      <c r="O25" s="57">
        <v>1</v>
      </c>
      <c r="P25" s="53"/>
      <c r="Q25" s="55"/>
    </row>
    <row r="27" spans="1:17" ht="55.15" customHeight="1" x14ac:dyDescent="0.2">
      <c r="A27" s="252" t="s">
        <v>124</v>
      </c>
      <c r="B27" s="253"/>
      <c r="C27" s="253"/>
      <c r="D27" s="253"/>
      <c r="E27" s="253"/>
      <c r="F27" s="253"/>
      <c r="G27" s="253"/>
      <c r="H27" s="253"/>
      <c r="I27" s="253"/>
      <c r="J27" s="253"/>
      <c r="K27" s="253"/>
      <c r="L27" s="253"/>
      <c r="M27" s="253"/>
      <c r="N27" s="253"/>
      <c r="O27" s="253"/>
      <c r="P27" s="253"/>
      <c r="Q27" s="253"/>
    </row>
  </sheetData>
  <mergeCells count="24">
    <mergeCell ref="A1:Q1"/>
    <mergeCell ref="A4:Q4"/>
    <mergeCell ref="A6:B6"/>
    <mergeCell ref="C6:D6"/>
    <mergeCell ref="E6:F6"/>
    <mergeCell ref="G6:H6"/>
    <mergeCell ref="I6:J6"/>
    <mergeCell ref="K6:L6"/>
    <mergeCell ref="M6:N6"/>
    <mergeCell ref="O6:P6"/>
    <mergeCell ref="A27:Q27"/>
    <mergeCell ref="A8:B8"/>
    <mergeCell ref="A9:B9"/>
    <mergeCell ref="C9:D9"/>
    <mergeCell ref="E9:F9"/>
    <mergeCell ref="A14:B14"/>
    <mergeCell ref="K9:L9"/>
    <mergeCell ref="M9:N9"/>
    <mergeCell ref="O9:P9"/>
    <mergeCell ref="A10:B10"/>
    <mergeCell ref="A11:B11"/>
    <mergeCell ref="G9:H9"/>
    <mergeCell ref="I9:J9"/>
    <mergeCell ref="A12:B12"/>
  </mergeCells>
  <hyperlinks>
    <hyperlink ref="H1" location="Index" display="Back to Index" xr:uid="{00000000-0004-0000-0700-000000000000}"/>
  </hyperlinks>
  <pageMargins left="0.25" right="0.25" top="0.25" bottom="0.25" header="0.3" footer="0.3"/>
  <pageSetup scale="40" fitToHeight="0" orientation="landscape" r:id="rId1"/>
  <headerFooter>
    <oddFooter>&amp;L&amp;G&amp;RPage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Q34"/>
  <sheetViews>
    <sheetView zoomScale="90" zoomScaleNormal="90" workbookViewId="0">
      <selection activeCell="H25" sqref="H25"/>
    </sheetView>
  </sheetViews>
  <sheetFormatPr defaultColWidth="8.7109375" defaultRowHeight="12.75" x14ac:dyDescent="0.2"/>
  <cols>
    <col min="1" max="1" width="46.7109375" customWidth="1"/>
    <col min="2" max="2" width="11.5703125" customWidth="1"/>
    <col min="3" max="3" width="19.7109375" bestFit="1" customWidth="1"/>
    <col min="4" max="4" width="19.7109375" customWidth="1"/>
    <col min="5" max="5" width="15.7109375" bestFit="1" customWidth="1"/>
    <col min="6" max="6" width="19.7109375" customWidth="1"/>
    <col min="7" max="7" width="16.140625" bestFit="1" customWidth="1"/>
    <col min="8" max="8" width="19.7109375" customWidth="1"/>
    <col min="9" max="9" width="18" bestFit="1" customWidth="1"/>
    <col min="10" max="10" width="19.7109375" customWidth="1"/>
    <col min="11" max="11" width="18" customWidth="1"/>
    <col min="12" max="12" width="19.7109375" customWidth="1"/>
    <col min="13" max="13" width="18" bestFit="1" customWidth="1"/>
    <col min="14" max="14" width="19.7109375" customWidth="1"/>
    <col min="15" max="15" width="17" bestFit="1" customWidth="1"/>
    <col min="16" max="16" width="19.7109375" customWidth="1"/>
    <col min="17" max="17" width="14.28515625" bestFit="1" customWidth="1"/>
  </cols>
  <sheetData>
    <row r="1" spans="1:17" ht="46.5" customHeight="1" x14ac:dyDescent="0.25">
      <c r="A1" s="220" t="s">
        <v>129</v>
      </c>
      <c r="B1" s="247"/>
      <c r="C1" s="247"/>
      <c r="D1" s="247"/>
      <c r="E1" s="247"/>
      <c r="F1" s="247"/>
      <c r="G1" s="247"/>
      <c r="H1" s="248"/>
      <c r="I1" s="247"/>
      <c r="J1" s="247"/>
      <c r="K1" s="247"/>
      <c r="L1" s="247"/>
      <c r="M1" s="247"/>
      <c r="N1" s="247"/>
      <c r="O1" s="247"/>
      <c r="P1" s="247"/>
      <c r="Q1" s="247"/>
    </row>
    <row r="3" spans="1:17" ht="15" thickBot="1" x14ac:dyDescent="0.25">
      <c r="A3" s="2"/>
      <c r="B3" s="2"/>
      <c r="C3" s="2"/>
      <c r="D3" s="2"/>
      <c r="E3" s="2"/>
      <c r="F3" s="2"/>
      <c r="G3" s="2"/>
      <c r="H3" s="2"/>
      <c r="I3" s="2"/>
      <c r="J3" s="2"/>
      <c r="K3" s="2"/>
      <c r="L3" s="2"/>
      <c r="M3" s="2"/>
      <c r="N3" s="2"/>
      <c r="O3" s="2"/>
      <c r="P3" s="2"/>
      <c r="Q3" s="2"/>
    </row>
    <row r="4" spans="1:17" ht="15" x14ac:dyDescent="0.25">
      <c r="A4" s="222" t="s">
        <v>130</v>
      </c>
      <c r="B4" s="223"/>
      <c r="C4" s="223"/>
      <c r="D4" s="223"/>
      <c r="E4" s="223"/>
      <c r="F4" s="223"/>
      <c r="G4" s="223"/>
      <c r="H4" s="223"/>
      <c r="I4" s="223"/>
      <c r="J4" s="223"/>
      <c r="K4" s="223"/>
      <c r="L4" s="223"/>
      <c r="M4" s="223"/>
      <c r="N4" s="223"/>
      <c r="O4" s="223"/>
      <c r="P4" s="223"/>
      <c r="Q4" s="224"/>
    </row>
    <row r="5" spans="1:17" ht="14.25" x14ac:dyDescent="0.2">
      <c r="A5" s="12"/>
      <c r="B5" s="2"/>
      <c r="C5" s="2"/>
      <c r="D5" s="2"/>
      <c r="E5" s="2"/>
      <c r="F5" s="2"/>
      <c r="G5" s="2"/>
      <c r="H5" s="2"/>
      <c r="I5" s="2"/>
      <c r="J5" s="2"/>
      <c r="K5" s="2"/>
      <c r="L5" s="2"/>
      <c r="M5" s="2"/>
      <c r="N5" s="2"/>
      <c r="O5" s="2"/>
      <c r="P5" s="2"/>
      <c r="Q5" s="13"/>
    </row>
    <row r="6" spans="1:17" ht="15" x14ac:dyDescent="0.25">
      <c r="A6" s="241"/>
      <c r="B6" s="254"/>
      <c r="C6" s="225" t="s">
        <v>10</v>
      </c>
      <c r="D6" s="226"/>
      <c r="E6" s="225" t="s">
        <v>11</v>
      </c>
      <c r="F6" s="226"/>
      <c r="G6" s="225" t="s">
        <v>12</v>
      </c>
      <c r="H6" s="226"/>
      <c r="I6" s="225" t="s">
        <v>13</v>
      </c>
      <c r="J6" s="226"/>
      <c r="K6" s="225" t="s">
        <v>14</v>
      </c>
      <c r="L6" s="226"/>
      <c r="M6" s="225" t="s">
        <v>15</v>
      </c>
      <c r="N6" s="226"/>
      <c r="O6" s="225" t="s">
        <v>16</v>
      </c>
      <c r="P6" s="226"/>
      <c r="Q6" s="13"/>
    </row>
    <row r="7" spans="1:17" ht="15" hidden="1" customHeight="1" x14ac:dyDescent="0.25">
      <c r="A7" s="12"/>
      <c r="B7" s="14" t="s">
        <v>17</v>
      </c>
      <c r="C7" s="17" t="s">
        <v>18</v>
      </c>
      <c r="D7" s="18"/>
      <c r="E7" s="17" t="s">
        <v>19</v>
      </c>
      <c r="F7" s="18"/>
      <c r="G7" s="17" t="s">
        <v>20</v>
      </c>
      <c r="H7" s="18"/>
      <c r="I7" s="17" t="s">
        <v>21</v>
      </c>
      <c r="J7" s="18"/>
      <c r="K7" s="17" t="s">
        <v>22</v>
      </c>
      <c r="L7" s="18"/>
      <c r="M7" s="17" t="s">
        <v>23</v>
      </c>
      <c r="N7" s="18"/>
      <c r="O7" s="17" t="s">
        <v>24</v>
      </c>
      <c r="P7" s="18"/>
      <c r="Q7" s="13"/>
    </row>
    <row r="8" spans="1:17" s="26" customFormat="1" ht="15" x14ac:dyDescent="0.25">
      <c r="A8" s="241" t="s">
        <v>25</v>
      </c>
      <c r="B8" s="254"/>
      <c r="C8" s="22">
        <v>0</v>
      </c>
      <c r="D8" s="24">
        <v>25000</v>
      </c>
      <c r="E8" s="22">
        <v>25001</v>
      </c>
      <c r="F8" s="24">
        <v>75000</v>
      </c>
      <c r="G8" s="22">
        <v>75001</v>
      </c>
      <c r="H8" s="24">
        <v>125000</v>
      </c>
      <c r="I8" s="22">
        <v>125001</v>
      </c>
      <c r="J8" s="24">
        <v>175000</v>
      </c>
      <c r="K8" s="22">
        <v>175001</v>
      </c>
      <c r="L8" s="24">
        <v>225000</v>
      </c>
      <c r="M8" s="22">
        <v>225001</v>
      </c>
      <c r="N8" s="24">
        <v>275000</v>
      </c>
      <c r="O8" s="22">
        <v>275001</v>
      </c>
      <c r="P8" s="71">
        <f>O8+49999</f>
        <v>325000</v>
      </c>
      <c r="Q8" s="72"/>
    </row>
    <row r="9" spans="1:17" s="10" customFormat="1" ht="15" x14ac:dyDescent="0.25">
      <c r="A9" s="241" t="s">
        <v>54</v>
      </c>
      <c r="B9" s="254"/>
      <c r="C9" s="231">
        <v>0</v>
      </c>
      <c r="D9" s="233"/>
      <c r="E9" s="231">
        <v>0</v>
      </c>
      <c r="F9" s="233"/>
      <c r="G9" s="231">
        <v>0</v>
      </c>
      <c r="H9" s="233"/>
      <c r="I9" s="231">
        <v>0</v>
      </c>
      <c r="J9" s="233"/>
      <c r="K9" s="231">
        <v>0</v>
      </c>
      <c r="L9" s="233"/>
      <c r="M9" s="231">
        <v>0</v>
      </c>
      <c r="N9" s="233"/>
      <c r="O9" s="234">
        <v>0</v>
      </c>
      <c r="P9" s="235"/>
      <c r="Q9" s="78"/>
    </row>
    <row r="10" spans="1:17" s="9" customFormat="1" ht="15" x14ac:dyDescent="0.25">
      <c r="A10" s="261" t="s">
        <v>37</v>
      </c>
      <c r="B10" s="262"/>
      <c r="C10" s="31" t="s">
        <v>50</v>
      </c>
      <c r="D10" s="33" t="s">
        <v>51</v>
      </c>
      <c r="E10" s="31" t="s">
        <v>29</v>
      </c>
      <c r="F10" s="33" t="s">
        <v>31</v>
      </c>
      <c r="G10" s="31" t="s">
        <v>29</v>
      </c>
      <c r="H10" s="33" t="s">
        <v>31</v>
      </c>
      <c r="I10" s="31" t="s">
        <v>29</v>
      </c>
      <c r="J10" s="33" t="s">
        <v>31</v>
      </c>
      <c r="K10" s="60"/>
      <c r="L10" s="33" t="s">
        <v>31</v>
      </c>
      <c r="M10" s="31" t="s">
        <v>29</v>
      </c>
      <c r="N10" s="33" t="s">
        <v>31</v>
      </c>
      <c r="O10" s="31" t="s">
        <v>29</v>
      </c>
      <c r="P10" s="33" t="s">
        <v>31</v>
      </c>
      <c r="Q10" s="75"/>
    </row>
    <row r="11" spans="1:17" ht="14.25" x14ac:dyDescent="0.2">
      <c r="A11" s="250" t="s">
        <v>40</v>
      </c>
      <c r="B11" s="251"/>
      <c r="C11" s="80">
        <f>C31</f>
        <v>134.06194172035799</v>
      </c>
      <c r="D11" s="76">
        <f t="shared" ref="D11:D19" si="0">C11*C$9</f>
        <v>0</v>
      </c>
      <c r="E11" s="56">
        <f>ROUND(C11*E$32,4)</f>
        <v>134.06190000000001</v>
      </c>
      <c r="F11" s="76">
        <f t="shared" ref="F11:F19" si="1">E11*E$9</f>
        <v>0</v>
      </c>
      <c r="G11" s="56">
        <f>ROUND(E11*G$32,4)</f>
        <v>134.06190000000001</v>
      </c>
      <c r="H11" s="76">
        <f t="shared" ref="H11:H19" si="2">G11*G$9</f>
        <v>0</v>
      </c>
      <c r="I11" s="56">
        <f>ROUND(G11*I$32,4)</f>
        <v>134.06190000000001</v>
      </c>
      <c r="J11" s="76">
        <f t="shared" ref="J11:J19" si="3">I11*I$9</f>
        <v>0</v>
      </c>
      <c r="K11" s="56">
        <f>ROUND(I11*K$32,4)</f>
        <v>134.06190000000001</v>
      </c>
      <c r="L11" s="76">
        <f t="shared" ref="L11:L19" si="4">K11*K$9</f>
        <v>0</v>
      </c>
      <c r="M11" s="56">
        <f>ROUND(K11*M$32,4)</f>
        <v>134.06190000000001</v>
      </c>
      <c r="N11" s="76">
        <f t="shared" ref="N11:N19" si="5">M11*M$9</f>
        <v>0</v>
      </c>
      <c r="O11" s="56">
        <f>ROUND(M11*O$32,4)</f>
        <v>134.06190000000001</v>
      </c>
      <c r="P11" s="76">
        <f t="shared" ref="P11:P19" si="6">O11*O$9</f>
        <v>0</v>
      </c>
      <c r="Q11" s="13"/>
    </row>
    <row r="12" spans="1:17" ht="14.25" x14ac:dyDescent="0.2">
      <c r="A12" s="250" t="s">
        <v>41</v>
      </c>
      <c r="B12" s="251"/>
      <c r="C12" s="80">
        <f t="shared" ref="C12:C19" si="7">ROUND(C11*(1+$C$30),2)</f>
        <v>138.08000000000001</v>
      </c>
      <c r="D12" s="76">
        <f t="shared" si="0"/>
        <v>0</v>
      </c>
      <c r="E12" s="56">
        <f t="shared" ref="E12:E19" si="8">ROUND(E11*(1+$C$30),4)</f>
        <v>138.0838</v>
      </c>
      <c r="F12" s="76">
        <f t="shared" si="1"/>
        <v>0</v>
      </c>
      <c r="G12" s="56">
        <f t="shared" ref="G12:G19" si="9">ROUND(G11*(1+$C$30),4)</f>
        <v>138.0838</v>
      </c>
      <c r="H12" s="76">
        <f t="shared" si="2"/>
        <v>0</v>
      </c>
      <c r="I12" s="56">
        <f t="shared" ref="I12:I19" si="10">ROUND(I11*(1+$C$30),4)</f>
        <v>138.0838</v>
      </c>
      <c r="J12" s="76">
        <f t="shared" si="3"/>
        <v>0</v>
      </c>
      <c r="K12" s="56">
        <f t="shared" ref="K12:K19" si="11">ROUND(K11*(1+$C$30),4)</f>
        <v>138.0838</v>
      </c>
      <c r="L12" s="76">
        <f t="shared" si="4"/>
        <v>0</v>
      </c>
      <c r="M12" s="56">
        <f t="shared" ref="M12:M19" si="12">ROUND(M11*(1+$C$30),4)</f>
        <v>138.0838</v>
      </c>
      <c r="N12" s="76">
        <f t="shared" si="5"/>
        <v>0</v>
      </c>
      <c r="O12" s="56">
        <f t="shared" ref="O12:O19" si="13">ROUND(O11*(1+$C$30),4)</f>
        <v>138.0838</v>
      </c>
      <c r="P12" s="76">
        <f t="shared" si="6"/>
        <v>0</v>
      </c>
      <c r="Q12" s="13"/>
    </row>
    <row r="13" spans="1:17" ht="14.25" x14ac:dyDescent="0.2">
      <c r="A13" s="250" t="s">
        <v>42</v>
      </c>
      <c r="B13" s="251"/>
      <c r="C13" s="80">
        <f t="shared" si="7"/>
        <v>142.22</v>
      </c>
      <c r="D13" s="76">
        <f t="shared" si="0"/>
        <v>0</v>
      </c>
      <c r="E13" s="56">
        <f t="shared" si="8"/>
        <v>142.22630000000001</v>
      </c>
      <c r="F13" s="76">
        <f t="shared" si="1"/>
        <v>0</v>
      </c>
      <c r="G13" s="56">
        <f t="shared" si="9"/>
        <v>142.22630000000001</v>
      </c>
      <c r="H13" s="76">
        <f t="shared" si="2"/>
        <v>0</v>
      </c>
      <c r="I13" s="56">
        <f t="shared" si="10"/>
        <v>142.22630000000001</v>
      </c>
      <c r="J13" s="76">
        <f t="shared" si="3"/>
        <v>0</v>
      </c>
      <c r="K13" s="56">
        <f t="shared" si="11"/>
        <v>142.22630000000001</v>
      </c>
      <c r="L13" s="76">
        <f t="shared" si="4"/>
        <v>0</v>
      </c>
      <c r="M13" s="56">
        <f t="shared" si="12"/>
        <v>142.22630000000001</v>
      </c>
      <c r="N13" s="76">
        <f t="shared" si="5"/>
        <v>0</v>
      </c>
      <c r="O13" s="56">
        <f t="shared" si="13"/>
        <v>142.22630000000001</v>
      </c>
      <c r="P13" s="76">
        <f t="shared" si="6"/>
        <v>0</v>
      </c>
      <c r="Q13" s="13"/>
    </row>
    <row r="14" spans="1:17" ht="14.25" x14ac:dyDescent="0.2">
      <c r="A14" s="250" t="s">
        <v>43</v>
      </c>
      <c r="B14" s="251"/>
      <c r="C14" s="80">
        <f t="shared" si="7"/>
        <v>146.49</v>
      </c>
      <c r="D14" s="76">
        <f t="shared" si="0"/>
        <v>0</v>
      </c>
      <c r="E14" s="56">
        <f t="shared" si="8"/>
        <v>146.4931</v>
      </c>
      <c r="F14" s="76">
        <f t="shared" si="1"/>
        <v>0</v>
      </c>
      <c r="G14" s="56">
        <f t="shared" si="9"/>
        <v>146.4931</v>
      </c>
      <c r="H14" s="76">
        <f t="shared" si="2"/>
        <v>0</v>
      </c>
      <c r="I14" s="56">
        <f t="shared" si="10"/>
        <v>146.4931</v>
      </c>
      <c r="J14" s="76">
        <f t="shared" si="3"/>
        <v>0</v>
      </c>
      <c r="K14" s="56">
        <f t="shared" si="11"/>
        <v>146.4931</v>
      </c>
      <c r="L14" s="76">
        <f t="shared" si="4"/>
        <v>0</v>
      </c>
      <c r="M14" s="56">
        <f t="shared" si="12"/>
        <v>146.4931</v>
      </c>
      <c r="N14" s="76">
        <f t="shared" si="5"/>
        <v>0</v>
      </c>
      <c r="O14" s="56">
        <f t="shared" si="13"/>
        <v>146.4931</v>
      </c>
      <c r="P14" s="76">
        <f t="shared" si="6"/>
        <v>0</v>
      </c>
      <c r="Q14" s="13"/>
    </row>
    <row r="15" spans="1:17" ht="14.25" x14ac:dyDescent="0.2">
      <c r="A15" s="250" t="s">
        <v>44</v>
      </c>
      <c r="B15" s="251"/>
      <c r="C15" s="80">
        <f t="shared" si="7"/>
        <v>150.88</v>
      </c>
      <c r="D15" s="76">
        <f t="shared" si="0"/>
        <v>0</v>
      </c>
      <c r="E15" s="56">
        <f t="shared" si="8"/>
        <v>150.8879</v>
      </c>
      <c r="F15" s="76">
        <f t="shared" si="1"/>
        <v>0</v>
      </c>
      <c r="G15" s="56">
        <f t="shared" si="9"/>
        <v>150.8879</v>
      </c>
      <c r="H15" s="76">
        <f t="shared" si="2"/>
        <v>0</v>
      </c>
      <c r="I15" s="56">
        <f t="shared" si="10"/>
        <v>150.8879</v>
      </c>
      <c r="J15" s="76">
        <f t="shared" si="3"/>
        <v>0</v>
      </c>
      <c r="K15" s="56">
        <f t="shared" si="11"/>
        <v>150.8879</v>
      </c>
      <c r="L15" s="76">
        <f t="shared" si="4"/>
        <v>0</v>
      </c>
      <c r="M15" s="56">
        <f t="shared" si="12"/>
        <v>150.8879</v>
      </c>
      <c r="N15" s="76">
        <f t="shared" si="5"/>
        <v>0</v>
      </c>
      <c r="O15" s="56">
        <f t="shared" si="13"/>
        <v>150.8879</v>
      </c>
      <c r="P15" s="76">
        <f t="shared" si="6"/>
        <v>0</v>
      </c>
      <c r="Q15" s="13"/>
    </row>
    <row r="16" spans="1:17" ht="14.25" x14ac:dyDescent="0.2">
      <c r="A16" s="250" t="s">
        <v>45</v>
      </c>
      <c r="B16" s="251"/>
      <c r="C16" s="80">
        <f t="shared" si="7"/>
        <v>155.41</v>
      </c>
      <c r="D16" s="76">
        <f t="shared" si="0"/>
        <v>0</v>
      </c>
      <c r="E16" s="56">
        <f t="shared" si="8"/>
        <v>155.4145</v>
      </c>
      <c r="F16" s="76">
        <f t="shared" si="1"/>
        <v>0</v>
      </c>
      <c r="G16" s="56">
        <f t="shared" si="9"/>
        <v>155.4145</v>
      </c>
      <c r="H16" s="76">
        <f t="shared" si="2"/>
        <v>0</v>
      </c>
      <c r="I16" s="56">
        <f t="shared" si="10"/>
        <v>155.4145</v>
      </c>
      <c r="J16" s="76">
        <f t="shared" si="3"/>
        <v>0</v>
      </c>
      <c r="K16" s="56">
        <f t="shared" si="11"/>
        <v>155.4145</v>
      </c>
      <c r="L16" s="76">
        <f t="shared" si="4"/>
        <v>0</v>
      </c>
      <c r="M16" s="56">
        <f t="shared" si="12"/>
        <v>155.4145</v>
      </c>
      <c r="N16" s="76">
        <f t="shared" si="5"/>
        <v>0</v>
      </c>
      <c r="O16" s="56">
        <f t="shared" si="13"/>
        <v>155.4145</v>
      </c>
      <c r="P16" s="76">
        <f t="shared" si="6"/>
        <v>0</v>
      </c>
      <c r="Q16" s="13"/>
    </row>
    <row r="17" spans="1:17" ht="14.25" x14ac:dyDescent="0.2">
      <c r="A17" s="250" t="s">
        <v>46</v>
      </c>
      <c r="B17" s="251"/>
      <c r="C17" s="80">
        <f t="shared" si="7"/>
        <v>160.07</v>
      </c>
      <c r="D17" s="76">
        <f t="shared" si="0"/>
        <v>0</v>
      </c>
      <c r="E17" s="56">
        <f t="shared" si="8"/>
        <v>160.07689999999999</v>
      </c>
      <c r="F17" s="76">
        <f t="shared" si="1"/>
        <v>0</v>
      </c>
      <c r="G17" s="56">
        <f t="shared" si="9"/>
        <v>160.07689999999999</v>
      </c>
      <c r="H17" s="76">
        <f t="shared" si="2"/>
        <v>0</v>
      </c>
      <c r="I17" s="56">
        <f t="shared" si="10"/>
        <v>160.07689999999999</v>
      </c>
      <c r="J17" s="76">
        <f t="shared" si="3"/>
        <v>0</v>
      </c>
      <c r="K17" s="56">
        <f t="shared" si="11"/>
        <v>160.07689999999999</v>
      </c>
      <c r="L17" s="76">
        <f t="shared" si="4"/>
        <v>0</v>
      </c>
      <c r="M17" s="56">
        <f t="shared" si="12"/>
        <v>160.07689999999999</v>
      </c>
      <c r="N17" s="76">
        <f t="shared" si="5"/>
        <v>0</v>
      </c>
      <c r="O17" s="56">
        <f t="shared" si="13"/>
        <v>160.07689999999999</v>
      </c>
      <c r="P17" s="76">
        <f t="shared" si="6"/>
        <v>0</v>
      </c>
      <c r="Q17" s="13"/>
    </row>
    <row r="18" spans="1:17" ht="14.25" x14ac:dyDescent="0.2">
      <c r="A18" s="250" t="s">
        <v>47</v>
      </c>
      <c r="B18" s="251"/>
      <c r="C18" s="80">
        <f t="shared" si="7"/>
        <v>164.87</v>
      </c>
      <c r="D18" s="76">
        <f t="shared" si="0"/>
        <v>0</v>
      </c>
      <c r="E18" s="56">
        <f t="shared" si="8"/>
        <v>164.8792</v>
      </c>
      <c r="F18" s="76">
        <f t="shared" si="1"/>
        <v>0</v>
      </c>
      <c r="G18" s="56">
        <f t="shared" si="9"/>
        <v>164.8792</v>
      </c>
      <c r="H18" s="76">
        <f t="shared" si="2"/>
        <v>0</v>
      </c>
      <c r="I18" s="56">
        <f t="shared" si="10"/>
        <v>164.8792</v>
      </c>
      <c r="J18" s="76">
        <f t="shared" si="3"/>
        <v>0</v>
      </c>
      <c r="K18" s="56">
        <f t="shared" si="11"/>
        <v>164.8792</v>
      </c>
      <c r="L18" s="76">
        <f t="shared" si="4"/>
        <v>0</v>
      </c>
      <c r="M18" s="56">
        <f t="shared" si="12"/>
        <v>164.8792</v>
      </c>
      <c r="N18" s="76">
        <f t="shared" si="5"/>
        <v>0</v>
      </c>
      <c r="O18" s="56">
        <f t="shared" si="13"/>
        <v>164.8792</v>
      </c>
      <c r="P18" s="76">
        <f t="shared" si="6"/>
        <v>0</v>
      </c>
      <c r="Q18" s="13"/>
    </row>
    <row r="19" spans="1:17" ht="14.25" x14ac:dyDescent="0.2">
      <c r="A19" s="250" t="s">
        <v>48</v>
      </c>
      <c r="B19" s="251"/>
      <c r="C19" s="80">
        <f t="shared" si="7"/>
        <v>169.82</v>
      </c>
      <c r="D19" s="76">
        <f t="shared" si="0"/>
        <v>0</v>
      </c>
      <c r="E19" s="56">
        <f t="shared" si="8"/>
        <v>169.82560000000001</v>
      </c>
      <c r="F19" s="76">
        <f t="shared" si="1"/>
        <v>0</v>
      </c>
      <c r="G19" s="56">
        <f t="shared" si="9"/>
        <v>169.82560000000001</v>
      </c>
      <c r="H19" s="76">
        <f t="shared" si="2"/>
        <v>0</v>
      </c>
      <c r="I19" s="56">
        <f t="shared" si="10"/>
        <v>169.82560000000001</v>
      </c>
      <c r="J19" s="76">
        <f t="shared" si="3"/>
        <v>0</v>
      </c>
      <c r="K19" s="56">
        <f t="shared" si="11"/>
        <v>169.82560000000001</v>
      </c>
      <c r="L19" s="76">
        <f t="shared" si="4"/>
        <v>0</v>
      </c>
      <c r="M19" s="56">
        <f t="shared" si="12"/>
        <v>169.82560000000001</v>
      </c>
      <c r="N19" s="76">
        <f t="shared" si="5"/>
        <v>0</v>
      </c>
      <c r="O19" s="56">
        <f t="shared" si="13"/>
        <v>169.82560000000001</v>
      </c>
      <c r="P19" s="76">
        <f t="shared" si="6"/>
        <v>0</v>
      </c>
      <c r="Q19" s="13"/>
    </row>
    <row r="20" spans="1:17" s="48" customFormat="1" ht="15" x14ac:dyDescent="0.25">
      <c r="A20" s="241" t="s">
        <v>132</v>
      </c>
      <c r="B20" s="242"/>
      <c r="C20" s="62"/>
      <c r="D20" s="63">
        <f>SUM(D11:D19)</f>
        <v>0</v>
      </c>
      <c r="E20" s="44"/>
      <c r="F20" s="46">
        <f>SUM(F11:F19)</f>
        <v>0</v>
      </c>
      <c r="G20" s="44"/>
      <c r="H20" s="46">
        <f>SUM(H11:H19)</f>
        <v>0</v>
      </c>
      <c r="I20" s="44"/>
      <c r="J20" s="46">
        <f>SUM(J11:J19)</f>
        <v>0</v>
      </c>
      <c r="K20" s="44"/>
      <c r="L20" s="46">
        <f>SUM(L11:L19)</f>
        <v>0</v>
      </c>
      <c r="M20" s="44"/>
      <c r="N20" s="46">
        <f>SUM(N11:N19)</f>
        <v>0</v>
      </c>
      <c r="O20" s="44"/>
      <c r="P20" s="46">
        <f>SUM(P11:P19)</f>
        <v>0</v>
      </c>
      <c r="Q20" s="77"/>
    </row>
    <row r="21" spans="1:17" ht="15" thickBot="1" x14ac:dyDescent="0.25">
      <c r="A21" s="12"/>
      <c r="B21" s="2"/>
      <c r="C21" s="2"/>
      <c r="D21" s="2"/>
      <c r="E21" s="2"/>
      <c r="F21" s="2"/>
      <c r="G21" s="2"/>
      <c r="H21" s="2"/>
      <c r="I21" s="2"/>
      <c r="J21" s="2"/>
      <c r="K21" s="2"/>
      <c r="L21" s="2"/>
      <c r="M21" s="2"/>
      <c r="N21" s="2"/>
      <c r="O21" s="2"/>
      <c r="P21" s="2"/>
      <c r="Q21" s="13"/>
    </row>
    <row r="22" spans="1:17" ht="15.75" thickBot="1" x14ac:dyDescent="0.3">
      <c r="A22" s="229" t="s">
        <v>131</v>
      </c>
      <c r="B22" s="230"/>
      <c r="C22" s="82">
        <f>SUM(D20:P20)</f>
        <v>0</v>
      </c>
      <c r="D22" s="43"/>
      <c r="E22" s="2"/>
      <c r="F22" s="2"/>
      <c r="G22" s="2"/>
      <c r="H22" s="2"/>
      <c r="I22" s="2"/>
      <c r="J22" s="2"/>
      <c r="K22" s="2"/>
      <c r="L22" s="2"/>
      <c r="M22" s="2"/>
      <c r="N22" s="2"/>
      <c r="O22" s="2"/>
      <c r="P22" s="2"/>
      <c r="Q22" s="13"/>
    </row>
    <row r="23" spans="1:17" ht="14.25" x14ac:dyDescent="0.2">
      <c r="A23" s="12"/>
      <c r="B23" s="2"/>
      <c r="C23" s="2"/>
      <c r="D23" s="2"/>
      <c r="E23" s="2"/>
      <c r="F23" s="2"/>
      <c r="G23" s="2"/>
      <c r="H23" s="2"/>
      <c r="I23" s="2"/>
      <c r="J23" s="2"/>
      <c r="K23" s="2"/>
      <c r="L23" s="2"/>
      <c r="M23" s="2"/>
      <c r="N23" s="2"/>
      <c r="O23" s="2"/>
      <c r="P23" s="2"/>
      <c r="Q23" s="13"/>
    </row>
    <row r="24" spans="1:17" ht="15" x14ac:dyDescent="0.25">
      <c r="A24" s="90" t="s">
        <v>111</v>
      </c>
      <c r="B24" s="91"/>
      <c r="C24" s="2"/>
      <c r="D24" s="2"/>
      <c r="E24" s="2"/>
      <c r="F24" s="2"/>
      <c r="G24" s="2"/>
      <c r="H24" s="2"/>
      <c r="I24" s="2"/>
      <c r="J24" s="2"/>
      <c r="K24" s="2"/>
      <c r="L24" s="2"/>
      <c r="M24" s="2"/>
      <c r="N24" s="2"/>
      <c r="O24" s="2"/>
      <c r="P24" s="2"/>
      <c r="Q24" s="13"/>
    </row>
    <row r="25" spans="1:17" ht="15" x14ac:dyDescent="0.25">
      <c r="A25" s="92" t="s">
        <v>112</v>
      </c>
      <c r="B25" s="93">
        <v>0</v>
      </c>
      <c r="C25" s="2"/>
      <c r="D25" s="2"/>
      <c r="E25" s="2"/>
      <c r="F25" s="2"/>
      <c r="G25" s="2"/>
      <c r="H25" s="2"/>
      <c r="I25" s="2"/>
      <c r="J25" s="2"/>
      <c r="K25" s="2"/>
      <c r="L25" s="2"/>
      <c r="M25" s="2"/>
      <c r="N25" s="2"/>
      <c r="O25" s="2"/>
      <c r="P25" s="2"/>
      <c r="Q25" s="13"/>
    </row>
    <row r="26" spans="1:17" ht="15" x14ac:dyDescent="0.25">
      <c r="A26" s="92" t="s">
        <v>113</v>
      </c>
      <c r="B26" s="93">
        <v>0</v>
      </c>
      <c r="C26" s="2"/>
      <c r="D26" s="2"/>
      <c r="E26" s="2"/>
      <c r="F26" s="2"/>
      <c r="G26" s="2"/>
      <c r="H26" s="2"/>
      <c r="I26" s="2"/>
      <c r="J26" s="2"/>
      <c r="K26" s="2"/>
      <c r="L26" s="2"/>
      <c r="M26" s="2"/>
      <c r="N26" s="2"/>
      <c r="O26" s="2"/>
      <c r="P26" s="2"/>
      <c r="Q26" s="13"/>
    </row>
    <row r="27" spans="1:17" ht="15" x14ac:dyDescent="0.25">
      <c r="A27" s="92" t="s">
        <v>114</v>
      </c>
      <c r="B27" s="93">
        <f>B26-B25</f>
        <v>0</v>
      </c>
      <c r="C27" s="2"/>
      <c r="D27" s="2"/>
      <c r="E27" s="2"/>
      <c r="F27" s="2"/>
      <c r="G27" s="2"/>
      <c r="H27" s="2"/>
      <c r="I27" s="2"/>
      <c r="J27" s="2"/>
      <c r="K27" s="2"/>
      <c r="L27" s="2"/>
      <c r="M27" s="2"/>
      <c r="N27" s="2"/>
      <c r="O27" s="2"/>
      <c r="P27" s="2"/>
      <c r="Q27" s="13"/>
    </row>
    <row r="28" spans="1:17" ht="15" x14ac:dyDescent="0.25">
      <c r="A28" s="92" t="s">
        <v>116</v>
      </c>
      <c r="B28" s="93">
        <f>IFERROR(B27/B25,0)</f>
        <v>0</v>
      </c>
      <c r="C28" s="2"/>
      <c r="D28" s="2"/>
      <c r="E28" s="2"/>
      <c r="F28" s="2"/>
      <c r="G28" s="2"/>
      <c r="H28" s="2"/>
      <c r="I28" s="2"/>
      <c r="J28" s="2"/>
      <c r="K28" s="2"/>
      <c r="L28" s="2"/>
      <c r="M28" s="2"/>
      <c r="N28" s="2"/>
      <c r="O28" s="2"/>
      <c r="P28" s="2"/>
      <c r="Q28" s="13"/>
    </row>
    <row r="29" spans="1:17" ht="15" x14ac:dyDescent="0.25">
      <c r="A29" s="92" t="s">
        <v>115</v>
      </c>
      <c r="B29" s="93">
        <f>B28+1</f>
        <v>1</v>
      </c>
      <c r="C29" s="2"/>
      <c r="D29" s="2"/>
      <c r="E29" s="2"/>
      <c r="F29" s="2"/>
      <c r="G29" s="2"/>
      <c r="H29" s="2"/>
      <c r="I29" s="2"/>
      <c r="J29" s="2"/>
      <c r="K29" s="2"/>
      <c r="L29" s="2"/>
      <c r="M29" s="2"/>
      <c r="N29" s="2"/>
      <c r="O29" s="2"/>
      <c r="P29" s="2"/>
      <c r="Q29" s="13"/>
    </row>
    <row r="30" spans="1:17" ht="14.25" x14ac:dyDescent="0.2">
      <c r="A30" s="36" t="s">
        <v>34</v>
      </c>
      <c r="B30" s="2"/>
      <c r="C30" s="49">
        <v>0.03</v>
      </c>
      <c r="D30" s="2"/>
      <c r="E30" s="2"/>
      <c r="F30" s="2"/>
      <c r="G30" s="2"/>
      <c r="H30" s="2"/>
      <c r="I30" s="2"/>
      <c r="J30" s="2"/>
      <c r="K30" s="2"/>
      <c r="L30" s="2"/>
      <c r="M30" s="2"/>
      <c r="N30" s="2"/>
      <c r="O30" s="2"/>
      <c r="P30" s="2"/>
      <c r="Q30" s="13"/>
    </row>
    <row r="31" spans="1:17" ht="14.25" x14ac:dyDescent="0.2">
      <c r="A31" s="36" t="s">
        <v>53</v>
      </c>
      <c r="B31" s="2"/>
      <c r="C31" s="50">
        <f>(134.061941720358)*B29</f>
        <v>134.06194172035799</v>
      </c>
      <c r="D31" s="65"/>
      <c r="E31" s="65"/>
      <c r="F31" s="2"/>
      <c r="G31" s="2"/>
      <c r="H31" s="2"/>
      <c r="I31" s="2"/>
      <c r="J31" s="2"/>
      <c r="K31" s="2"/>
      <c r="L31" s="2"/>
      <c r="M31" s="2"/>
      <c r="N31" s="2"/>
      <c r="O31" s="2"/>
      <c r="P31" s="2"/>
      <c r="Q31" s="13"/>
    </row>
    <row r="32" spans="1:17" ht="15" thickBot="1" x14ac:dyDescent="0.25">
      <c r="A32" s="69" t="s">
        <v>36</v>
      </c>
      <c r="B32" s="53"/>
      <c r="C32" s="53"/>
      <c r="D32" s="53"/>
      <c r="E32" s="57">
        <v>1</v>
      </c>
      <c r="F32" s="53"/>
      <c r="G32" s="57">
        <v>1</v>
      </c>
      <c r="H32" s="53"/>
      <c r="I32" s="57">
        <v>1</v>
      </c>
      <c r="J32" s="53"/>
      <c r="K32" s="57">
        <v>1</v>
      </c>
      <c r="L32" s="53"/>
      <c r="M32" s="57">
        <v>1</v>
      </c>
      <c r="N32" s="53"/>
      <c r="O32" s="57">
        <v>1</v>
      </c>
      <c r="P32" s="53"/>
      <c r="Q32" s="55"/>
    </row>
    <row r="34" spans="1:17" ht="66" customHeight="1" x14ac:dyDescent="0.2">
      <c r="A34" s="252" t="s">
        <v>128</v>
      </c>
      <c r="B34" s="253"/>
      <c r="C34" s="253"/>
      <c r="D34" s="253"/>
      <c r="E34" s="253"/>
      <c r="F34" s="253"/>
      <c r="G34" s="253"/>
      <c r="H34" s="253"/>
      <c r="I34" s="253"/>
      <c r="J34" s="253"/>
      <c r="K34" s="253"/>
      <c r="L34" s="253"/>
      <c r="M34" s="253"/>
      <c r="N34" s="253"/>
      <c r="O34" s="253"/>
      <c r="P34" s="253"/>
      <c r="Q34" s="253"/>
    </row>
  </sheetData>
  <mergeCells count="32">
    <mergeCell ref="A19:B19"/>
    <mergeCell ref="A20:B20"/>
    <mergeCell ref="A22:B22"/>
    <mergeCell ref="A18:B18"/>
    <mergeCell ref="K9:L9"/>
    <mergeCell ref="A13:B13"/>
    <mergeCell ref="A14:B14"/>
    <mergeCell ref="A15:B15"/>
    <mergeCell ref="A16:B16"/>
    <mergeCell ref="A17:B17"/>
    <mergeCell ref="M9:N9"/>
    <mergeCell ref="O9:P9"/>
    <mergeCell ref="A10:B10"/>
    <mergeCell ref="A11:B11"/>
    <mergeCell ref="A12:B12"/>
    <mergeCell ref="I9:J9"/>
    <mergeCell ref="A34:Q34"/>
    <mergeCell ref="A1:Q1"/>
    <mergeCell ref="A4:Q4"/>
    <mergeCell ref="A6:B6"/>
    <mergeCell ref="C6:D6"/>
    <mergeCell ref="E6:F6"/>
    <mergeCell ref="G6:H6"/>
    <mergeCell ref="I6:J6"/>
    <mergeCell ref="K6:L6"/>
    <mergeCell ref="M6:N6"/>
    <mergeCell ref="O6:P6"/>
    <mergeCell ref="A8:B8"/>
    <mergeCell ref="A9:B9"/>
    <mergeCell ref="C9:D9"/>
    <mergeCell ref="E9:F9"/>
    <mergeCell ref="G9:H9"/>
  </mergeCells>
  <hyperlinks>
    <hyperlink ref="H1" location="Index" display="Back to Index" xr:uid="{00000000-0004-0000-0800-000000000000}"/>
  </hyperlinks>
  <pageMargins left="0.25" right="0.25" top="0.25" bottom="0.25" header="0.3" footer="0.3"/>
  <pageSetup scale="40" fitToHeight="0" orientation="landscape" r:id="rId1"/>
  <headerFooter>
    <oddFooter>&amp;L&amp;G&amp;RPage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EBD957DBC8BD45A2C8D9D354264F52" ma:contentTypeVersion="15" ma:contentTypeDescription="Create a new document." ma:contentTypeScope="" ma:versionID="dcab22c2d6569758c2cdbfae147de514">
  <xsd:schema xmlns:xsd="http://www.w3.org/2001/XMLSchema" xmlns:xs="http://www.w3.org/2001/XMLSchema" xmlns:p="http://schemas.microsoft.com/office/2006/metadata/properties" xmlns:ns2="a16c389b-a32a-48d1-84cb-b223e2f54015" xmlns:ns3="2ba59a6a-8211-4286-98ec-3c72a55bbec2" targetNamespace="http://schemas.microsoft.com/office/2006/metadata/properties" ma:root="true" ma:fieldsID="07e0cdabad3d9fb8b72638e225d34ff3" ns2:_="" ns3:_="">
    <xsd:import namespace="a16c389b-a32a-48d1-84cb-b223e2f54015"/>
    <xsd:import namespace="2ba59a6a-8211-4286-98ec-3c72a55bbec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c389b-a32a-48d1-84cb-b223e2f54015"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8"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a59a6a-8211-4286-98ec-3c72a55bbec2"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E1439D-B2CB-4432-B6F0-7126F44D9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c389b-a32a-48d1-84cb-b223e2f54015"/>
    <ds:schemaRef ds:uri="2ba59a6a-8211-4286-98ec-3c72a55bb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D89626-9587-48A2-BEEE-22B29F02F244}">
  <ds:schemaRefs>
    <ds:schemaRef ds:uri="http://schemas.microsoft.com/sharepoint/v3/contenttype/forms"/>
  </ds:schemaRefs>
</ds:datastoreItem>
</file>

<file path=customXml/itemProps3.xml><?xml version="1.0" encoding="utf-8"?>
<ds:datastoreItem xmlns:ds="http://schemas.openxmlformats.org/officeDocument/2006/customXml" ds:itemID="{D6CF60B1-9674-4A9D-A1D4-5F95DB915BFC}">
  <ds:schemaRefs>
    <ds:schemaRef ds:uri="http://schemas.microsoft.com/sharepoint/v3"/>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http://schemas.microsoft.com/sharepoint/v3/fields"/>
    <ds:schemaRef ds:uri="96cf814b-1840-4f9a-b57d-88185cfe0035"/>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37</vt:i4>
      </vt:variant>
    </vt:vector>
  </HeadingPairs>
  <TitlesOfParts>
    <vt:vector size="54" baseType="lpstr">
      <vt:lpstr>Sch A - Cost Summary</vt:lpstr>
      <vt:lpstr>Sch B- DDI Pmnt Milestone</vt:lpstr>
      <vt:lpstr>Sch C - Cost of Ops</vt:lpstr>
      <vt:lpstr>Sch D - Enhcmt Pool Hrs</vt:lpstr>
      <vt:lpstr>Sch E - Resource Hourly Rates</vt:lpstr>
      <vt:lpstr>F-1 Provider Svcs DDI Costs</vt:lpstr>
      <vt:lpstr>F-2 Provider Svcs Ops Costs</vt:lpstr>
      <vt:lpstr>F-3 Provider Svcs DDI Pool Cost</vt:lpstr>
      <vt:lpstr>F-4 Provider Svcs Ops Pool</vt:lpstr>
      <vt:lpstr>G-1 Provider Svcs DDI Cost</vt:lpstr>
      <vt:lpstr>G-2 Provider Svcs Ops Cost</vt:lpstr>
      <vt:lpstr>G-3 Provider Svcs DDI Pool</vt:lpstr>
      <vt:lpstr>G-4 Provider Svcs Ops Pool</vt:lpstr>
      <vt:lpstr>H-1 Provider Svcs DDI Cost</vt:lpstr>
      <vt:lpstr>H-2 Provider Svcs Ops Cost</vt:lpstr>
      <vt:lpstr>H-3 Provider Svcs DDI Pool</vt:lpstr>
      <vt:lpstr>H-4 Provider Svcs Ops Pool</vt:lpstr>
      <vt:lpstr>'F-1 Provider Svcs DDI Costs'!Print_Area</vt:lpstr>
      <vt:lpstr>'F-2 Provider Svcs Ops Costs'!Print_Area</vt:lpstr>
      <vt:lpstr>'F-3 Provider Svcs DDI Pool Cost'!Print_Area</vt:lpstr>
      <vt:lpstr>'F-4 Provider Svcs Ops Pool'!Print_Area</vt:lpstr>
      <vt:lpstr>'G-1 Provider Svcs DDI Cost'!Print_Area</vt:lpstr>
      <vt:lpstr>'G-2 Provider Svcs Ops Cost'!Print_Area</vt:lpstr>
      <vt:lpstr>'G-3 Provider Svcs DDI Pool'!Print_Area</vt:lpstr>
      <vt:lpstr>'G-4 Provider Svcs Ops Pool'!Print_Area</vt:lpstr>
      <vt:lpstr>'H-1 Provider Svcs DDI Cost'!Print_Area</vt:lpstr>
      <vt:lpstr>'H-2 Provider Svcs Ops Cost'!Print_Area</vt:lpstr>
      <vt:lpstr>'H-3 Provider Svcs DDI Pool'!Print_Area</vt:lpstr>
      <vt:lpstr>'H-4 Provider Svcs Ops Pool'!Print_Area</vt:lpstr>
      <vt:lpstr>'Sch C - Cost of Ops'!Print_Area</vt:lpstr>
      <vt:lpstr>'Sch D - Enhcmt Pool Hrs'!Print_Area</vt:lpstr>
      <vt:lpstr>'F-1 Provider Svcs DDI Costs'!Print_Titles</vt:lpstr>
      <vt:lpstr>'F-4 Provider Svcs Ops Pool'!Print_Titles</vt:lpstr>
      <vt:lpstr>'G-1 Provider Svcs DDI Cost'!Print_Titles</vt:lpstr>
      <vt:lpstr>'G-4 Provider Svcs Ops Pool'!Print_Titles</vt:lpstr>
      <vt:lpstr>'H-1 Provider Svcs DDI Cost'!Print_Titles</vt:lpstr>
      <vt:lpstr>'H-4 Provider Svcs Ops Pool'!Print_Titles</vt:lpstr>
      <vt:lpstr>'Sch B- DDI Pmnt Milestone'!Print_Titles</vt:lpstr>
      <vt:lpstr>'Sch C - Cost of Ops'!Print_Titles</vt:lpstr>
      <vt:lpstr>'Sch D - Enhcmt Pool Hrs'!Print_Titles</vt:lpstr>
      <vt:lpstr>'Sch E - Resource Hourly Rates'!Print_Titles</vt:lpstr>
      <vt:lpstr>Start82</vt:lpstr>
      <vt:lpstr>Start83</vt:lpstr>
      <vt:lpstr>Start84</vt:lpstr>
      <vt:lpstr>Start85</vt:lpstr>
      <vt:lpstr>Start86</vt:lpstr>
      <vt:lpstr>Start87</vt:lpstr>
      <vt:lpstr>Start88</vt:lpstr>
      <vt:lpstr>Start89</vt:lpstr>
      <vt:lpstr>Start90</vt:lpstr>
      <vt:lpstr>Start91</vt:lpstr>
      <vt:lpstr>Start92</vt:lpstr>
      <vt:lpstr>Start93</vt:lpstr>
      <vt:lpstr>Start94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Proctor, Dana</dc:creator>
  <cp:lastModifiedBy>Anna Totzke</cp:lastModifiedBy>
  <cp:lastPrinted>2018-12-05T18:40:05Z</cp:lastPrinted>
  <dcterms:created xsi:type="dcterms:W3CDTF">2018-02-22T19:23:10Z</dcterms:created>
  <dcterms:modified xsi:type="dcterms:W3CDTF">2025-09-12T14:16:49Z</dcterms:modified>
  <cp:contentStatus>TX65_Completed Word File</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0x010100B5EBD957DBC8BD45A2C8D9D354264F52</vt:lpwstr>
  </property>
</Properties>
</file>