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fplanas\Downloads\"/>
    </mc:Choice>
  </mc:AlternateContent>
  <xr:revisionPtr revIDLastSave="0" documentId="8_{18299E70-0C95-407B-AB35-B61E5B55CA9C}" xr6:coauthVersionLast="47" xr6:coauthVersionMax="47" xr10:uidLastSave="{00000000-0000-0000-0000-000000000000}"/>
  <bookViews>
    <workbookView xWindow="-120" yWindow="-120" windowWidth="20730" windowHeight="11160" tabRatio="773" firstSheet="1" activeTab="2" xr2:uid="{00000000-000D-0000-FFFF-FFFF00000000}"/>
  </bookViews>
  <sheets>
    <sheet name="BD OFICIAL (2)" sheetId="54" r:id="rId1"/>
    <sheet name="1 Apertura de Cursos" sheetId="15" r:id="rId2"/>
    <sheet name="2 Admisibilidad" sheetId="50" r:id="rId3"/>
    <sheet name="3 Planilla Preadjudicación OTIC" sheetId="49" r:id="rId4"/>
    <sheet name="4 Planilla de revisión" sheetId="48" r:id="rId5"/>
    <sheet name="OTIC RUT" sheetId="7" state="hidden" r:id="rId6"/>
    <sheet name="EXPERIENCIA" sheetId="40" r:id="rId7"/>
    <sheet name="BD OFICIAL" sheetId="53" r:id="rId8"/>
    <sheet name="5 TD" sheetId="37" r:id="rId9"/>
    <sheet name="COMPORTAMIENTO" sheetId="41" r:id="rId10"/>
    <sheet name="ADJUDICA" sheetId="17" r:id="rId11"/>
    <sheet name="DINAMICA" sheetId="45" r:id="rId12"/>
    <sheet name="MONTO MAXIMO" sheetId="24" r:id="rId13"/>
  </sheets>
  <externalReferences>
    <externalReference r:id="rId14"/>
  </externalReferences>
  <definedNames>
    <definedName name="_xlnm._FilterDatabase" localSheetId="1" hidden="1">'1 Apertura de Cursos'!$B$3:$F$92</definedName>
    <definedName name="_xlnm._FilterDatabase" localSheetId="3" hidden="1">'3 Planilla Preadjudicación OTIC'!$A$1:$BW$51</definedName>
    <definedName name="_xlnm._FilterDatabase" localSheetId="4" hidden="1">'4 Planilla de revisión'!$A$1:$EP$51</definedName>
    <definedName name="_xlnm._FilterDatabase" localSheetId="10" hidden="1">ADJUDICA!$A$1:$DT$259</definedName>
    <definedName name="_xlnm._FilterDatabase" localSheetId="7" hidden="1">'BD OFICIAL'!$A$1:$AX$396</definedName>
    <definedName name="_xlnm._FilterDatabase" localSheetId="0" hidden="1">'BD OFICIAL (2)'!$A$1:$AW$1</definedName>
    <definedName name="_xlnm._FilterDatabase" localSheetId="9" hidden="1">COMPORTAMIENTO!$A$1:$H$171</definedName>
    <definedName name="_xlnm._FilterDatabase" localSheetId="11" hidden="1">DINAMICA!$A$62:$F$119</definedName>
    <definedName name="_xlnm._FilterDatabase" localSheetId="6" hidden="1">EXPERIENCIA!$A$1:$C$509</definedName>
    <definedName name="cursos" localSheetId="3">#REF!</definedName>
    <definedName name="cursos">#REF!</definedName>
    <definedName name="otec" localSheetId="3">#REF!</definedName>
    <definedName name="otec">#REF!</definedName>
    <definedName name="rut" localSheetId="3">#REF!</definedName>
    <definedName name="rut">#REF!</definedName>
  </definedNames>
  <calcPr calcId="191029"/>
  <pivotCaches>
    <pivotCache cacheId="0" r:id="rId15"/>
    <pivotCache cacheId="1" r:id="rId16"/>
    <pivotCache cacheId="2" r:id="rId17"/>
    <pivotCache cacheId="3" r:id="rId18"/>
    <pivotCache cacheId="4" r:id="rId19"/>
    <pivotCache cacheId="5" r:id="rId2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N396" i="53" l="1"/>
  <c r="AN395" i="53"/>
  <c r="AN394" i="53"/>
  <c r="AN393" i="53"/>
  <c r="AN392" i="53"/>
  <c r="AN391" i="53"/>
  <c r="AN390" i="53"/>
  <c r="AN389" i="53"/>
  <c r="AN388" i="53"/>
  <c r="AN387" i="53"/>
  <c r="AN386" i="53"/>
  <c r="AN385" i="53"/>
  <c r="AN384" i="53"/>
  <c r="AN383" i="53"/>
  <c r="AN382" i="53"/>
  <c r="AN381" i="53"/>
  <c r="AN380" i="53"/>
  <c r="AN379" i="53"/>
  <c r="AN378" i="53"/>
  <c r="AN377" i="53"/>
  <c r="AN376" i="53"/>
  <c r="AN375" i="53"/>
  <c r="AN374" i="53"/>
  <c r="AN373" i="53"/>
  <c r="AN372" i="53"/>
  <c r="AN371" i="53"/>
  <c r="AN370" i="53"/>
  <c r="AN369" i="53"/>
  <c r="AN368" i="53"/>
  <c r="AN367" i="53"/>
  <c r="AN366" i="53"/>
  <c r="AN365" i="53"/>
  <c r="AN364" i="53"/>
  <c r="AN363" i="53"/>
  <c r="AN362" i="53"/>
  <c r="AN361" i="53"/>
  <c r="AN360" i="53"/>
  <c r="AN359" i="53"/>
  <c r="AN358" i="53"/>
  <c r="AN357" i="53"/>
  <c r="AN356" i="53"/>
  <c r="AN355" i="53"/>
  <c r="AN354" i="53"/>
  <c r="AN353" i="53"/>
  <c r="AN352" i="53"/>
  <c r="AN351" i="53"/>
  <c r="AN350" i="53"/>
  <c r="AN349" i="53"/>
  <c r="AN348" i="53"/>
  <c r="AN347" i="53"/>
  <c r="AN346" i="53"/>
  <c r="AN345" i="53"/>
  <c r="AN344" i="53"/>
  <c r="AN343" i="53"/>
  <c r="AN342" i="53"/>
  <c r="AN341" i="53"/>
  <c r="AN340" i="53"/>
  <c r="AN339" i="53"/>
  <c r="AN338" i="53"/>
  <c r="AN337" i="53"/>
  <c r="AN336" i="53"/>
  <c r="AN335" i="53"/>
  <c r="AN334" i="53"/>
  <c r="AN333" i="53"/>
  <c r="AN332" i="53"/>
  <c r="AN331" i="53"/>
  <c r="AN330" i="53"/>
  <c r="AN329" i="53"/>
  <c r="AN328" i="53"/>
  <c r="AN327" i="53"/>
  <c r="AN326" i="53"/>
  <c r="AN325" i="53"/>
  <c r="AN324" i="53"/>
  <c r="AN323" i="53"/>
  <c r="AN322" i="53"/>
  <c r="AN321" i="53"/>
  <c r="AN320" i="53"/>
  <c r="AN319" i="53"/>
  <c r="AN318" i="53"/>
  <c r="AN317" i="53"/>
  <c r="AN316" i="53"/>
  <c r="AN315" i="53"/>
  <c r="AN314" i="53"/>
  <c r="AN313" i="53"/>
  <c r="AN312" i="53"/>
  <c r="AN311" i="53"/>
  <c r="AN310" i="53"/>
  <c r="AN309" i="53"/>
  <c r="AN308" i="53"/>
  <c r="AN307" i="53"/>
  <c r="AN306" i="53"/>
  <c r="AN305" i="53"/>
  <c r="AN304" i="53"/>
  <c r="AN303" i="53"/>
  <c r="AN302" i="53"/>
  <c r="AN301" i="53"/>
  <c r="AN300" i="53"/>
  <c r="AN299" i="53"/>
  <c r="AN298" i="53"/>
  <c r="AN297" i="53"/>
  <c r="AN296" i="53"/>
  <c r="AN295" i="53"/>
  <c r="AN294" i="53"/>
  <c r="AN293" i="53"/>
  <c r="AN292" i="53"/>
  <c r="AN291" i="53"/>
  <c r="AN290" i="53"/>
  <c r="AN289" i="53"/>
  <c r="AN288" i="53"/>
  <c r="AN287" i="53"/>
  <c r="AN286" i="53"/>
  <c r="AN285" i="53"/>
  <c r="AN284" i="53"/>
  <c r="AN283" i="53"/>
  <c r="AN282" i="53"/>
  <c r="AN281" i="53"/>
  <c r="AN280" i="53"/>
  <c r="AN279" i="53"/>
  <c r="AN278" i="53"/>
  <c r="AN277" i="53"/>
  <c r="AN276" i="53"/>
  <c r="AN275" i="53"/>
  <c r="AN274" i="53"/>
  <c r="AN273" i="53"/>
  <c r="AN272" i="53"/>
  <c r="AN271" i="53"/>
  <c r="AN270" i="53"/>
  <c r="AN269" i="53"/>
  <c r="AN268" i="53"/>
  <c r="AN267" i="53"/>
  <c r="AN266" i="53"/>
  <c r="AN265" i="53"/>
  <c r="AN264" i="53"/>
  <c r="AN263" i="53"/>
  <c r="AN262" i="53"/>
  <c r="AN261" i="53"/>
  <c r="AN260" i="53"/>
  <c r="AN259" i="53"/>
  <c r="AN258" i="53"/>
  <c r="AN257" i="53"/>
  <c r="AN256" i="53"/>
  <c r="AN255" i="53"/>
  <c r="AN254" i="53"/>
  <c r="AN253" i="53"/>
  <c r="AN252" i="53"/>
  <c r="AN251" i="53"/>
  <c r="AN250" i="53"/>
  <c r="AN249" i="53"/>
  <c r="AN248" i="53"/>
  <c r="AN247" i="53"/>
  <c r="AN246" i="53"/>
  <c r="AN245" i="53"/>
  <c r="AN244" i="53"/>
  <c r="AN243" i="53"/>
  <c r="AN242" i="53"/>
  <c r="AN241" i="53"/>
  <c r="AN240" i="53"/>
  <c r="AN239" i="53"/>
  <c r="AN238" i="53"/>
  <c r="AN237" i="53"/>
  <c r="AN236" i="53"/>
  <c r="AN235" i="53"/>
  <c r="AN234" i="53"/>
  <c r="AN233" i="53"/>
  <c r="AN232" i="53"/>
  <c r="AN231" i="53"/>
  <c r="AN230" i="53"/>
  <c r="AN229" i="53"/>
  <c r="AN228" i="53"/>
  <c r="AN227" i="53"/>
  <c r="AN226" i="53"/>
  <c r="AN225" i="53"/>
  <c r="AN224" i="53"/>
  <c r="AN223" i="53"/>
  <c r="AN222" i="53"/>
  <c r="AN221" i="53"/>
  <c r="AN220" i="53"/>
  <c r="AN219" i="53"/>
  <c r="AN218" i="53"/>
  <c r="AN217" i="53"/>
  <c r="AN216" i="53"/>
  <c r="AN215" i="53"/>
  <c r="AN214" i="53"/>
  <c r="AN213" i="53"/>
  <c r="AN212" i="53"/>
  <c r="AN211" i="53"/>
  <c r="AN210" i="53"/>
  <c r="AN209" i="53"/>
  <c r="AN208" i="53"/>
  <c r="AN207" i="53"/>
  <c r="AN206" i="53"/>
  <c r="AN205" i="53"/>
  <c r="AN204" i="53"/>
  <c r="AN203" i="53"/>
  <c r="AN202" i="53"/>
  <c r="AN201" i="53"/>
  <c r="AN200" i="53"/>
  <c r="AN199" i="53"/>
  <c r="AN198" i="53"/>
  <c r="AN197" i="53"/>
  <c r="AN196" i="53"/>
  <c r="AN195" i="53"/>
  <c r="AN194" i="53"/>
  <c r="AN193" i="53"/>
  <c r="AN192" i="53"/>
  <c r="AN191" i="53"/>
  <c r="AN190" i="53"/>
  <c r="AN189" i="53"/>
  <c r="AN188" i="53"/>
  <c r="AN187" i="53"/>
  <c r="AN186" i="53"/>
  <c r="AN185" i="53"/>
  <c r="AN184" i="53"/>
  <c r="AN183" i="53"/>
  <c r="AN182" i="53"/>
  <c r="AN181" i="53"/>
  <c r="AN180" i="53"/>
  <c r="AN179" i="53"/>
  <c r="AN178" i="53"/>
  <c r="AN177" i="53"/>
  <c r="AN176" i="53"/>
  <c r="AN175" i="53"/>
  <c r="AN174" i="53"/>
  <c r="AN173" i="53"/>
  <c r="AN172" i="53"/>
  <c r="AN171" i="53"/>
  <c r="AN170" i="53"/>
  <c r="AN169" i="53"/>
  <c r="AN168" i="53"/>
  <c r="AN167" i="53"/>
  <c r="AN166" i="53"/>
  <c r="AN165" i="53"/>
  <c r="AN164" i="53"/>
  <c r="AN163" i="53"/>
  <c r="AN162" i="53"/>
  <c r="AN161" i="53"/>
  <c r="AN160" i="53"/>
  <c r="AN159" i="53"/>
  <c r="AN158" i="53"/>
  <c r="AN157" i="53"/>
  <c r="AN156" i="53"/>
  <c r="AN155" i="53"/>
  <c r="AN154" i="53"/>
  <c r="AN153" i="53"/>
  <c r="AN152" i="53"/>
  <c r="AN151" i="53"/>
  <c r="AN150" i="53"/>
  <c r="AN149" i="53"/>
  <c r="AN148" i="53"/>
  <c r="AN147" i="53"/>
  <c r="AN146" i="53"/>
  <c r="AN145" i="53"/>
  <c r="AN144" i="53"/>
  <c r="AN143" i="53"/>
  <c r="AN142" i="53"/>
  <c r="AN141" i="53"/>
  <c r="AN140" i="53"/>
  <c r="AN139" i="53"/>
  <c r="AN138" i="53"/>
  <c r="AN137" i="53"/>
  <c r="AN136" i="53"/>
  <c r="AN135" i="53"/>
  <c r="AN134" i="53"/>
  <c r="AN133" i="53"/>
  <c r="AN132" i="53"/>
  <c r="AN131" i="53"/>
  <c r="AN130" i="53"/>
  <c r="AN129" i="53"/>
  <c r="AN128" i="53"/>
  <c r="AN127" i="53"/>
  <c r="AN126" i="53"/>
  <c r="AN125" i="53"/>
  <c r="AN124" i="53"/>
  <c r="AN123" i="53"/>
  <c r="AN122" i="53"/>
  <c r="AN121" i="53"/>
  <c r="AN120" i="53"/>
  <c r="AN119" i="53"/>
  <c r="AN118" i="53"/>
  <c r="AN117" i="53"/>
  <c r="AN116" i="53"/>
  <c r="AN115" i="53"/>
  <c r="AN114" i="53"/>
  <c r="AN113" i="53"/>
  <c r="AN112" i="53"/>
  <c r="AN111" i="53"/>
  <c r="AN110" i="53"/>
  <c r="AN109" i="53"/>
  <c r="AN108" i="53"/>
  <c r="AN107" i="53"/>
  <c r="AN106" i="53"/>
  <c r="AN105" i="53"/>
  <c r="AN104" i="53"/>
  <c r="AN103" i="53"/>
  <c r="AN102" i="53"/>
  <c r="AN101" i="53"/>
  <c r="AN100" i="53"/>
  <c r="AN99" i="53"/>
  <c r="AN98" i="53"/>
  <c r="AN97" i="53"/>
  <c r="AN96" i="53"/>
  <c r="AN95" i="53"/>
  <c r="AN94" i="53"/>
  <c r="AN93" i="53"/>
  <c r="AN92" i="53"/>
  <c r="AN91" i="53"/>
  <c r="AN90" i="53"/>
  <c r="AN89" i="53"/>
  <c r="AN88" i="53"/>
  <c r="AN87" i="53"/>
  <c r="AN86" i="53"/>
  <c r="AN85" i="53"/>
  <c r="AN84" i="53"/>
  <c r="AN83" i="53"/>
  <c r="AN82" i="53"/>
  <c r="AN81" i="53"/>
  <c r="AN80" i="53"/>
  <c r="AN79" i="53"/>
  <c r="AN78" i="53"/>
  <c r="AN77" i="53"/>
  <c r="AN76" i="53"/>
  <c r="AN75" i="53"/>
  <c r="AN74" i="53"/>
  <c r="AN73" i="53"/>
  <c r="AN72" i="53"/>
  <c r="AN71" i="53"/>
  <c r="AN70" i="53"/>
  <c r="AN69" i="53"/>
  <c r="AN68" i="53"/>
  <c r="AN67" i="53"/>
  <c r="AN66" i="53"/>
  <c r="AN65" i="53"/>
  <c r="AN64" i="53"/>
  <c r="AN63" i="53"/>
  <c r="AN62" i="53"/>
  <c r="AN61" i="53"/>
  <c r="AN60" i="53"/>
  <c r="AN59" i="53"/>
  <c r="AN58" i="53"/>
  <c r="AN57" i="53"/>
  <c r="AN56" i="53"/>
  <c r="AN55" i="53"/>
  <c r="AN54" i="53"/>
  <c r="AN53" i="53"/>
  <c r="AN52" i="53"/>
  <c r="AN51" i="53"/>
  <c r="AN50" i="53"/>
  <c r="AN49" i="53"/>
  <c r="AN48" i="53"/>
  <c r="AN47" i="53"/>
  <c r="AN46" i="53"/>
  <c r="AN45" i="53"/>
  <c r="AN44" i="53"/>
  <c r="AN43" i="53"/>
  <c r="AN42" i="53"/>
  <c r="AN41" i="53"/>
  <c r="AN40" i="53"/>
  <c r="AN39" i="53"/>
  <c r="AN38" i="53"/>
  <c r="AN37" i="53"/>
  <c r="AN36" i="53"/>
  <c r="AN35" i="53"/>
  <c r="AN34" i="53"/>
  <c r="AN33" i="53"/>
  <c r="AN32" i="53"/>
  <c r="AN31" i="53"/>
  <c r="AN30" i="53"/>
  <c r="AN29" i="53"/>
  <c r="AN28" i="53"/>
  <c r="AN27" i="53"/>
  <c r="AN26" i="53"/>
  <c r="AN25" i="53"/>
  <c r="AN24" i="53"/>
  <c r="AN23" i="53"/>
  <c r="AN22" i="53"/>
  <c r="AN21" i="53"/>
  <c r="AN20" i="53"/>
  <c r="AN19" i="53"/>
  <c r="AN18" i="53"/>
  <c r="AN17" i="53"/>
  <c r="AN16" i="53"/>
  <c r="AN15" i="53"/>
  <c r="AN14" i="53"/>
  <c r="AN13" i="53"/>
  <c r="AN12" i="53"/>
  <c r="AN11" i="53"/>
  <c r="AN10" i="53"/>
  <c r="AN9" i="53"/>
  <c r="AN8" i="53"/>
  <c r="AN7" i="53"/>
  <c r="AN6" i="53"/>
  <c r="AN5" i="53"/>
  <c r="AN4" i="53"/>
  <c r="AN3" i="53"/>
  <c r="AL396" i="53"/>
  <c r="AL395" i="53"/>
  <c r="AL394" i="53"/>
  <c r="AL393" i="53"/>
  <c r="AL392" i="53"/>
  <c r="AL391" i="53"/>
  <c r="AL390" i="53"/>
  <c r="AL389" i="53"/>
  <c r="AL388" i="53"/>
  <c r="AL387" i="53"/>
  <c r="AL386" i="53"/>
  <c r="AL385" i="53"/>
  <c r="AL384" i="53"/>
  <c r="AL383" i="53"/>
  <c r="AL382" i="53"/>
  <c r="AL381" i="53"/>
  <c r="AL380" i="53"/>
  <c r="AL379" i="53"/>
  <c r="AL378" i="53"/>
  <c r="AL377" i="53"/>
  <c r="AL376" i="53"/>
  <c r="AL375" i="53"/>
  <c r="AL374" i="53"/>
  <c r="AL373" i="53"/>
  <c r="AL372" i="53"/>
  <c r="AL371" i="53"/>
  <c r="AL370" i="53"/>
  <c r="AL369" i="53"/>
  <c r="AL368" i="53"/>
  <c r="AL367" i="53"/>
  <c r="AL366" i="53"/>
  <c r="AL365" i="53"/>
  <c r="AL364" i="53"/>
  <c r="AL363" i="53"/>
  <c r="AL362" i="53"/>
  <c r="AL361" i="53"/>
  <c r="AL360" i="53"/>
  <c r="AL359" i="53"/>
  <c r="AL358" i="53"/>
  <c r="AL357" i="53"/>
  <c r="AL356" i="53"/>
  <c r="AL355" i="53"/>
  <c r="AL354" i="53"/>
  <c r="AL353" i="53"/>
  <c r="AL352" i="53"/>
  <c r="AL351" i="53"/>
  <c r="AL350" i="53"/>
  <c r="AL349" i="53"/>
  <c r="AL348" i="53"/>
  <c r="AL347" i="53"/>
  <c r="AL346" i="53"/>
  <c r="AL345" i="53"/>
  <c r="AL344" i="53"/>
  <c r="AL343" i="53"/>
  <c r="AL342" i="53"/>
  <c r="AL341" i="53"/>
  <c r="AL340" i="53"/>
  <c r="AL339" i="53"/>
  <c r="AL338" i="53"/>
  <c r="AL337" i="53"/>
  <c r="AL336" i="53"/>
  <c r="AL335" i="53"/>
  <c r="AL334" i="53"/>
  <c r="AL333" i="53"/>
  <c r="AL332" i="53"/>
  <c r="AL331" i="53"/>
  <c r="AL330" i="53"/>
  <c r="AL329" i="53"/>
  <c r="AL328" i="53"/>
  <c r="AL327" i="53"/>
  <c r="AL326" i="53"/>
  <c r="AL325" i="53"/>
  <c r="AL324" i="53"/>
  <c r="AL323" i="53"/>
  <c r="AL322" i="53"/>
  <c r="AL321" i="53"/>
  <c r="AL320" i="53"/>
  <c r="AL319" i="53"/>
  <c r="AL318" i="53"/>
  <c r="AL317" i="53"/>
  <c r="AL316" i="53"/>
  <c r="AL315" i="53"/>
  <c r="AL314" i="53"/>
  <c r="AL313" i="53"/>
  <c r="AL312" i="53"/>
  <c r="AL311" i="53"/>
  <c r="AL310" i="53"/>
  <c r="AL309" i="53"/>
  <c r="AL308" i="53"/>
  <c r="AL307" i="53"/>
  <c r="AL306" i="53"/>
  <c r="AL305" i="53"/>
  <c r="AL304" i="53"/>
  <c r="AL303" i="53"/>
  <c r="AL302" i="53"/>
  <c r="AL301" i="53"/>
  <c r="AL300" i="53"/>
  <c r="AL299" i="53"/>
  <c r="AL298" i="53"/>
  <c r="AL297" i="53"/>
  <c r="AL296" i="53"/>
  <c r="AL295" i="53"/>
  <c r="AL294" i="53"/>
  <c r="AL293" i="53"/>
  <c r="AL292" i="53"/>
  <c r="AL291" i="53"/>
  <c r="AL290" i="53"/>
  <c r="AL289" i="53"/>
  <c r="AL288" i="53"/>
  <c r="AL287" i="53"/>
  <c r="AL286" i="53"/>
  <c r="AL285" i="53"/>
  <c r="AL284" i="53"/>
  <c r="AL252" i="53"/>
  <c r="AL253" i="53"/>
  <c r="AL254" i="53"/>
  <c r="AL255" i="53"/>
  <c r="AL256" i="53"/>
  <c r="AL257" i="53"/>
  <c r="AL258" i="53"/>
  <c r="AL259" i="53"/>
  <c r="AL260" i="53"/>
  <c r="AL261" i="53"/>
  <c r="AL262" i="53"/>
  <c r="AL263" i="53"/>
  <c r="AL264" i="53"/>
  <c r="AL265" i="53"/>
  <c r="AL266" i="53"/>
  <c r="AL267" i="53"/>
  <c r="AL268" i="53"/>
  <c r="AL269" i="53"/>
  <c r="AL270" i="53"/>
  <c r="AL271" i="53"/>
  <c r="AL272" i="53"/>
  <c r="M47" i="48"/>
  <c r="L47" i="48"/>
  <c r="K47" i="48"/>
  <c r="AJ284" i="53"/>
  <c r="AJ285" i="53"/>
  <c r="AJ286" i="53"/>
  <c r="AJ287" i="53"/>
  <c r="AJ288" i="53"/>
  <c r="AJ289" i="53"/>
  <c r="AJ290" i="53"/>
  <c r="AJ291" i="53"/>
  <c r="AJ292" i="53"/>
  <c r="AJ293" i="53"/>
  <c r="AJ294" i="53"/>
  <c r="AJ295" i="53"/>
  <c r="AJ296" i="53"/>
  <c r="AJ297" i="53"/>
  <c r="AJ298" i="53"/>
  <c r="AJ299" i="53"/>
  <c r="AJ300" i="53"/>
  <c r="AJ301" i="53"/>
  <c r="AJ302" i="53"/>
  <c r="AJ303" i="53"/>
  <c r="AJ304" i="53"/>
  <c r="AJ305" i="53"/>
  <c r="AJ306" i="53"/>
  <c r="AJ307" i="53"/>
  <c r="AJ308" i="53"/>
  <c r="AJ309" i="53"/>
  <c r="AJ310" i="53"/>
  <c r="AJ311" i="53"/>
  <c r="AJ312" i="53"/>
  <c r="AJ313" i="53"/>
  <c r="AJ314" i="53"/>
  <c r="AJ315" i="53"/>
  <c r="AJ316" i="53"/>
  <c r="AJ317" i="53"/>
  <c r="AJ318" i="53"/>
  <c r="AJ319" i="53"/>
  <c r="AJ320" i="53"/>
  <c r="AJ321" i="53"/>
  <c r="AJ322" i="53"/>
  <c r="AJ323" i="53"/>
  <c r="AJ324" i="53"/>
  <c r="AJ325" i="53"/>
  <c r="AJ326" i="53"/>
  <c r="AJ327" i="53"/>
  <c r="AJ328" i="53"/>
  <c r="AJ329" i="53"/>
  <c r="AJ330" i="53"/>
  <c r="AJ331" i="53"/>
  <c r="AJ332" i="53"/>
  <c r="AJ333" i="53"/>
  <c r="AJ334" i="53"/>
  <c r="AJ335" i="53"/>
  <c r="AJ336" i="53"/>
  <c r="AJ337" i="53"/>
  <c r="AJ338" i="53"/>
  <c r="AJ339" i="53"/>
  <c r="AJ340" i="53"/>
  <c r="AJ341" i="53"/>
  <c r="AJ342" i="53"/>
  <c r="AJ343" i="53"/>
  <c r="AJ344" i="53"/>
  <c r="AJ345" i="53"/>
  <c r="AJ346" i="53"/>
  <c r="AJ347" i="53"/>
  <c r="AJ348" i="53"/>
  <c r="AJ349" i="53"/>
  <c r="AJ350" i="53"/>
  <c r="AJ351" i="53"/>
  <c r="AJ352" i="53"/>
  <c r="AJ353" i="53"/>
  <c r="AJ354" i="53"/>
  <c r="AJ355" i="53"/>
  <c r="AJ356" i="53"/>
  <c r="AJ357" i="53"/>
  <c r="AJ358" i="53"/>
  <c r="AJ359" i="53"/>
  <c r="AJ360" i="53"/>
  <c r="AJ361" i="53"/>
  <c r="AJ362" i="53"/>
  <c r="AJ363" i="53"/>
  <c r="AJ364" i="53"/>
  <c r="AJ365" i="53"/>
  <c r="AJ366" i="53"/>
  <c r="AJ367" i="53"/>
  <c r="AJ368" i="53"/>
  <c r="AJ369" i="53"/>
  <c r="AJ370" i="53"/>
  <c r="AJ371" i="53"/>
  <c r="AJ372" i="53"/>
  <c r="AJ373" i="53"/>
  <c r="AJ374" i="53"/>
  <c r="AJ375" i="53"/>
  <c r="AJ376" i="53"/>
  <c r="AJ377" i="53"/>
  <c r="AJ378" i="53"/>
  <c r="AJ379" i="53"/>
  <c r="AJ380" i="53"/>
  <c r="AJ381" i="53"/>
  <c r="AJ382" i="53"/>
  <c r="AJ383" i="53"/>
  <c r="AJ384" i="53"/>
  <c r="AJ385" i="53"/>
  <c r="AJ386" i="53"/>
  <c r="AJ387" i="53"/>
  <c r="AJ388" i="53"/>
  <c r="AJ389" i="53"/>
  <c r="AJ390" i="53"/>
  <c r="AJ391" i="53"/>
  <c r="AJ392" i="53"/>
  <c r="AJ393" i="53"/>
  <c r="AJ394" i="53"/>
  <c r="AJ395" i="53"/>
  <c r="AJ396" i="53"/>
  <c r="EK51" i="48" l="1"/>
  <c r="DS51" i="48"/>
  <c r="BT51" i="48"/>
  <c r="BS51" i="48"/>
  <c r="BR51" i="48"/>
  <c r="BQ51" i="48"/>
  <c r="BP51" i="48"/>
  <c r="BO51" i="48"/>
  <c r="BN51" i="48"/>
  <c r="BM51" i="48"/>
  <c r="BL51" i="48"/>
  <c r="BK51" i="48"/>
  <c r="BJ51" i="48"/>
  <c r="BI51" i="48"/>
  <c r="BH51" i="48"/>
  <c r="BG51" i="48"/>
  <c r="BF51" i="48"/>
  <c r="BE51" i="48"/>
  <c r="BD51" i="48"/>
  <c r="BC51" i="48"/>
  <c r="BB51" i="48"/>
  <c r="BA51" i="48"/>
  <c r="AZ51" i="48"/>
  <c r="AY51" i="48"/>
  <c r="AX51" i="48"/>
  <c r="AW51" i="48"/>
  <c r="AV51" i="48"/>
  <c r="AU51" i="48"/>
  <c r="AT51" i="48"/>
  <c r="AS51" i="48"/>
  <c r="AR51" i="48"/>
  <c r="AQ51" i="48"/>
  <c r="AP51" i="48"/>
  <c r="AO51" i="48"/>
  <c r="AN51" i="48"/>
  <c r="AM51" i="48"/>
  <c r="DL51" i="48" s="1"/>
  <c r="AL51" i="48"/>
  <c r="AK51" i="48"/>
  <c r="AJ51" i="48"/>
  <c r="AI51" i="48"/>
  <c r="DB51" i="48" s="1"/>
  <c r="AH51" i="48"/>
  <c r="AG51" i="48"/>
  <c r="AF51" i="48"/>
  <c r="AE51" i="48"/>
  <c r="AD51" i="48"/>
  <c r="AC51" i="48"/>
  <c r="AB51" i="48"/>
  <c r="AA51" i="48"/>
  <c r="Z51" i="48"/>
  <c r="Y51" i="48"/>
  <c r="X51" i="48"/>
  <c r="W51" i="48"/>
  <c r="V51" i="48"/>
  <c r="U51" i="48"/>
  <c r="T51" i="48"/>
  <c r="S51" i="48"/>
  <c r="R51" i="48"/>
  <c r="Q51" i="48"/>
  <c r="P51" i="48"/>
  <c r="O51" i="48"/>
  <c r="N51" i="48"/>
  <c r="M51" i="48"/>
  <c r="L51" i="48"/>
  <c r="K51" i="48"/>
  <c r="J51" i="48"/>
  <c r="DF51" i="48" s="1"/>
  <c r="I51" i="48"/>
  <c r="H51" i="48"/>
  <c r="G51" i="48"/>
  <c r="F51" i="48"/>
  <c r="E51" i="48"/>
  <c r="D51" i="48"/>
  <c r="C51" i="48"/>
  <c r="B51" i="48"/>
  <c r="A51" i="48"/>
  <c r="EK50" i="48"/>
  <c r="DS50" i="48"/>
  <c r="BT50" i="48"/>
  <c r="BS50" i="48"/>
  <c r="BR50" i="48"/>
  <c r="BQ50" i="48"/>
  <c r="BP50" i="48"/>
  <c r="BO50" i="48"/>
  <c r="BN50" i="48"/>
  <c r="BM50" i="48"/>
  <c r="BL50" i="48"/>
  <c r="BK50" i="48"/>
  <c r="BJ50" i="48"/>
  <c r="BI50" i="48"/>
  <c r="BH50" i="48"/>
  <c r="BG50" i="48"/>
  <c r="BF50" i="48"/>
  <c r="BE50" i="48"/>
  <c r="BD50" i="48"/>
  <c r="BC50" i="48"/>
  <c r="BB50" i="48"/>
  <c r="BA50" i="48"/>
  <c r="AZ50" i="48"/>
  <c r="AY50" i="48"/>
  <c r="AX50" i="48"/>
  <c r="AW50" i="48"/>
  <c r="AV50" i="48"/>
  <c r="AU50" i="48"/>
  <c r="AT50" i="48"/>
  <c r="AS50" i="48"/>
  <c r="AR50" i="48"/>
  <c r="AQ50" i="48"/>
  <c r="AP50" i="48"/>
  <c r="AO50" i="48"/>
  <c r="AN50" i="48"/>
  <c r="AM50" i="48"/>
  <c r="DL50" i="48" s="1"/>
  <c r="AL50" i="48"/>
  <c r="AK50" i="48"/>
  <c r="AJ50" i="48"/>
  <c r="AI50" i="48"/>
  <c r="DB50" i="48" s="1"/>
  <c r="AH50" i="48"/>
  <c r="AG50" i="48"/>
  <c r="AF50" i="48"/>
  <c r="AE50" i="48"/>
  <c r="AD50" i="48"/>
  <c r="AC50" i="48"/>
  <c r="AB50" i="48"/>
  <c r="AA50" i="48"/>
  <c r="Z50" i="48"/>
  <c r="Y50" i="48"/>
  <c r="X50" i="48"/>
  <c r="W50" i="48"/>
  <c r="V50" i="48"/>
  <c r="U50" i="48"/>
  <c r="T50" i="48"/>
  <c r="S50" i="48"/>
  <c r="R50" i="48"/>
  <c r="Q50" i="48"/>
  <c r="P50" i="48"/>
  <c r="O50" i="48"/>
  <c r="N50" i="48"/>
  <c r="M50" i="48"/>
  <c r="L50" i="48"/>
  <c r="K50" i="48"/>
  <c r="J50" i="48"/>
  <c r="I50" i="48"/>
  <c r="H50" i="48"/>
  <c r="G50" i="48"/>
  <c r="F50" i="48"/>
  <c r="E50" i="48"/>
  <c r="D50" i="48"/>
  <c r="C50" i="48"/>
  <c r="B50" i="48"/>
  <c r="A50" i="48"/>
  <c r="CO51" i="48" l="1"/>
  <c r="BY51" i="48"/>
  <c r="CF51" i="48"/>
  <c r="BX51" i="48"/>
  <c r="CE51" i="48"/>
  <c r="BW51" i="48"/>
  <c r="CC51" i="48"/>
  <c r="BZ51" i="48"/>
  <c r="CD51" i="48"/>
  <c r="CB51" i="48"/>
  <c r="CA51" i="48"/>
  <c r="CL50" i="48"/>
  <c r="DF50" i="48"/>
  <c r="BY50" i="48"/>
  <c r="CF50" i="48"/>
  <c r="BX50" i="48"/>
  <c r="CE50" i="48"/>
  <c r="BW50" i="48"/>
  <c r="CD50" i="48"/>
  <c r="CB50" i="48"/>
  <c r="CC50" i="48"/>
  <c r="BZ50" i="48"/>
  <c r="CA50" i="48"/>
  <c r="CK51" i="48"/>
  <c r="CS51" i="48" s="1"/>
  <c r="CM51" i="48"/>
  <c r="CV51" i="48"/>
  <c r="CO50" i="48"/>
  <c r="CM50" i="48"/>
  <c r="CN50" i="48" s="1"/>
  <c r="CV50" i="48"/>
  <c r="CW50" i="48"/>
  <c r="CT50" i="48"/>
  <c r="CT51" i="48"/>
  <c r="CK50" i="48"/>
  <c r="CS50" i="48" s="1"/>
  <c r="CW51" i="48"/>
  <c r="CU50" i="48"/>
  <c r="CH51" i="48"/>
  <c r="CG51" i="48"/>
  <c r="CH50" i="48"/>
  <c r="CI51" i="48"/>
  <c r="DM51" i="48"/>
  <c r="CZ51" i="48"/>
  <c r="CI50" i="48"/>
  <c r="CZ50" i="48"/>
  <c r="BU51" i="48"/>
  <c r="CU51" i="48"/>
  <c r="BV51" i="48"/>
  <c r="CL51" i="48"/>
  <c r="DM50" i="48"/>
  <c r="BU50" i="48"/>
  <c r="BV50" i="48"/>
  <c r="CG50" i="48"/>
  <c r="CN51" i="48" l="1"/>
  <c r="EI50" i="48"/>
  <c r="EH50" i="48"/>
  <c r="EI51" i="48"/>
  <c r="EH51" i="48"/>
  <c r="EJ51" i="48" l="1"/>
  <c r="EJ50" i="48"/>
  <c r="AJ252" i="53" l="1"/>
  <c r="AJ253" i="53"/>
  <c r="AJ254" i="53"/>
  <c r="AJ255" i="53"/>
  <c r="AJ256" i="53"/>
  <c r="AJ257" i="53"/>
  <c r="AJ258" i="53"/>
  <c r="AJ259" i="53"/>
  <c r="AJ260" i="53"/>
  <c r="AJ261" i="53"/>
  <c r="AJ262" i="53"/>
  <c r="AJ263" i="53"/>
  <c r="AJ264" i="53"/>
  <c r="AJ265" i="53"/>
  <c r="AJ266" i="53"/>
  <c r="AJ267" i="53"/>
  <c r="AJ268" i="53"/>
  <c r="AJ269" i="53"/>
  <c r="AJ270" i="53"/>
  <c r="AJ271" i="53"/>
  <c r="AJ272" i="53"/>
  <c r="A3" i="48"/>
  <c r="B3" i="48"/>
  <c r="C3" i="48"/>
  <c r="D3" i="48"/>
  <c r="E3" i="48"/>
  <c r="F3" i="48"/>
  <c r="G3" i="48"/>
  <c r="H3" i="48"/>
  <c r="I3" i="48"/>
  <c r="J3" i="48"/>
  <c r="DF3" i="48" s="1"/>
  <c r="K3" i="48"/>
  <c r="L3" i="48"/>
  <c r="M3" i="48"/>
  <c r="N3" i="48"/>
  <c r="O3" i="48"/>
  <c r="P3" i="48"/>
  <c r="Q3" i="48"/>
  <c r="R3" i="48"/>
  <c r="S3" i="48"/>
  <c r="T3" i="48"/>
  <c r="U3" i="48"/>
  <c r="V3" i="48"/>
  <c r="W3" i="48"/>
  <c r="X3" i="48"/>
  <c r="Y3" i="48"/>
  <c r="Z3" i="48"/>
  <c r="AA3" i="48"/>
  <c r="AB3" i="48"/>
  <c r="AC3" i="48"/>
  <c r="AD3" i="48"/>
  <c r="AE3" i="48"/>
  <c r="AF3" i="48"/>
  <c r="AG3" i="48"/>
  <c r="AH3" i="48"/>
  <c r="AI3" i="48"/>
  <c r="AJ3" i="48"/>
  <c r="AK3" i="48"/>
  <c r="AL3" i="48"/>
  <c r="AM3" i="48"/>
  <c r="AN3" i="48"/>
  <c r="AO3" i="48"/>
  <c r="AP3" i="48"/>
  <c r="AQ3" i="48"/>
  <c r="AR3" i="48"/>
  <c r="AS3" i="48"/>
  <c r="AT3" i="48"/>
  <c r="AU3" i="48"/>
  <c r="AV3" i="48"/>
  <c r="AW3" i="48"/>
  <c r="AX3" i="48"/>
  <c r="AY3" i="48"/>
  <c r="AZ3" i="48"/>
  <c r="BA3" i="48"/>
  <c r="BB3" i="48"/>
  <c r="BC3" i="48"/>
  <c r="BD3" i="48"/>
  <c r="BE3" i="48"/>
  <c r="BF3" i="48"/>
  <c r="BG3" i="48"/>
  <c r="BH3" i="48"/>
  <c r="BI3" i="48"/>
  <c r="BJ3" i="48"/>
  <c r="BK3" i="48"/>
  <c r="BL3" i="48"/>
  <c r="BM3" i="48"/>
  <c r="BN3" i="48"/>
  <c r="BO3" i="48"/>
  <c r="BP3" i="48"/>
  <c r="BQ3" i="48"/>
  <c r="BR3" i="48"/>
  <c r="BS3" i="48"/>
  <c r="BT3" i="48"/>
  <c r="A4" i="48"/>
  <c r="B4" i="48"/>
  <c r="C4" i="48"/>
  <c r="D4" i="48"/>
  <c r="E4" i="48"/>
  <c r="F4" i="48"/>
  <c r="G4" i="48"/>
  <c r="H4" i="48"/>
  <c r="I4" i="48"/>
  <c r="J4" i="48"/>
  <c r="DF4" i="48" s="1"/>
  <c r="K4" i="48"/>
  <c r="L4" i="48"/>
  <c r="M4" i="48"/>
  <c r="N4" i="48"/>
  <c r="O4" i="48"/>
  <c r="P4" i="48"/>
  <c r="Q4" i="48"/>
  <c r="R4" i="48"/>
  <c r="S4" i="48"/>
  <c r="T4" i="48"/>
  <c r="U4" i="48"/>
  <c r="V4" i="48"/>
  <c r="W4" i="48"/>
  <c r="X4" i="48"/>
  <c r="Y4" i="48"/>
  <c r="Z4" i="48"/>
  <c r="AA4" i="48"/>
  <c r="AB4" i="48"/>
  <c r="AC4" i="48"/>
  <c r="AD4" i="48"/>
  <c r="AE4" i="48"/>
  <c r="AF4" i="48"/>
  <c r="AG4" i="48"/>
  <c r="AH4" i="48"/>
  <c r="AI4" i="48"/>
  <c r="AJ4" i="48"/>
  <c r="AK4" i="48"/>
  <c r="AL4" i="48"/>
  <c r="AM4" i="48"/>
  <c r="AN4" i="48"/>
  <c r="AO4" i="48"/>
  <c r="AP4" i="48"/>
  <c r="AQ4" i="48"/>
  <c r="AR4" i="48"/>
  <c r="AS4" i="48"/>
  <c r="AT4" i="48"/>
  <c r="AU4" i="48"/>
  <c r="AV4" i="48"/>
  <c r="AW4" i="48"/>
  <c r="AX4" i="48"/>
  <c r="AY4" i="48"/>
  <c r="AZ4" i="48"/>
  <c r="BA4" i="48"/>
  <c r="BB4" i="48"/>
  <c r="BC4" i="48"/>
  <c r="BD4" i="48"/>
  <c r="BE4" i="48"/>
  <c r="BF4" i="48"/>
  <c r="BG4" i="48"/>
  <c r="BH4" i="48"/>
  <c r="BI4" i="48"/>
  <c r="BJ4" i="48"/>
  <c r="BK4" i="48"/>
  <c r="BL4" i="48"/>
  <c r="BM4" i="48"/>
  <c r="BN4" i="48"/>
  <c r="BO4" i="48"/>
  <c r="BP4" i="48"/>
  <c r="BQ4" i="48"/>
  <c r="BR4" i="48"/>
  <c r="BS4" i="48"/>
  <c r="BT4" i="48"/>
  <c r="A5" i="48"/>
  <c r="B5" i="48"/>
  <c r="C5" i="48"/>
  <c r="D5" i="48"/>
  <c r="E5" i="48"/>
  <c r="F5" i="48"/>
  <c r="G5" i="48"/>
  <c r="H5" i="48"/>
  <c r="I5" i="48"/>
  <c r="J5" i="48"/>
  <c r="DF5" i="48" s="1"/>
  <c r="K5" i="48"/>
  <c r="L5" i="48"/>
  <c r="M5" i="48"/>
  <c r="N5" i="48"/>
  <c r="O5" i="48"/>
  <c r="P5" i="48"/>
  <c r="Q5" i="48"/>
  <c r="R5" i="48"/>
  <c r="S5" i="48"/>
  <c r="T5" i="48"/>
  <c r="U5" i="48"/>
  <c r="V5" i="48"/>
  <c r="W5" i="48"/>
  <c r="X5" i="48"/>
  <c r="Y5" i="48"/>
  <c r="Z5" i="48"/>
  <c r="AA5" i="48"/>
  <c r="AB5" i="48"/>
  <c r="AC5" i="48"/>
  <c r="AD5" i="48"/>
  <c r="AE5" i="48"/>
  <c r="AF5" i="48"/>
  <c r="AG5" i="48"/>
  <c r="AH5" i="48"/>
  <c r="AI5" i="48"/>
  <c r="AJ5" i="48"/>
  <c r="AK5" i="48"/>
  <c r="AL5" i="48"/>
  <c r="AM5" i="48"/>
  <c r="AN5" i="48"/>
  <c r="AO5" i="48"/>
  <c r="AP5" i="48"/>
  <c r="AQ5" i="48"/>
  <c r="AR5" i="48"/>
  <c r="AS5" i="48"/>
  <c r="AT5" i="48"/>
  <c r="AU5" i="48"/>
  <c r="AV5" i="48"/>
  <c r="AW5" i="48"/>
  <c r="AX5" i="48"/>
  <c r="AY5" i="48"/>
  <c r="AZ5" i="48"/>
  <c r="BA5" i="48"/>
  <c r="BB5" i="48"/>
  <c r="BC5" i="48"/>
  <c r="BD5" i="48"/>
  <c r="BE5" i="48"/>
  <c r="BF5" i="48"/>
  <c r="BG5" i="48"/>
  <c r="BH5" i="48"/>
  <c r="BI5" i="48"/>
  <c r="BJ5" i="48"/>
  <c r="BK5" i="48"/>
  <c r="BL5" i="48"/>
  <c r="BM5" i="48"/>
  <c r="BN5" i="48"/>
  <c r="BO5" i="48"/>
  <c r="BP5" i="48"/>
  <c r="BQ5" i="48"/>
  <c r="BR5" i="48"/>
  <c r="BS5" i="48"/>
  <c r="BT5" i="48"/>
  <c r="A6" i="48"/>
  <c r="B6" i="48"/>
  <c r="C6" i="48"/>
  <c r="D6" i="48"/>
  <c r="E6" i="48"/>
  <c r="F6" i="48"/>
  <c r="G6" i="48"/>
  <c r="H6" i="48"/>
  <c r="I6" i="48"/>
  <c r="J6" i="48"/>
  <c r="DF6" i="48" s="1"/>
  <c r="K6" i="48"/>
  <c r="L6" i="48"/>
  <c r="M6" i="48"/>
  <c r="N6" i="48"/>
  <c r="O6" i="48"/>
  <c r="P6" i="48"/>
  <c r="Q6" i="48"/>
  <c r="R6" i="48"/>
  <c r="S6" i="48"/>
  <c r="T6" i="48"/>
  <c r="U6" i="48"/>
  <c r="V6" i="48"/>
  <c r="W6" i="48"/>
  <c r="X6" i="48"/>
  <c r="Y6" i="48"/>
  <c r="Z6" i="48"/>
  <c r="AA6" i="48"/>
  <c r="AB6" i="48"/>
  <c r="AC6" i="48"/>
  <c r="AD6" i="48"/>
  <c r="AE6" i="48"/>
  <c r="AF6" i="48"/>
  <c r="AG6" i="48"/>
  <c r="AH6" i="48"/>
  <c r="AI6" i="48"/>
  <c r="AJ6" i="48"/>
  <c r="AK6" i="48"/>
  <c r="AL6" i="48"/>
  <c r="AM6" i="48"/>
  <c r="AN6" i="48"/>
  <c r="AO6" i="48"/>
  <c r="AP6" i="48"/>
  <c r="AQ6" i="48"/>
  <c r="AR6" i="48"/>
  <c r="AS6" i="48"/>
  <c r="AT6" i="48"/>
  <c r="AU6" i="48"/>
  <c r="AV6" i="48"/>
  <c r="AW6" i="48"/>
  <c r="AX6" i="48"/>
  <c r="AY6" i="48"/>
  <c r="AZ6" i="48"/>
  <c r="BA6" i="48"/>
  <c r="BB6" i="48"/>
  <c r="BC6" i="48"/>
  <c r="BD6" i="48"/>
  <c r="BE6" i="48"/>
  <c r="BF6" i="48"/>
  <c r="BG6" i="48"/>
  <c r="BH6" i="48"/>
  <c r="BI6" i="48"/>
  <c r="BJ6" i="48"/>
  <c r="BK6" i="48"/>
  <c r="BL6" i="48"/>
  <c r="BM6" i="48"/>
  <c r="BN6" i="48"/>
  <c r="BO6" i="48"/>
  <c r="BP6" i="48"/>
  <c r="BQ6" i="48"/>
  <c r="BR6" i="48"/>
  <c r="BS6" i="48"/>
  <c r="BT6" i="48"/>
  <c r="A7" i="48"/>
  <c r="B7" i="48"/>
  <c r="C7" i="48"/>
  <c r="D7" i="48"/>
  <c r="E7" i="48"/>
  <c r="F7" i="48"/>
  <c r="G7" i="48"/>
  <c r="H7" i="48"/>
  <c r="I7" i="48"/>
  <c r="J7" i="48"/>
  <c r="DF7" i="48" s="1"/>
  <c r="K7" i="48"/>
  <c r="L7" i="48"/>
  <c r="M7" i="48"/>
  <c r="N7" i="48"/>
  <c r="O7" i="48"/>
  <c r="P7" i="48"/>
  <c r="Q7" i="48"/>
  <c r="R7" i="48"/>
  <c r="S7" i="48"/>
  <c r="T7" i="48"/>
  <c r="U7" i="48"/>
  <c r="V7" i="48"/>
  <c r="W7" i="48"/>
  <c r="X7" i="48"/>
  <c r="Y7" i="48"/>
  <c r="Z7" i="48"/>
  <c r="AA7" i="48"/>
  <c r="AB7" i="48"/>
  <c r="AC7" i="48"/>
  <c r="AD7" i="48"/>
  <c r="AE7" i="48"/>
  <c r="AF7" i="48"/>
  <c r="AG7" i="48"/>
  <c r="AH7" i="48"/>
  <c r="AI7" i="48"/>
  <c r="AJ7" i="48"/>
  <c r="AK7" i="48"/>
  <c r="AL7" i="48"/>
  <c r="AM7" i="48"/>
  <c r="AN7" i="48"/>
  <c r="AO7" i="48"/>
  <c r="AP7" i="48"/>
  <c r="AQ7" i="48"/>
  <c r="AR7" i="48"/>
  <c r="AS7" i="48"/>
  <c r="AT7" i="48"/>
  <c r="AU7" i="48"/>
  <c r="AV7" i="48"/>
  <c r="AW7" i="48"/>
  <c r="AX7" i="48"/>
  <c r="AY7" i="48"/>
  <c r="AZ7" i="48"/>
  <c r="BA7" i="48"/>
  <c r="BB7" i="48"/>
  <c r="BC7" i="48"/>
  <c r="BD7" i="48"/>
  <c r="BE7" i="48"/>
  <c r="BF7" i="48"/>
  <c r="BG7" i="48"/>
  <c r="BH7" i="48"/>
  <c r="BI7" i="48"/>
  <c r="BJ7" i="48"/>
  <c r="BK7" i="48"/>
  <c r="BL7" i="48"/>
  <c r="BM7" i="48"/>
  <c r="BN7" i="48"/>
  <c r="BO7" i="48"/>
  <c r="BP7" i="48"/>
  <c r="BQ7" i="48"/>
  <c r="BR7" i="48"/>
  <c r="BS7" i="48"/>
  <c r="BT7" i="48"/>
  <c r="A8" i="48"/>
  <c r="B8" i="48"/>
  <c r="C8" i="48"/>
  <c r="D8" i="48"/>
  <c r="E8" i="48"/>
  <c r="F8" i="48"/>
  <c r="G8" i="48"/>
  <c r="H8" i="48"/>
  <c r="I8" i="48"/>
  <c r="J8" i="48"/>
  <c r="DF8" i="48" s="1"/>
  <c r="K8" i="48"/>
  <c r="L8" i="48"/>
  <c r="M8" i="48"/>
  <c r="N8" i="48"/>
  <c r="O8" i="48"/>
  <c r="P8" i="48"/>
  <c r="Q8" i="48"/>
  <c r="R8" i="48"/>
  <c r="S8" i="48"/>
  <c r="T8" i="48"/>
  <c r="U8" i="48"/>
  <c r="V8" i="48"/>
  <c r="W8" i="48"/>
  <c r="X8" i="48"/>
  <c r="Y8" i="48"/>
  <c r="Z8" i="48"/>
  <c r="AA8" i="48"/>
  <c r="AB8" i="48"/>
  <c r="AC8" i="48"/>
  <c r="AD8" i="48"/>
  <c r="AE8" i="48"/>
  <c r="AF8" i="48"/>
  <c r="AG8" i="48"/>
  <c r="AH8" i="48"/>
  <c r="AI8" i="48"/>
  <c r="AJ8" i="48"/>
  <c r="AK8" i="48"/>
  <c r="AL8" i="48"/>
  <c r="AM8" i="48"/>
  <c r="AN8" i="48"/>
  <c r="AO8" i="48"/>
  <c r="AP8" i="48"/>
  <c r="AQ8" i="48"/>
  <c r="AR8" i="48"/>
  <c r="AS8" i="48"/>
  <c r="AT8" i="48"/>
  <c r="AU8" i="48"/>
  <c r="AV8" i="48"/>
  <c r="AW8" i="48"/>
  <c r="AX8" i="48"/>
  <c r="AY8" i="48"/>
  <c r="AZ8" i="48"/>
  <c r="BA8" i="48"/>
  <c r="BB8" i="48"/>
  <c r="BC8" i="48"/>
  <c r="BD8" i="48"/>
  <c r="BE8" i="48"/>
  <c r="BF8" i="48"/>
  <c r="BG8" i="48"/>
  <c r="BH8" i="48"/>
  <c r="BI8" i="48"/>
  <c r="BJ8" i="48"/>
  <c r="BK8" i="48"/>
  <c r="BL8" i="48"/>
  <c r="BM8" i="48"/>
  <c r="BN8" i="48"/>
  <c r="BO8" i="48"/>
  <c r="BP8" i="48"/>
  <c r="BQ8" i="48"/>
  <c r="BR8" i="48"/>
  <c r="BS8" i="48"/>
  <c r="BT8" i="48"/>
  <c r="A9" i="48"/>
  <c r="B9" i="48"/>
  <c r="C9" i="48"/>
  <c r="D9" i="48"/>
  <c r="E9" i="48"/>
  <c r="F9" i="48"/>
  <c r="G9" i="48"/>
  <c r="H9" i="48"/>
  <c r="I9" i="48"/>
  <c r="J9" i="48"/>
  <c r="DF9" i="48" s="1"/>
  <c r="K9" i="48"/>
  <c r="L9" i="48"/>
  <c r="M9" i="48"/>
  <c r="N9" i="48"/>
  <c r="O9" i="48"/>
  <c r="P9" i="48"/>
  <c r="Q9" i="48"/>
  <c r="R9" i="48"/>
  <c r="S9" i="48"/>
  <c r="T9" i="48"/>
  <c r="U9" i="48"/>
  <c r="V9" i="48"/>
  <c r="W9" i="48"/>
  <c r="X9" i="48"/>
  <c r="Y9" i="48"/>
  <c r="Z9" i="48"/>
  <c r="AA9" i="48"/>
  <c r="AB9" i="48"/>
  <c r="AC9" i="48"/>
  <c r="AD9" i="48"/>
  <c r="AE9" i="48"/>
  <c r="AF9" i="48"/>
  <c r="AG9" i="48"/>
  <c r="AH9" i="48"/>
  <c r="AI9" i="48"/>
  <c r="AJ9" i="48"/>
  <c r="AK9" i="48"/>
  <c r="AL9" i="48"/>
  <c r="AM9" i="48"/>
  <c r="AN9" i="48"/>
  <c r="AO9" i="48"/>
  <c r="AP9" i="48"/>
  <c r="AQ9" i="48"/>
  <c r="AR9" i="48"/>
  <c r="AS9" i="48"/>
  <c r="AT9" i="48"/>
  <c r="AU9" i="48"/>
  <c r="AV9" i="48"/>
  <c r="AW9" i="48"/>
  <c r="AX9" i="48"/>
  <c r="AY9" i="48"/>
  <c r="AZ9" i="48"/>
  <c r="BA9" i="48"/>
  <c r="BB9" i="48"/>
  <c r="BC9" i="48"/>
  <c r="BD9" i="48"/>
  <c r="BE9" i="48"/>
  <c r="BF9" i="48"/>
  <c r="BG9" i="48"/>
  <c r="BH9" i="48"/>
  <c r="BI9" i="48"/>
  <c r="BJ9" i="48"/>
  <c r="BK9" i="48"/>
  <c r="BL9" i="48"/>
  <c r="BM9" i="48"/>
  <c r="BN9" i="48"/>
  <c r="BO9" i="48"/>
  <c r="BP9" i="48"/>
  <c r="BQ9" i="48"/>
  <c r="BR9" i="48"/>
  <c r="BS9" i="48"/>
  <c r="BT9" i="48"/>
  <c r="A10" i="48"/>
  <c r="B10" i="48"/>
  <c r="C10" i="48"/>
  <c r="D10" i="48"/>
  <c r="E10" i="48"/>
  <c r="F10" i="48"/>
  <c r="G10" i="48"/>
  <c r="H10" i="48"/>
  <c r="I10" i="48"/>
  <c r="J10" i="48"/>
  <c r="DF10" i="48" s="1"/>
  <c r="K10" i="48"/>
  <c r="L10" i="48"/>
  <c r="M10" i="48"/>
  <c r="N10" i="48"/>
  <c r="O10" i="48"/>
  <c r="P10" i="48"/>
  <c r="Q10" i="48"/>
  <c r="R10" i="48"/>
  <c r="S10" i="48"/>
  <c r="T10" i="48"/>
  <c r="U10" i="48"/>
  <c r="V10" i="48"/>
  <c r="W10" i="48"/>
  <c r="X10" i="48"/>
  <c r="Y10" i="48"/>
  <c r="Z10" i="48"/>
  <c r="AA10" i="48"/>
  <c r="AB10" i="48"/>
  <c r="AC10" i="48"/>
  <c r="AD10" i="48"/>
  <c r="AE10" i="48"/>
  <c r="AF10" i="48"/>
  <c r="AG10" i="48"/>
  <c r="AH10" i="48"/>
  <c r="AI10" i="48"/>
  <c r="AJ10" i="48"/>
  <c r="AK10" i="48"/>
  <c r="AL10" i="48"/>
  <c r="AM10" i="48"/>
  <c r="AN10" i="48"/>
  <c r="AO10" i="48"/>
  <c r="AP10" i="48"/>
  <c r="AQ10" i="48"/>
  <c r="AR10" i="48"/>
  <c r="AS10" i="48"/>
  <c r="AT10" i="48"/>
  <c r="AU10" i="48"/>
  <c r="AV10" i="48"/>
  <c r="AW10" i="48"/>
  <c r="AX10" i="48"/>
  <c r="AY10" i="48"/>
  <c r="AZ10" i="48"/>
  <c r="BA10" i="48"/>
  <c r="BB10" i="48"/>
  <c r="BC10" i="48"/>
  <c r="BD10" i="48"/>
  <c r="BE10" i="48"/>
  <c r="BF10" i="48"/>
  <c r="BG10" i="48"/>
  <c r="BH10" i="48"/>
  <c r="BI10" i="48"/>
  <c r="BJ10" i="48"/>
  <c r="BK10" i="48"/>
  <c r="BL10" i="48"/>
  <c r="BM10" i="48"/>
  <c r="BN10" i="48"/>
  <c r="BO10" i="48"/>
  <c r="BP10" i="48"/>
  <c r="BQ10" i="48"/>
  <c r="BR10" i="48"/>
  <c r="BS10" i="48"/>
  <c r="BT10" i="48"/>
  <c r="A11" i="48"/>
  <c r="B11" i="48"/>
  <c r="C11" i="48"/>
  <c r="D11" i="48"/>
  <c r="E11" i="48"/>
  <c r="F11" i="48"/>
  <c r="G11" i="48"/>
  <c r="H11" i="48"/>
  <c r="I11" i="48"/>
  <c r="J11" i="48"/>
  <c r="DF11" i="48" s="1"/>
  <c r="K11" i="48"/>
  <c r="L11" i="48"/>
  <c r="M11" i="48"/>
  <c r="N11" i="48"/>
  <c r="O11" i="48"/>
  <c r="P11" i="48"/>
  <c r="Q11" i="48"/>
  <c r="R11" i="48"/>
  <c r="S11" i="48"/>
  <c r="T11" i="48"/>
  <c r="U11" i="48"/>
  <c r="V11" i="48"/>
  <c r="W11" i="48"/>
  <c r="X11" i="48"/>
  <c r="Y11" i="48"/>
  <c r="Z11" i="48"/>
  <c r="AA11" i="48"/>
  <c r="AB11" i="48"/>
  <c r="AC11" i="48"/>
  <c r="AD11" i="48"/>
  <c r="AE11" i="48"/>
  <c r="AF11" i="48"/>
  <c r="AG11" i="48"/>
  <c r="AH11" i="48"/>
  <c r="AI11" i="48"/>
  <c r="AJ11" i="48"/>
  <c r="AK11" i="48"/>
  <c r="AL11" i="48"/>
  <c r="AM11" i="48"/>
  <c r="AN11" i="48"/>
  <c r="AO11" i="48"/>
  <c r="AP11" i="48"/>
  <c r="AQ11" i="48"/>
  <c r="AR11" i="48"/>
  <c r="AS11" i="48"/>
  <c r="AT11" i="48"/>
  <c r="AU11" i="48"/>
  <c r="AV11" i="48"/>
  <c r="AW11" i="48"/>
  <c r="AX11" i="48"/>
  <c r="AY11" i="48"/>
  <c r="AZ11" i="48"/>
  <c r="BA11" i="48"/>
  <c r="BB11" i="48"/>
  <c r="BC11" i="48"/>
  <c r="BD11" i="48"/>
  <c r="BE11" i="48"/>
  <c r="BF11" i="48"/>
  <c r="BG11" i="48"/>
  <c r="BH11" i="48"/>
  <c r="BI11" i="48"/>
  <c r="BJ11" i="48"/>
  <c r="BK11" i="48"/>
  <c r="BL11" i="48"/>
  <c r="BM11" i="48"/>
  <c r="BN11" i="48"/>
  <c r="BO11" i="48"/>
  <c r="BP11" i="48"/>
  <c r="BQ11" i="48"/>
  <c r="BR11" i="48"/>
  <c r="BS11" i="48"/>
  <c r="BT11" i="48"/>
  <c r="A12" i="48"/>
  <c r="B12" i="48"/>
  <c r="C12" i="48"/>
  <c r="D12" i="48"/>
  <c r="E12" i="48"/>
  <c r="F12" i="48"/>
  <c r="G12" i="48"/>
  <c r="H12" i="48"/>
  <c r="I12" i="48"/>
  <c r="J12" i="48"/>
  <c r="DF12" i="48" s="1"/>
  <c r="K12" i="48"/>
  <c r="L12" i="48"/>
  <c r="M12" i="48"/>
  <c r="N12" i="48"/>
  <c r="O12" i="48"/>
  <c r="P12" i="48"/>
  <c r="Q12" i="48"/>
  <c r="R12" i="48"/>
  <c r="S12" i="48"/>
  <c r="T12" i="48"/>
  <c r="U12" i="48"/>
  <c r="V12" i="48"/>
  <c r="W12" i="48"/>
  <c r="X12" i="48"/>
  <c r="Y12" i="48"/>
  <c r="Z12" i="48"/>
  <c r="AA12" i="48"/>
  <c r="AB12" i="48"/>
  <c r="AC12" i="48"/>
  <c r="AD12" i="48"/>
  <c r="AE12" i="48"/>
  <c r="AF12" i="48"/>
  <c r="AG12" i="48"/>
  <c r="AH12" i="48"/>
  <c r="AI12" i="48"/>
  <c r="AJ12" i="48"/>
  <c r="AK12" i="48"/>
  <c r="AL12" i="48"/>
  <c r="AM12" i="48"/>
  <c r="AN12" i="48"/>
  <c r="AO12" i="48"/>
  <c r="AP12" i="48"/>
  <c r="AQ12" i="48"/>
  <c r="AR12" i="48"/>
  <c r="AS12" i="48"/>
  <c r="AT12" i="48"/>
  <c r="AU12" i="48"/>
  <c r="AV12" i="48"/>
  <c r="AW12" i="48"/>
  <c r="AX12" i="48"/>
  <c r="AY12" i="48"/>
  <c r="AZ12" i="48"/>
  <c r="BA12" i="48"/>
  <c r="BB12" i="48"/>
  <c r="BC12" i="48"/>
  <c r="BD12" i="48"/>
  <c r="BE12" i="48"/>
  <c r="BF12" i="48"/>
  <c r="BG12" i="48"/>
  <c r="BH12" i="48"/>
  <c r="BI12" i="48"/>
  <c r="BJ12" i="48"/>
  <c r="BK12" i="48"/>
  <c r="BL12" i="48"/>
  <c r="BM12" i="48"/>
  <c r="BN12" i="48"/>
  <c r="BO12" i="48"/>
  <c r="BP12" i="48"/>
  <c r="BQ12" i="48"/>
  <c r="BR12" i="48"/>
  <c r="BS12" i="48"/>
  <c r="BT12" i="48"/>
  <c r="A13" i="48"/>
  <c r="B13" i="48"/>
  <c r="C13" i="48"/>
  <c r="D13" i="48"/>
  <c r="E13" i="48"/>
  <c r="F13" i="48"/>
  <c r="G13" i="48"/>
  <c r="H13" i="48"/>
  <c r="I13" i="48"/>
  <c r="J13" i="48"/>
  <c r="DF13" i="48" s="1"/>
  <c r="K13" i="48"/>
  <c r="L13" i="48"/>
  <c r="M13" i="48"/>
  <c r="N13" i="48"/>
  <c r="O13" i="48"/>
  <c r="P13" i="48"/>
  <c r="Q13" i="48"/>
  <c r="R13" i="48"/>
  <c r="S13" i="48"/>
  <c r="T13" i="48"/>
  <c r="U13" i="48"/>
  <c r="V13" i="48"/>
  <c r="W13" i="48"/>
  <c r="X13" i="48"/>
  <c r="Y13" i="48"/>
  <c r="Z13" i="48"/>
  <c r="AA13" i="48"/>
  <c r="AB13" i="48"/>
  <c r="AC13" i="48"/>
  <c r="AD13" i="48"/>
  <c r="AE13" i="48"/>
  <c r="AF13" i="48"/>
  <c r="AG13" i="48"/>
  <c r="AH13" i="48"/>
  <c r="AI13" i="48"/>
  <c r="AJ13" i="48"/>
  <c r="AK13" i="48"/>
  <c r="AL13" i="48"/>
  <c r="AM13" i="48"/>
  <c r="AN13" i="48"/>
  <c r="AO13" i="48"/>
  <c r="AP13" i="48"/>
  <c r="AQ13" i="48"/>
  <c r="AR13" i="48"/>
  <c r="AS13" i="48"/>
  <c r="AT13" i="48"/>
  <c r="AU13" i="48"/>
  <c r="AV13" i="48"/>
  <c r="AW13" i="48"/>
  <c r="AX13" i="48"/>
  <c r="AY13" i="48"/>
  <c r="AZ13" i="48"/>
  <c r="BA13" i="48"/>
  <c r="BB13" i="48"/>
  <c r="BC13" i="48"/>
  <c r="BD13" i="48"/>
  <c r="BE13" i="48"/>
  <c r="BF13" i="48"/>
  <c r="BG13" i="48"/>
  <c r="BH13" i="48"/>
  <c r="BI13" i="48"/>
  <c r="BJ13" i="48"/>
  <c r="BK13" i="48"/>
  <c r="BL13" i="48"/>
  <c r="BM13" i="48"/>
  <c r="BN13" i="48"/>
  <c r="BO13" i="48"/>
  <c r="BP13" i="48"/>
  <c r="BQ13" i="48"/>
  <c r="BR13" i="48"/>
  <c r="BS13" i="48"/>
  <c r="BT13" i="48"/>
  <c r="A14" i="48"/>
  <c r="B14" i="48"/>
  <c r="C14" i="48"/>
  <c r="D14" i="48"/>
  <c r="E14" i="48"/>
  <c r="F14" i="48"/>
  <c r="G14" i="48"/>
  <c r="H14" i="48"/>
  <c r="I14" i="48"/>
  <c r="J14" i="48"/>
  <c r="DF14" i="48" s="1"/>
  <c r="K14" i="48"/>
  <c r="L14" i="48"/>
  <c r="M14" i="48"/>
  <c r="N14" i="48"/>
  <c r="O14" i="48"/>
  <c r="P14" i="48"/>
  <c r="Q14" i="48"/>
  <c r="R14" i="48"/>
  <c r="S14" i="48"/>
  <c r="T14" i="48"/>
  <c r="U14" i="48"/>
  <c r="V14" i="48"/>
  <c r="W14" i="48"/>
  <c r="X14" i="48"/>
  <c r="Y14" i="48"/>
  <c r="Z14" i="48"/>
  <c r="AA14" i="48"/>
  <c r="AB14" i="48"/>
  <c r="AC14" i="48"/>
  <c r="AD14" i="48"/>
  <c r="AE14" i="48"/>
  <c r="AF14" i="48"/>
  <c r="AG14" i="48"/>
  <c r="AH14" i="48"/>
  <c r="AI14" i="48"/>
  <c r="AJ14" i="48"/>
  <c r="AK14" i="48"/>
  <c r="AL14" i="48"/>
  <c r="AM14" i="48"/>
  <c r="AN14" i="48"/>
  <c r="AO14" i="48"/>
  <c r="AP14" i="48"/>
  <c r="AQ14" i="48"/>
  <c r="AR14" i="48"/>
  <c r="AS14" i="48"/>
  <c r="AT14" i="48"/>
  <c r="AU14" i="48"/>
  <c r="AV14" i="48"/>
  <c r="AW14" i="48"/>
  <c r="AX14" i="48"/>
  <c r="AY14" i="48"/>
  <c r="AZ14" i="48"/>
  <c r="BA14" i="48"/>
  <c r="BB14" i="48"/>
  <c r="BC14" i="48"/>
  <c r="BD14" i="48"/>
  <c r="BE14" i="48"/>
  <c r="BF14" i="48"/>
  <c r="BG14" i="48"/>
  <c r="BH14" i="48"/>
  <c r="BI14" i="48"/>
  <c r="BJ14" i="48"/>
  <c r="BK14" i="48"/>
  <c r="BL14" i="48"/>
  <c r="BM14" i="48"/>
  <c r="BN14" i="48"/>
  <c r="BO14" i="48"/>
  <c r="BP14" i="48"/>
  <c r="BQ14" i="48"/>
  <c r="BR14" i="48"/>
  <c r="BS14" i="48"/>
  <c r="BT14" i="48"/>
  <c r="A15" i="48"/>
  <c r="B15" i="48"/>
  <c r="C15" i="48"/>
  <c r="D15" i="48"/>
  <c r="E15" i="48"/>
  <c r="F15" i="48"/>
  <c r="G15" i="48"/>
  <c r="H15" i="48"/>
  <c r="I15" i="48"/>
  <c r="J15" i="48"/>
  <c r="DF15" i="48" s="1"/>
  <c r="K15" i="48"/>
  <c r="L15" i="48"/>
  <c r="M15" i="48"/>
  <c r="N15" i="48"/>
  <c r="O15" i="48"/>
  <c r="P15" i="48"/>
  <c r="Q15" i="48"/>
  <c r="R15" i="48"/>
  <c r="S15" i="48"/>
  <c r="T15" i="48"/>
  <c r="U15" i="48"/>
  <c r="V15" i="48"/>
  <c r="W15" i="48"/>
  <c r="X15" i="48"/>
  <c r="Y15" i="48"/>
  <c r="Z15" i="48"/>
  <c r="AA15" i="48"/>
  <c r="AB15" i="48"/>
  <c r="AC15" i="48"/>
  <c r="AD15" i="48"/>
  <c r="AE15" i="48"/>
  <c r="AF15" i="48"/>
  <c r="AG15" i="48"/>
  <c r="AH15" i="48"/>
  <c r="AI15" i="48"/>
  <c r="AJ15" i="48"/>
  <c r="AK15" i="48"/>
  <c r="AL15" i="48"/>
  <c r="AM15" i="48"/>
  <c r="AN15" i="48"/>
  <c r="AO15" i="48"/>
  <c r="AP15" i="48"/>
  <c r="AQ15" i="48"/>
  <c r="AR15" i="48"/>
  <c r="AS15" i="48"/>
  <c r="AT15" i="48"/>
  <c r="AU15" i="48"/>
  <c r="AV15" i="48"/>
  <c r="AW15" i="48"/>
  <c r="AX15" i="48"/>
  <c r="AY15" i="48"/>
  <c r="AZ15" i="48"/>
  <c r="BA15" i="48"/>
  <c r="BB15" i="48"/>
  <c r="BC15" i="48"/>
  <c r="BD15" i="48"/>
  <c r="BE15" i="48"/>
  <c r="BF15" i="48"/>
  <c r="BG15" i="48"/>
  <c r="BH15" i="48"/>
  <c r="BI15" i="48"/>
  <c r="BJ15" i="48"/>
  <c r="BK15" i="48"/>
  <c r="BL15" i="48"/>
  <c r="BM15" i="48"/>
  <c r="BN15" i="48"/>
  <c r="BO15" i="48"/>
  <c r="BP15" i="48"/>
  <c r="BQ15" i="48"/>
  <c r="BR15" i="48"/>
  <c r="BS15" i="48"/>
  <c r="BT15" i="48"/>
  <c r="A16" i="48"/>
  <c r="B16" i="48"/>
  <c r="C16" i="48"/>
  <c r="D16" i="48"/>
  <c r="E16" i="48"/>
  <c r="F16" i="48"/>
  <c r="G16" i="48"/>
  <c r="H16" i="48"/>
  <c r="I16" i="48"/>
  <c r="J16" i="48"/>
  <c r="DF16" i="48" s="1"/>
  <c r="K16" i="48"/>
  <c r="L16" i="48"/>
  <c r="M16" i="48"/>
  <c r="N16" i="48"/>
  <c r="O16" i="48"/>
  <c r="P16" i="48"/>
  <c r="Q16" i="48"/>
  <c r="R16" i="48"/>
  <c r="S16" i="48"/>
  <c r="T16" i="48"/>
  <c r="U16" i="48"/>
  <c r="V16" i="48"/>
  <c r="W16" i="48"/>
  <c r="X16" i="48"/>
  <c r="Y16" i="48"/>
  <c r="Z16" i="48"/>
  <c r="AA16" i="48"/>
  <c r="AB16" i="48"/>
  <c r="AC16" i="48"/>
  <c r="AD16" i="48"/>
  <c r="AE16" i="48"/>
  <c r="AF16" i="48"/>
  <c r="AG16" i="48"/>
  <c r="AH16" i="48"/>
  <c r="AI16" i="48"/>
  <c r="AJ16" i="48"/>
  <c r="AK16" i="48"/>
  <c r="AL16" i="48"/>
  <c r="AM16" i="48"/>
  <c r="AN16" i="48"/>
  <c r="AO16" i="48"/>
  <c r="AP16" i="48"/>
  <c r="AQ16" i="48"/>
  <c r="AR16" i="48"/>
  <c r="AS16" i="48"/>
  <c r="AT16" i="48"/>
  <c r="AU16" i="48"/>
  <c r="AV16" i="48"/>
  <c r="AW16" i="48"/>
  <c r="AX16" i="48"/>
  <c r="AY16" i="48"/>
  <c r="AZ16" i="48"/>
  <c r="BA16" i="48"/>
  <c r="BB16" i="48"/>
  <c r="BC16" i="48"/>
  <c r="BD16" i="48"/>
  <c r="BE16" i="48"/>
  <c r="BF16" i="48"/>
  <c r="BG16" i="48"/>
  <c r="BH16" i="48"/>
  <c r="BI16" i="48"/>
  <c r="BJ16" i="48"/>
  <c r="BK16" i="48"/>
  <c r="BL16" i="48"/>
  <c r="BM16" i="48"/>
  <c r="BN16" i="48"/>
  <c r="BO16" i="48"/>
  <c r="BP16" i="48"/>
  <c r="BQ16" i="48"/>
  <c r="BR16" i="48"/>
  <c r="BS16" i="48"/>
  <c r="BT16" i="48"/>
  <c r="A17" i="48"/>
  <c r="B17" i="48"/>
  <c r="C17" i="48"/>
  <c r="D17" i="48"/>
  <c r="E17" i="48"/>
  <c r="F17" i="48"/>
  <c r="G17" i="48"/>
  <c r="H17" i="48"/>
  <c r="I17" i="48"/>
  <c r="J17" i="48"/>
  <c r="DF17" i="48" s="1"/>
  <c r="K17" i="48"/>
  <c r="L17" i="48"/>
  <c r="M17" i="48"/>
  <c r="N17" i="48"/>
  <c r="O17" i="48"/>
  <c r="P17" i="48"/>
  <c r="Q17" i="48"/>
  <c r="R17" i="48"/>
  <c r="S17" i="48"/>
  <c r="T17" i="48"/>
  <c r="U17" i="48"/>
  <c r="V17" i="48"/>
  <c r="W17" i="48"/>
  <c r="X17" i="48"/>
  <c r="Y17" i="48"/>
  <c r="Z17" i="48"/>
  <c r="AA17" i="48"/>
  <c r="AB17" i="48"/>
  <c r="AC17" i="48"/>
  <c r="AD17" i="48"/>
  <c r="AE17" i="48"/>
  <c r="AF17" i="48"/>
  <c r="AG17" i="48"/>
  <c r="AH17" i="48"/>
  <c r="AI17" i="48"/>
  <c r="AJ17" i="48"/>
  <c r="AK17" i="48"/>
  <c r="AL17" i="48"/>
  <c r="AM17" i="48"/>
  <c r="AN17" i="48"/>
  <c r="AO17" i="48"/>
  <c r="AP17" i="48"/>
  <c r="AQ17" i="48"/>
  <c r="AR17" i="48"/>
  <c r="AS17" i="48"/>
  <c r="AT17" i="48"/>
  <c r="AU17" i="48"/>
  <c r="AV17" i="48"/>
  <c r="AW17" i="48"/>
  <c r="AX17" i="48"/>
  <c r="AY17" i="48"/>
  <c r="AZ17" i="48"/>
  <c r="BA17" i="48"/>
  <c r="BB17" i="48"/>
  <c r="BC17" i="48"/>
  <c r="BD17" i="48"/>
  <c r="BE17" i="48"/>
  <c r="BF17" i="48"/>
  <c r="BG17" i="48"/>
  <c r="BH17" i="48"/>
  <c r="BI17" i="48"/>
  <c r="BJ17" i="48"/>
  <c r="BK17" i="48"/>
  <c r="BL17" i="48"/>
  <c r="BM17" i="48"/>
  <c r="BN17" i="48"/>
  <c r="BO17" i="48"/>
  <c r="BP17" i="48"/>
  <c r="BQ17" i="48"/>
  <c r="BR17" i="48"/>
  <c r="BS17" i="48"/>
  <c r="BT17" i="48"/>
  <c r="A18" i="48"/>
  <c r="B18" i="48"/>
  <c r="C18" i="48"/>
  <c r="D18" i="48"/>
  <c r="E18" i="48"/>
  <c r="F18" i="48"/>
  <c r="G18" i="48"/>
  <c r="H18" i="48"/>
  <c r="I18" i="48"/>
  <c r="J18" i="48"/>
  <c r="DF18" i="48" s="1"/>
  <c r="K18" i="48"/>
  <c r="L18" i="48"/>
  <c r="M18" i="48"/>
  <c r="N18" i="48"/>
  <c r="O18" i="48"/>
  <c r="P18" i="48"/>
  <c r="Q18" i="48"/>
  <c r="R18" i="48"/>
  <c r="S18" i="48"/>
  <c r="T18" i="48"/>
  <c r="U18" i="48"/>
  <c r="V18" i="48"/>
  <c r="W18" i="48"/>
  <c r="X18" i="48"/>
  <c r="Y18" i="48"/>
  <c r="Z18" i="48"/>
  <c r="AA18" i="48"/>
  <c r="AB18" i="48"/>
  <c r="AC18" i="48"/>
  <c r="AD18" i="48"/>
  <c r="AE18" i="48"/>
  <c r="AF18" i="48"/>
  <c r="AG18" i="48"/>
  <c r="AH18" i="48"/>
  <c r="AI18" i="48"/>
  <c r="AJ18" i="48"/>
  <c r="AK18" i="48"/>
  <c r="AL18" i="48"/>
  <c r="AM18" i="48"/>
  <c r="AN18" i="48"/>
  <c r="AO18" i="48"/>
  <c r="AP18" i="48"/>
  <c r="AQ18" i="48"/>
  <c r="AR18" i="48"/>
  <c r="AS18" i="48"/>
  <c r="AT18" i="48"/>
  <c r="AU18" i="48"/>
  <c r="AV18" i="48"/>
  <c r="AW18" i="48"/>
  <c r="AX18" i="48"/>
  <c r="AY18" i="48"/>
  <c r="AZ18" i="48"/>
  <c r="BA18" i="48"/>
  <c r="BB18" i="48"/>
  <c r="BC18" i="48"/>
  <c r="BD18" i="48"/>
  <c r="BE18" i="48"/>
  <c r="BF18" i="48"/>
  <c r="BG18" i="48"/>
  <c r="BH18" i="48"/>
  <c r="BI18" i="48"/>
  <c r="BJ18" i="48"/>
  <c r="BK18" i="48"/>
  <c r="BL18" i="48"/>
  <c r="BM18" i="48"/>
  <c r="BN18" i="48"/>
  <c r="BO18" i="48"/>
  <c r="BP18" i="48"/>
  <c r="BQ18" i="48"/>
  <c r="BR18" i="48"/>
  <c r="BS18" i="48"/>
  <c r="BT18" i="48"/>
  <c r="A19" i="48"/>
  <c r="B19" i="48"/>
  <c r="C19" i="48"/>
  <c r="D19" i="48"/>
  <c r="E19" i="48"/>
  <c r="F19" i="48"/>
  <c r="G19" i="48"/>
  <c r="H19" i="48"/>
  <c r="I19" i="48"/>
  <c r="J19" i="48"/>
  <c r="DF19" i="48" s="1"/>
  <c r="K19" i="48"/>
  <c r="L19" i="48"/>
  <c r="M19" i="48"/>
  <c r="N19" i="48"/>
  <c r="O19" i="48"/>
  <c r="P19" i="48"/>
  <c r="Q19" i="48"/>
  <c r="R19" i="48"/>
  <c r="S19" i="48"/>
  <c r="T19" i="48"/>
  <c r="U19" i="48"/>
  <c r="V19" i="48"/>
  <c r="W19" i="48"/>
  <c r="X19" i="48"/>
  <c r="Y19" i="48"/>
  <c r="Z19" i="48"/>
  <c r="AA19" i="48"/>
  <c r="AB19" i="48"/>
  <c r="AC19" i="48"/>
  <c r="AD19" i="48"/>
  <c r="AE19" i="48"/>
  <c r="AF19" i="48"/>
  <c r="AG19" i="48"/>
  <c r="AH19" i="48"/>
  <c r="AI19" i="48"/>
  <c r="AJ19" i="48"/>
  <c r="AK19" i="48"/>
  <c r="AL19" i="48"/>
  <c r="AM19" i="48"/>
  <c r="AN19" i="48"/>
  <c r="AO19" i="48"/>
  <c r="AP19" i="48"/>
  <c r="AQ19" i="48"/>
  <c r="AR19" i="48"/>
  <c r="AS19" i="48"/>
  <c r="AT19" i="48"/>
  <c r="AU19" i="48"/>
  <c r="AV19" i="48"/>
  <c r="AW19" i="48"/>
  <c r="AX19" i="48"/>
  <c r="AY19" i="48"/>
  <c r="AZ19" i="48"/>
  <c r="BA19" i="48"/>
  <c r="BB19" i="48"/>
  <c r="BC19" i="48"/>
  <c r="BD19" i="48"/>
  <c r="BE19" i="48"/>
  <c r="BF19" i="48"/>
  <c r="BG19" i="48"/>
  <c r="BH19" i="48"/>
  <c r="BI19" i="48"/>
  <c r="BJ19" i="48"/>
  <c r="BK19" i="48"/>
  <c r="BL19" i="48"/>
  <c r="BM19" i="48"/>
  <c r="BN19" i="48"/>
  <c r="BO19" i="48"/>
  <c r="BP19" i="48"/>
  <c r="BQ19" i="48"/>
  <c r="BR19" i="48"/>
  <c r="BS19" i="48"/>
  <c r="BT19" i="48"/>
  <c r="A20" i="48"/>
  <c r="B20" i="48"/>
  <c r="C20" i="48"/>
  <c r="D20" i="48"/>
  <c r="E20" i="48"/>
  <c r="F20" i="48"/>
  <c r="G20" i="48"/>
  <c r="H20" i="48"/>
  <c r="I20" i="48"/>
  <c r="J20" i="48"/>
  <c r="DF20" i="48" s="1"/>
  <c r="K20" i="48"/>
  <c r="L20" i="48"/>
  <c r="M20" i="48"/>
  <c r="N20" i="48"/>
  <c r="O20" i="48"/>
  <c r="P20" i="48"/>
  <c r="Q20" i="48"/>
  <c r="R20" i="48"/>
  <c r="S20" i="48"/>
  <c r="T20" i="48"/>
  <c r="U20" i="48"/>
  <c r="V20" i="48"/>
  <c r="W20" i="48"/>
  <c r="X20" i="48"/>
  <c r="Y20" i="48"/>
  <c r="Z20" i="48"/>
  <c r="AA20" i="48"/>
  <c r="AB20" i="48"/>
  <c r="AC20" i="48"/>
  <c r="AD20" i="48"/>
  <c r="AE20" i="48"/>
  <c r="AF20" i="48"/>
  <c r="AG20" i="48"/>
  <c r="AH20" i="48"/>
  <c r="AI20" i="48"/>
  <c r="AJ20" i="48"/>
  <c r="AK20" i="48"/>
  <c r="AL20" i="48"/>
  <c r="AM20" i="48"/>
  <c r="AN20" i="48"/>
  <c r="AO20" i="48"/>
  <c r="AP20" i="48"/>
  <c r="AQ20" i="48"/>
  <c r="AR20" i="48"/>
  <c r="AS20" i="48"/>
  <c r="AT20" i="48"/>
  <c r="AU20" i="48"/>
  <c r="AV20" i="48"/>
  <c r="AW20" i="48"/>
  <c r="AX20" i="48"/>
  <c r="AY20" i="48"/>
  <c r="AZ20" i="48"/>
  <c r="BA20" i="48"/>
  <c r="BB20" i="48"/>
  <c r="BC20" i="48"/>
  <c r="BD20" i="48"/>
  <c r="BE20" i="48"/>
  <c r="BF20" i="48"/>
  <c r="BG20" i="48"/>
  <c r="BH20" i="48"/>
  <c r="BI20" i="48"/>
  <c r="BJ20" i="48"/>
  <c r="BK20" i="48"/>
  <c r="BL20" i="48"/>
  <c r="BM20" i="48"/>
  <c r="BN20" i="48"/>
  <c r="BO20" i="48"/>
  <c r="BP20" i="48"/>
  <c r="BQ20" i="48"/>
  <c r="BR20" i="48"/>
  <c r="BS20" i="48"/>
  <c r="BT20" i="48"/>
  <c r="A21" i="48"/>
  <c r="B21" i="48"/>
  <c r="C21" i="48"/>
  <c r="D21" i="48"/>
  <c r="E21" i="48"/>
  <c r="F21" i="48"/>
  <c r="G21" i="48"/>
  <c r="H21" i="48"/>
  <c r="I21" i="48"/>
  <c r="J21" i="48"/>
  <c r="DF21" i="48" s="1"/>
  <c r="K21" i="48"/>
  <c r="L21" i="48"/>
  <c r="M21" i="48"/>
  <c r="N21" i="48"/>
  <c r="O21" i="48"/>
  <c r="P21" i="48"/>
  <c r="Q21" i="48"/>
  <c r="R21" i="48"/>
  <c r="S21" i="48"/>
  <c r="T21" i="48"/>
  <c r="U21" i="48"/>
  <c r="V21" i="48"/>
  <c r="W21" i="48"/>
  <c r="X21" i="48"/>
  <c r="Y21" i="48"/>
  <c r="Z21" i="48"/>
  <c r="AA21" i="48"/>
  <c r="AB21" i="48"/>
  <c r="AC21" i="48"/>
  <c r="AD21" i="48"/>
  <c r="AE21" i="48"/>
  <c r="AF21" i="48"/>
  <c r="AG21" i="48"/>
  <c r="AH21" i="48"/>
  <c r="AI21" i="48"/>
  <c r="AJ21" i="48"/>
  <c r="AK21" i="48"/>
  <c r="AL21" i="48"/>
  <c r="AM21" i="48"/>
  <c r="AN21" i="48"/>
  <c r="AO21" i="48"/>
  <c r="AP21" i="48"/>
  <c r="AQ21" i="48"/>
  <c r="AR21" i="48"/>
  <c r="AS21" i="48"/>
  <c r="AT21" i="48"/>
  <c r="AU21" i="48"/>
  <c r="AV21" i="48"/>
  <c r="AW21" i="48"/>
  <c r="AX21" i="48"/>
  <c r="AY21" i="48"/>
  <c r="AZ21" i="48"/>
  <c r="BA21" i="48"/>
  <c r="BB21" i="48"/>
  <c r="BC21" i="48"/>
  <c r="BD21" i="48"/>
  <c r="BE21" i="48"/>
  <c r="BF21" i="48"/>
  <c r="BG21" i="48"/>
  <c r="BH21" i="48"/>
  <c r="BI21" i="48"/>
  <c r="BJ21" i="48"/>
  <c r="BK21" i="48"/>
  <c r="BL21" i="48"/>
  <c r="BM21" i="48"/>
  <c r="BN21" i="48"/>
  <c r="BO21" i="48"/>
  <c r="BP21" i="48"/>
  <c r="BQ21" i="48"/>
  <c r="BR21" i="48"/>
  <c r="BS21" i="48"/>
  <c r="BT21" i="48"/>
  <c r="A22" i="48"/>
  <c r="B22" i="48"/>
  <c r="C22" i="48"/>
  <c r="D22" i="48"/>
  <c r="E22" i="48"/>
  <c r="F22" i="48"/>
  <c r="G22" i="48"/>
  <c r="H22" i="48"/>
  <c r="I22" i="48"/>
  <c r="J22" i="48"/>
  <c r="DF22" i="48" s="1"/>
  <c r="K22" i="48"/>
  <c r="L22" i="48"/>
  <c r="M22" i="48"/>
  <c r="N22" i="48"/>
  <c r="O22" i="48"/>
  <c r="P22" i="48"/>
  <c r="Q22" i="48"/>
  <c r="R22" i="48"/>
  <c r="S22" i="48"/>
  <c r="T22" i="48"/>
  <c r="U22" i="48"/>
  <c r="V22" i="48"/>
  <c r="W22" i="48"/>
  <c r="X22" i="48"/>
  <c r="Y22" i="48"/>
  <c r="Z22" i="48"/>
  <c r="AA22" i="48"/>
  <c r="AB22" i="48"/>
  <c r="AC22" i="48"/>
  <c r="AD22" i="48"/>
  <c r="AE22" i="48"/>
  <c r="AF22" i="48"/>
  <c r="AG22" i="48"/>
  <c r="AH22" i="48"/>
  <c r="AI22" i="48"/>
  <c r="AJ22" i="48"/>
  <c r="AK22" i="48"/>
  <c r="AL22" i="48"/>
  <c r="AM22" i="48"/>
  <c r="AN22" i="48"/>
  <c r="AO22" i="48"/>
  <c r="AP22" i="48"/>
  <c r="AQ22" i="48"/>
  <c r="AR22" i="48"/>
  <c r="AS22" i="48"/>
  <c r="AT22" i="48"/>
  <c r="AU22" i="48"/>
  <c r="AV22" i="48"/>
  <c r="AW22" i="48"/>
  <c r="AX22" i="48"/>
  <c r="AY22" i="48"/>
  <c r="AZ22" i="48"/>
  <c r="BA22" i="48"/>
  <c r="BB22" i="48"/>
  <c r="BC22" i="48"/>
  <c r="BD22" i="48"/>
  <c r="BE22" i="48"/>
  <c r="BF22" i="48"/>
  <c r="BG22" i="48"/>
  <c r="BH22" i="48"/>
  <c r="BI22" i="48"/>
  <c r="BJ22" i="48"/>
  <c r="BK22" i="48"/>
  <c r="BL22" i="48"/>
  <c r="BM22" i="48"/>
  <c r="BN22" i="48"/>
  <c r="BO22" i="48"/>
  <c r="BP22" i="48"/>
  <c r="BQ22" i="48"/>
  <c r="BR22" i="48"/>
  <c r="BS22" i="48"/>
  <c r="BT22" i="48"/>
  <c r="A23" i="48"/>
  <c r="B23" i="48"/>
  <c r="C23" i="48"/>
  <c r="D23" i="48"/>
  <c r="E23" i="48"/>
  <c r="F23" i="48"/>
  <c r="G23" i="48"/>
  <c r="H23" i="48"/>
  <c r="I23" i="48"/>
  <c r="J23" i="48"/>
  <c r="DF23" i="48" s="1"/>
  <c r="K23" i="48"/>
  <c r="L23" i="48"/>
  <c r="M23" i="48"/>
  <c r="N23" i="48"/>
  <c r="O23" i="48"/>
  <c r="P23" i="48"/>
  <c r="Q23" i="48"/>
  <c r="R23" i="48"/>
  <c r="S23" i="48"/>
  <c r="T23" i="48"/>
  <c r="U23" i="48"/>
  <c r="V23" i="48"/>
  <c r="W23" i="48"/>
  <c r="X23" i="48"/>
  <c r="Y23" i="48"/>
  <c r="Z23" i="48"/>
  <c r="AA23" i="48"/>
  <c r="AB23" i="48"/>
  <c r="AC23" i="48"/>
  <c r="AD23" i="48"/>
  <c r="AE23" i="48"/>
  <c r="AF23" i="48"/>
  <c r="AG23" i="48"/>
  <c r="AH23" i="48"/>
  <c r="AI23" i="48"/>
  <c r="AJ23" i="48"/>
  <c r="AK23" i="48"/>
  <c r="AL23" i="48"/>
  <c r="AM23" i="48"/>
  <c r="AN23" i="48"/>
  <c r="AO23" i="48"/>
  <c r="AP23" i="48"/>
  <c r="AQ23" i="48"/>
  <c r="AR23" i="48"/>
  <c r="AS23" i="48"/>
  <c r="AT23" i="48"/>
  <c r="AU23" i="48"/>
  <c r="AV23" i="48"/>
  <c r="AW23" i="48"/>
  <c r="AX23" i="48"/>
  <c r="AY23" i="48"/>
  <c r="AZ23" i="48"/>
  <c r="BA23" i="48"/>
  <c r="BB23" i="48"/>
  <c r="BC23" i="48"/>
  <c r="BD23" i="48"/>
  <c r="BE23" i="48"/>
  <c r="BF23" i="48"/>
  <c r="BG23" i="48"/>
  <c r="BH23" i="48"/>
  <c r="BI23" i="48"/>
  <c r="BJ23" i="48"/>
  <c r="BK23" i="48"/>
  <c r="BL23" i="48"/>
  <c r="BM23" i="48"/>
  <c r="BN23" i="48"/>
  <c r="BO23" i="48"/>
  <c r="BP23" i="48"/>
  <c r="BQ23" i="48"/>
  <c r="BR23" i="48"/>
  <c r="BS23" i="48"/>
  <c r="BT23" i="48"/>
  <c r="A24" i="48"/>
  <c r="B24" i="48"/>
  <c r="C24" i="48"/>
  <c r="D24" i="48"/>
  <c r="E24" i="48"/>
  <c r="F24" i="48"/>
  <c r="G24" i="48"/>
  <c r="H24" i="48"/>
  <c r="I24" i="48"/>
  <c r="J24" i="48"/>
  <c r="DF24" i="48" s="1"/>
  <c r="K24" i="48"/>
  <c r="L24" i="48"/>
  <c r="M24" i="48"/>
  <c r="N24" i="48"/>
  <c r="O24" i="48"/>
  <c r="P24" i="48"/>
  <c r="Q24" i="48"/>
  <c r="R24" i="48"/>
  <c r="S24" i="48"/>
  <c r="T24" i="48"/>
  <c r="U24" i="48"/>
  <c r="V24" i="48"/>
  <c r="W24" i="48"/>
  <c r="X24" i="48"/>
  <c r="Y24" i="48"/>
  <c r="Z24" i="48"/>
  <c r="AA24" i="48"/>
  <c r="AB24" i="48"/>
  <c r="AC24" i="48"/>
  <c r="AD24" i="48"/>
  <c r="AE24" i="48"/>
  <c r="AF24" i="48"/>
  <c r="AG24" i="48"/>
  <c r="AH24" i="48"/>
  <c r="AI24" i="48"/>
  <c r="AJ24" i="48"/>
  <c r="AK24" i="48"/>
  <c r="AL24" i="48"/>
  <c r="AM24" i="48"/>
  <c r="AN24" i="48"/>
  <c r="AO24" i="48"/>
  <c r="AP24" i="48"/>
  <c r="AQ24" i="48"/>
  <c r="AR24" i="48"/>
  <c r="AS24" i="48"/>
  <c r="AT24" i="48"/>
  <c r="AU24" i="48"/>
  <c r="AV24" i="48"/>
  <c r="AW24" i="48"/>
  <c r="AX24" i="48"/>
  <c r="AY24" i="48"/>
  <c r="AZ24" i="48"/>
  <c r="BA24" i="48"/>
  <c r="BB24" i="48"/>
  <c r="BC24" i="48"/>
  <c r="BD24" i="48"/>
  <c r="BE24" i="48"/>
  <c r="BF24" i="48"/>
  <c r="BG24" i="48"/>
  <c r="BH24" i="48"/>
  <c r="BI24" i="48"/>
  <c r="BJ24" i="48"/>
  <c r="BK24" i="48"/>
  <c r="BL24" i="48"/>
  <c r="BM24" i="48"/>
  <c r="BN24" i="48"/>
  <c r="BO24" i="48"/>
  <c r="BP24" i="48"/>
  <c r="BQ24" i="48"/>
  <c r="BR24" i="48"/>
  <c r="BS24" i="48"/>
  <c r="BT24" i="48"/>
  <c r="A25" i="48"/>
  <c r="B25" i="48"/>
  <c r="C25" i="48"/>
  <c r="D25" i="48"/>
  <c r="E25" i="48"/>
  <c r="F25" i="48"/>
  <c r="G25" i="48"/>
  <c r="H25" i="48"/>
  <c r="I25" i="48"/>
  <c r="J25" i="48"/>
  <c r="DF25" i="48" s="1"/>
  <c r="K25" i="48"/>
  <c r="L25" i="48"/>
  <c r="M25" i="48"/>
  <c r="N25" i="48"/>
  <c r="O25" i="48"/>
  <c r="P25" i="48"/>
  <c r="Q25" i="48"/>
  <c r="R25" i="48"/>
  <c r="S25" i="48"/>
  <c r="T25" i="48"/>
  <c r="U25" i="48"/>
  <c r="V25" i="48"/>
  <c r="W25" i="48"/>
  <c r="X25" i="48"/>
  <c r="Y25" i="48"/>
  <c r="Z25" i="48"/>
  <c r="AA25" i="48"/>
  <c r="AB25" i="48"/>
  <c r="AC25" i="48"/>
  <c r="AD25" i="48"/>
  <c r="AE25" i="48"/>
  <c r="AF25" i="48"/>
  <c r="AG25" i="48"/>
  <c r="AH25" i="48"/>
  <c r="AI25" i="48"/>
  <c r="AJ25" i="48"/>
  <c r="AK25" i="48"/>
  <c r="AL25" i="48"/>
  <c r="AM25" i="48"/>
  <c r="AN25" i="48"/>
  <c r="AO25" i="48"/>
  <c r="AP25" i="48"/>
  <c r="AQ25" i="48"/>
  <c r="AR25" i="48"/>
  <c r="AS25" i="48"/>
  <c r="AT25" i="48"/>
  <c r="AU25" i="48"/>
  <c r="AV25" i="48"/>
  <c r="AW25" i="48"/>
  <c r="AX25" i="48"/>
  <c r="AY25" i="48"/>
  <c r="AZ25" i="48"/>
  <c r="BA25" i="48"/>
  <c r="BB25" i="48"/>
  <c r="BC25" i="48"/>
  <c r="BD25" i="48"/>
  <c r="BE25" i="48"/>
  <c r="BF25" i="48"/>
  <c r="BG25" i="48"/>
  <c r="BH25" i="48"/>
  <c r="BI25" i="48"/>
  <c r="BJ25" i="48"/>
  <c r="BK25" i="48"/>
  <c r="BL25" i="48"/>
  <c r="BM25" i="48"/>
  <c r="BN25" i="48"/>
  <c r="BO25" i="48"/>
  <c r="BP25" i="48"/>
  <c r="BQ25" i="48"/>
  <c r="BR25" i="48"/>
  <c r="BS25" i="48"/>
  <c r="BT25" i="48"/>
  <c r="A26" i="48"/>
  <c r="B26" i="48"/>
  <c r="C26" i="48"/>
  <c r="D26" i="48"/>
  <c r="E26" i="48"/>
  <c r="F26" i="48"/>
  <c r="G26" i="48"/>
  <c r="H26" i="48"/>
  <c r="I26" i="48"/>
  <c r="J26" i="48"/>
  <c r="DF26" i="48" s="1"/>
  <c r="K26" i="48"/>
  <c r="L26" i="48"/>
  <c r="M26" i="48"/>
  <c r="N26" i="48"/>
  <c r="O26" i="48"/>
  <c r="P26" i="48"/>
  <c r="Q26" i="48"/>
  <c r="R26" i="48"/>
  <c r="S26" i="48"/>
  <c r="T26" i="48"/>
  <c r="U26" i="48"/>
  <c r="V26" i="48"/>
  <c r="W26" i="48"/>
  <c r="X26" i="48"/>
  <c r="Y26" i="48"/>
  <c r="Z26" i="48"/>
  <c r="AA26" i="48"/>
  <c r="AB26" i="48"/>
  <c r="AC26" i="48"/>
  <c r="AD26" i="48"/>
  <c r="AE26" i="48"/>
  <c r="AF26" i="48"/>
  <c r="AG26" i="48"/>
  <c r="AH26" i="48"/>
  <c r="AI26" i="48"/>
  <c r="AJ26" i="48"/>
  <c r="AK26" i="48"/>
  <c r="AL26" i="48"/>
  <c r="AM26" i="48"/>
  <c r="AN26" i="48"/>
  <c r="AO26" i="48"/>
  <c r="AP26" i="48"/>
  <c r="AQ26" i="48"/>
  <c r="AR26" i="48"/>
  <c r="AS26" i="48"/>
  <c r="AT26" i="48"/>
  <c r="AU26" i="48"/>
  <c r="AV26" i="48"/>
  <c r="AW26" i="48"/>
  <c r="AX26" i="48"/>
  <c r="AY26" i="48"/>
  <c r="AZ26" i="48"/>
  <c r="BA26" i="48"/>
  <c r="BB26" i="48"/>
  <c r="BC26" i="48"/>
  <c r="BD26" i="48"/>
  <c r="BE26" i="48"/>
  <c r="BF26" i="48"/>
  <c r="BG26" i="48"/>
  <c r="BH26" i="48"/>
  <c r="BI26" i="48"/>
  <c r="BJ26" i="48"/>
  <c r="BK26" i="48"/>
  <c r="BL26" i="48"/>
  <c r="BM26" i="48"/>
  <c r="BN26" i="48"/>
  <c r="BO26" i="48"/>
  <c r="BP26" i="48"/>
  <c r="BQ26" i="48"/>
  <c r="BR26" i="48"/>
  <c r="BS26" i="48"/>
  <c r="BT26" i="48"/>
  <c r="A27" i="48"/>
  <c r="B27" i="48"/>
  <c r="C27" i="48"/>
  <c r="D27" i="48"/>
  <c r="E27" i="48"/>
  <c r="F27" i="48"/>
  <c r="G27" i="48"/>
  <c r="H27" i="48"/>
  <c r="I27" i="48"/>
  <c r="J27" i="48"/>
  <c r="DF27" i="48" s="1"/>
  <c r="K27" i="48"/>
  <c r="L27" i="48"/>
  <c r="M27" i="48"/>
  <c r="N27" i="48"/>
  <c r="O27" i="48"/>
  <c r="P27" i="48"/>
  <c r="Q27" i="48"/>
  <c r="R27" i="48"/>
  <c r="S27" i="48"/>
  <c r="T27" i="48"/>
  <c r="U27" i="48"/>
  <c r="V27" i="48"/>
  <c r="W27" i="48"/>
  <c r="X27" i="48"/>
  <c r="Y27" i="48"/>
  <c r="Z27" i="48"/>
  <c r="AA27" i="48"/>
  <c r="AB27" i="48"/>
  <c r="AC27" i="48"/>
  <c r="AD27" i="48"/>
  <c r="AE27" i="48"/>
  <c r="AF27" i="48"/>
  <c r="AG27" i="48"/>
  <c r="AH27" i="48"/>
  <c r="AI27" i="48"/>
  <c r="AJ27" i="48"/>
  <c r="AK27" i="48"/>
  <c r="AL27" i="48"/>
  <c r="AM27" i="48"/>
  <c r="AN27" i="48"/>
  <c r="AO27" i="48"/>
  <c r="AP27" i="48"/>
  <c r="AQ27" i="48"/>
  <c r="AR27" i="48"/>
  <c r="AS27" i="48"/>
  <c r="AT27" i="48"/>
  <c r="AU27" i="48"/>
  <c r="AV27" i="48"/>
  <c r="AW27" i="48"/>
  <c r="AX27" i="48"/>
  <c r="AY27" i="48"/>
  <c r="AZ27" i="48"/>
  <c r="BA27" i="48"/>
  <c r="BB27" i="48"/>
  <c r="BC27" i="48"/>
  <c r="BD27" i="48"/>
  <c r="BE27" i="48"/>
  <c r="BF27" i="48"/>
  <c r="BG27" i="48"/>
  <c r="BH27" i="48"/>
  <c r="BI27" i="48"/>
  <c r="BJ27" i="48"/>
  <c r="BK27" i="48"/>
  <c r="BL27" i="48"/>
  <c r="BM27" i="48"/>
  <c r="BN27" i="48"/>
  <c r="BO27" i="48"/>
  <c r="BP27" i="48"/>
  <c r="BQ27" i="48"/>
  <c r="BR27" i="48"/>
  <c r="BS27" i="48"/>
  <c r="BT27" i="48"/>
  <c r="A28" i="48"/>
  <c r="B28" i="48"/>
  <c r="C28" i="48"/>
  <c r="D28" i="48"/>
  <c r="E28" i="48"/>
  <c r="F28" i="48"/>
  <c r="G28" i="48"/>
  <c r="H28" i="48"/>
  <c r="I28" i="48"/>
  <c r="J28" i="48"/>
  <c r="DF28" i="48" s="1"/>
  <c r="K28" i="48"/>
  <c r="L28" i="48"/>
  <c r="M28" i="48"/>
  <c r="N28" i="48"/>
  <c r="O28" i="48"/>
  <c r="P28" i="48"/>
  <c r="Q28" i="48"/>
  <c r="R28" i="48"/>
  <c r="S28" i="48"/>
  <c r="T28" i="48"/>
  <c r="U28" i="48"/>
  <c r="V28" i="48"/>
  <c r="W28" i="48"/>
  <c r="X28" i="48"/>
  <c r="Y28" i="48"/>
  <c r="Z28" i="48"/>
  <c r="AA28" i="48"/>
  <c r="AB28" i="48"/>
  <c r="AC28" i="48"/>
  <c r="AD28" i="48"/>
  <c r="AE28" i="48"/>
  <c r="AF28" i="48"/>
  <c r="AG28" i="48"/>
  <c r="AH28" i="48"/>
  <c r="AI28" i="48"/>
  <c r="AJ28" i="48"/>
  <c r="AK28" i="48"/>
  <c r="AL28" i="48"/>
  <c r="AM28" i="48"/>
  <c r="AN28" i="48"/>
  <c r="AO28" i="48"/>
  <c r="AP28" i="48"/>
  <c r="AQ28" i="48"/>
  <c r="AR28" i="48"/>
  <c r="AS28" i="48"/>
  <c r="AT28" i="48"/>
  <c r="AU28" i="48"/>
  <c r="AV28" i="48"/>
  <c r="AW28" i="48"/>
  <c r="AX28" i="48"/>
  <c r="AY28" i="48"/>
  <c r="AZ28" i="48"/>
  <c r="BA28" i="48"/>
  <c r="BB28" i="48"/>
  <c r="BC28" i="48"/>
  <c r="BD28" i="48"/>
  <c r="BE28" i="48"/>
  <c r="BF28" i="48"/>
  <c r="BG28" i="48"/>
  <c r="BH28" i="48"/>
  <c r="BI28" i="48"/>
  <c r="BJ28" i="48"/>
  <c r="BK28" i="48"/>
  <c r="BL28" i="48"/>
  <c r="BM28" i="48"/>
  <c r="BN28" i="48"/>
  <c r="BO28" i="48"/>
  <c r="BP28" i="48"/>
  <c r="BQ28" i="48"/>
  <c r="BR28" i="48"/>
  <c r="BS28" i="48"/>
  <c r="BT28" i="48"/>
  <c r="A29" i="48"/>
  <c r="B29" i="48"/>
  <c r="C29" i="48"/>
  <c r="D29" i="48"/>
  <c r="E29" i="48"/>
  <c r="F29" i="48"/>
  <c r="G29" i="48"/>
  <c r="H29" i="48"/>
  <c r="I29" i="48"/>
  <c r="J29" i="48"/>
  <c r="DF29" i="48" s="1"/>
  <c r="K29" i="48"/>
  <c r="L29" i="48"/>
  <c r="M29" i="48"/>
  <c r="N29" i="48"/>
  <c r="O29" i="48"/>
  <c r="P29" i="48"/>
  <c r="Q29" i="48"/>
  <c r="R29" i="48"/>
  <c r="S29" i="48"/>
  <c r="T29" i="48"/>
  <c r="U29" i="48"/>
  <c r="V29" i="48"/>
  <c r="W29" i="48"/>
  <c r="X29" i="48"/>
  <c r="Y29" i="48"/>
  <c r="Z29" i="48"/>
  <c r="AA29" i="48"/>
  <c r="AB29" i="48"/>
  <c r="AC29" i="48"/>
  <c r="AD29" i="48"/>
  <c r="AE29" i="48"/>
  <c r="AF29" i="48"/>
  <c r="AG29" i="48"/>
  <c r="AH29" i="48"/>
  <c r="AI29" i="48"/>
  <c r="AJ29" i="48"/>
  <c r="AK29" i="48"/>
  <c r="AL29" i="48"/>
  <c r="AM29" i="48"/>
  <c r="AN29" i="48"/>
  <c r="AO29" i="48"/>
  <c r="AP29" i="48"/>
  <c r="AQ29" i="48"/>
  <c r="AR29" i="48"/>
  <c r="AS29" i="48"/>
  <c r="AT29" i="48"/>
  <c r="AU29" i="48"/>
  <c r="AV29" i="48"/>
  <c r="AW29" i="48"/>
  <c r="AX29" i="48"/>
  <c r="AY29" i="48"/>
  <c r="AZ29" i="48"/>
  <c r="BA29" i="48"/>
  <c r="BB29" i="48"/>
  <c r="BC29" i="48"/>
  <c r="BD29" i="48"/>
  <c r="BE29" i="48"/>
  <c r="BF29" i="48"/>
  <c r="BG29" i="48"/>
  <c r="BH29" i="48"/>
  <c r="BI29" i="48"/>
  <c r="BJ29" i="48"/>
  <c r="BK29" i="48"/>
  <c r="BL29" i="48"/>
  <c r="BM29" i="48"/>
  <c r="BN29" i="48"/>
  <c r="BO29" i="48"/>
  <c r="BP29" i="48"/>
  <c r="BQ29" i="48"/>
  <c r="BR29" i="48"/>
  <c r="BS29" i="48"/>
  <c r="BT29" i="48"/>
  <c r="A30" i="48"/>
  <c r="B30" i="48"/>
  <c r="C30" i="48"/>
  <c r="D30" i="48"/>
  <c r="E30" i="48"/>
  <c r="F30" i="48"/>
  <c r="G30" i="48"/>
  <c r="H30" i="48"/>
  <c r="I30" i="48"/>
  <c r="J30" i="48"/>
  <c r="DF30" i="48" s="1"/>
  <c r="K30" i="48"/>
  <c r="L30" i="48"/>
  <c r="M30" i="48"/>
  <c r="N30" i="48"/>
  <c r="O30" i="48"/>
  <c r="P30" i="48"/>
  <c r="Q30" i="48"/>
  <c r="R30" i="48"/>
  <c r="S30" i="48"/>
  <c r="T30" i="48"/>
  <c r="U30" i="48"/>
  <c r="V30" i="48"/>
  <c r="W30" i="48"/>
  <c r="X30" i="48"/>
  <c r="Y30" i="48"/>
  <c r="Z30" i="48"/>
  <c r="AA30" i="48"/>
  <c r="AB30" i="48"/>
  <c r="AC30" i="48"/>
  <c r="AD30" i="48"/>
  <c r="AE30" i="48"/>
  <c r="AF30" i="48"/>
  <c r="AG30" i="48"/>
  <c r="AH30" i="48"/>
  <c r="AI30" i="48"/>
  <c r="AJ30" i="48"/>
  <c r="AK30" i="48"/>
  <c r="AL30" i="48"/>
  <c r="AM30" i="48"/>
  <c r="AN30" i="48"/>
  <c r="AO30" i="48"/>
  <c r="AP30" i="48"/>
  <c r="AQ30" i="48"/>
  <c r="AR30" i="48"/>
  <c r="AS30" i="48"/>
  <c r="AT30" i="48"/>
  <c r="AU30" i="48"/>
  <c r="AV30" i="48"/>
  <c r="AW30" i="48"/>
  <c r="AX30" i="48"/>
  <c r="AY30" i="48"/>
  <c r="AZ30" i="48"/>
  <c r="BA30" i="48"/>
  <c r="BB30" i="48"/>
  <c r="BC30" i="48"/>
  <c r="BD30" i="48"/>
  <c r="BE30" i="48"/>
  <c r="BF30" i="48"/>
  <c r="BG30" i="48"/>
  <c r="BH30" i="48"/>
  <c r="BI30" i="48"/>
  <c r="BJ30" i="48"/>
  <c r="BK30" i="48"/>
  <c r="BL30" i="48"/>
  <c r="BM30" i="48"/>
  <c r="BN30" i="48"/>
  <c r="BO30" i="48"/>
  <c r="BP30" i="48"/>
  <c r="BQ30" i="48"/>
  <c r="BR30" i="48"/>
  <c r="BS30" i="48"/>
  <c r="BT30" i="48"/>
  <c r="A31" i="48"/>
  <c r="B31" i="48"/>
  <c r="C31" i="48"/>
  <c r="D31" i="48"/>
  <c r="E31" i="48"/>
  <c r="F31" i="48"/>
  <c r="G31" i="48"/>
  <c r="H31" i="48"/>
  <c r="I31" i="48"/>
  <c r="J31" i="48"/>
  <c r="DF31" i="48" s="1"/>
  <c r="K31" i="48"/>
  <c r="L31" i="48"/>
  <c r="M31" i="48"/>
  <c r="N31" i="48"/>
  <c r="O31" i="48"/>
  <c r="P31" i="48"/>
  <c r="Q31" i="48"/>
  <c r="R31" i="48"/>
  <c r="S31" i="48"/>
  <c r="T31" i="48"/>
  <c r="U31" i="48"/>
  <c r="V31" i="48"/>
  <c r="W31" i="48"/>
  <c r="X31" i="48"/>
  <c r="Y31" i="48"/>
  <c r="Z31" i="48"/>
  <c r="AA31" i="48"/>
  <c r="AB31" i="48"/>
  <c r="AC31" i="48"/>
  <c r="AD31" i="48"/>
  <c r="AE31" i="48"/>
  <c r="AF31" i="48"/>
  <c r="AG31" i="48"/>
  <c r="AH31" i="48"/>
  <c r="AI31" i="48"/>
  <c r="AJ31" i="48"/>
  <c r="AK31" i="48"/>
  <c r="AL31" i="48"/>
  <c r="AM31" i="48"/>
  <c r="AN31" i="48"/>
  <c r="AO31" i="48"/>
  <c r="AP31" i="48"/>
  <c r="AQ31" i="48"/>
  <c r="AR31" i="48"/>
  <c r="AS31" i="48"/>
  <c r="AT31" i="48"/>
  <c r="AU31" i="48"/>
  <c r="AV31" i="48"/>
  <c r="AW31" i="48"/>
  <c r="AX31" i="48"/>
  <c r="AY31" i="48"/>
  <c r="AZ31" i="48"/>
  <c r="BA31" i="48"/>
  <c r="BB31" i="48"/>
  <c r="BC31" i="48"/>
  <c r="BD31" i="48"/>
  <c r="BE31" i="48"/>
  <c r="BF31" i="48"/>
  <c r="BG31" i="48"/>
  <c r="BH31" i="48"/>
  <c r="BI31" i="48"/>
  <c r="BJ31" i="48"/>
  <c r="BK31" i="48"/>
  <c r="BL31" i="48"/>
  <c r="BM31" i="48"/>
  <c r="BN31" i="48"/>
  <c r="BO31" i="48"/>
  <c r="BP31" i="48"/>
  <c r="BQ31" i="48"/>
  <c r="BR31" i="48"/>
  <c r="BS31" i="48"/>
  <c r="BT31" i="48"/>
  <c r="A32" i="48"/>
  <c r="B32" i="48"/>
  <c r="C32" i="48"/>
  <c r="D32" i="48"/>
  <c r="E32" i="48"/>
  <c r="F32" i="48"/>
  <c r="G32" i="48"/>
  <c r="H32" i="48"/>
  <c r="I32" i="48"/>
  <c r="J32" i="48"/>
  <c r="DF32" i="48" s="1"/>
  <c r="K32" i="48"/>
  <c r="L32" i="48"/>
  <c r="M32" i="48"/>
  <c r="N32" i="48"/>
  <c r="O32" i="48"/>
  <c r="P32" i="48"/>
  <c r="Q32" i="48"/>
  <c r="R32" i="48"/>
  <c r="S32" i="48"/>
  <c r="T32" i="48"/>
  <c r="U32" i="48"/>
  <c r="V32" i="48"/>
  <c r="W32" i="48"/>
  <c r="X32" i="48"/>
  <c r="Y32" i="48"/>
  <c r="Z32" i="48"/>
  <c r="AA32" i="48"/>
  <c r="AB32" i="48"/>
  <c r="AC32" i="48"/>
  <c r="AD32" i="48"/>
  <c r="AE32" i="48"/>
  <c r="AF32" i="48"/>
  <c r="AG32" i="48"/>
  <c r="AH32" i="48"/>
  <c r="AI32" i="48"/>
  <c r="AJ32" i="48"/>
  <c r="AK32" i="48"/>
  <c r="AL32" i="48"/>
  <c r="AM32" i="48"/>
  <c r="AN32" i="48"/>
  <c r="AO32" i="48"/>
  <c r="AP32" i="48"/>
  <c r="AQ32" i="48"/>
  <c r="AR32" i="48"/>
  <c r="AS32" i="48"/>
  <c r="AT32" i="48"/>
  <c r="AU32" i="48"/>
  <c r="AV32" i="48"/>
  <c r="AW32" i="48"/>
  <c r="AX32" i="48"/>
  <c r="AY32" i="48"/>
  <c r="AZ32" i="48"/>
  <c r="BA32" i="48"/>
  <c r="BB32" i="48"/>
  <c r="BC32" i="48"/>
  <c r="BD32" i="48"/>
  <c r="BE32" i="48"/>
  <c r="BF32" i="48"/>
  <c r="BG32" i="48"/>
  <c r="BH32" i="48"/>
  <c r="BI32" i="48"/>
  <c r="BJ32" i="48"/>
  <c r="BK32" i="48"/>
  <c r="BL32" i="48"/>
  <c r="BM32" i="48"/>
  <c r="BN32" i="48"/>
  <c r="BO32" i="48"/>
  <c r="BP32" i="48"/>
  <c r="BQ32" i="48"/>
  <c r="BR32" i="48"/>
  <c r="BS32" i="48"/>
  <c r="BT32" i="48"/>
  <c r="A33" i="48"/>
  <c r="B33" i="48"/>
  <c r="C33" i="48"/>
  <c r="D33" i="48"/>
  <c r="E33" i="48"/>
  <c r="F33" i="48"/>
  <c r="G33" i="48"/>
  <c r="H33" i="48"/>
  <c r="I33" i="48"/>
  <c r="J33" i="48"/>
  <c r="DF33" i="48" s="1"/>
  <c r="K33" i="48"/>
  <c r="L33" i="48"/>
  <c r="M33" i="48"/>
  <c r="N33" i="48"/>
  <c r="O33" i="48"/>
  <c r="P33" i="48"/>
  <c r="Q33" i="48"/>
  <c r="R33" i="48"/>
  <c r="S33" i="48"/>
  <c r="T33" i="48"/>
  <c r="U33" i="48"/>
  <c r="V33" i="48"/>
  <c r="W33" i="48"/>
  <c r="X33" i="48"/>
  <c r="Y33" i="48"/>
  <c r="Z33" i="48"/>
  <c r="AA33" i="48"/>
  <c r="AB33" i="48"/>
  <c r="AC33" i="48"/>
  <c r="AD33" i="48"/>
  <c r="AE33" i="48"/>
  <c r="AF33" i="48"/>
  <c r="AG33" i="48"/>
  <c r="AH33" i="48"/>
  <c r="AI33" i="48"/>
  <c r="AJ33" i="48"/>
  <c r="AK33" i="48"/>
  <c r="AL33" i="48"/>
  <c r="AM33" i="48"/>
  <c r="AN33" i="48"/>
  <c r="AO33" i="48"/>
  <c r="AP33" i="48"/>
  <c r="AQ33" i="48"/>
  <c r="AR33" i="48"/>
  <c r="AS33" i="48"/>
  <c r="AT33" i="48"/>
  <c r="AU33" i="48"/>
  <c r="AV33" i="48"/>
  <c r="AW33" i="48"/>
  <c r="AX33" i="48"/>
  <c r="AY33" i="48"/>
  <c r="AZ33" i="48"/>
  <c r="BA33" i="48"/>
  <c r="BB33" i="48"/>
  <c r="BC33" i="48"/>
  <c r="BD33" i="48"/>
  <c r="BE33" i="48"/>
  <c r="BF33" i="48"/>
  <c r="BG33" i="48"/>
  <c r="BH33" i="48"/>
  <c r="BI33" i="48"/>
  <c r="BJ33" i="48"/>
  <c r="BK33" i="48"/>
  <c r="BL33" i="48"/>
  <c r="BM33" i="48"/>
  <c r="BN33" i="48"/>
  <c r="BO33" i="48"/>
  <c r="BP33" i="48"/>
  <c r="BQ33" i="48"/>
  <c r="BR33" i="48"/>
  <c r="BS33" i="48"/>
  <c r="BT33" i="48"/>
  <c r="A34" i="48"/>
  <c r="B34" i="48"/>
  <c r="C34" i="48"/>
  <c r="D34" i="48"/>
  <c r="E34" i="48"/>
  <c r="F34" i="48"/>
  <c r="G34" i="48"/>
  <c r="H34" i="48"/>
  <c r="I34" i="48"/>
  <c r="J34" i="48"/>
  <c r="DF34" i="48" s="1"/>
  <c r="K34" i="48"/>
  <c r="L34" i="48"/>
  <c r="M34" i="48"/>
  <c r="N34" i="48"/>
  <c r="O34" i="48"/>
  <c r="P34" i="48"/>
  <c r="Q34" i="48"/>
  <c r="R34" i="48"/>
  <c r="S34" i="48"/>
  <c r="T34" i="48"/>
  <c r="U34" i="48"/>
  <c r="V34" i="48"/>
  <c r="W34" i="48"/>
  <c r="X34" i="48"/>
  <c r="Y34" i="48"/>
  <c r="Z34" i="48"/>
  <c r="AA34" i="48"/>
  <c r="AB34" i="48"/>
  <c r="AC34" i="48"/>
  <c r="AD34" i="48"/>
  <c r="AE34" i="48"/>
  <c r="AF34" i="48"/>
  <c r="AG34" i="48"/>
  <c r="AH34" i="48"/>
  <c r="AI34" i="48"/>
  <c r="AJ34" i="48"/>
  <c r="AK34" i="48"/>
  <c r="AL34" i="48"/>
  <c r="AM34" i="48"/>
  <c r="AN34" i="48"/>
  <c r="AO34" i="48"/>
  <c r="AP34" i="48"/>
  <c r="AQ34" i="48"/>
  <c r="AR34" i="48"/>
  <c r="AS34" i="48"/>
  <c r="AT34" i="48"/>
  <c r="AU34" i="48"/>
  <c r="AV34" i="48"/>
  <c r="AW34" i="48"/>
  <c r="AX34" i="48"/>
  <c r="AY34" i="48"/>
  <c r="AZ34" i="48"/>
  <c r="BA34" i="48"/>
  <c r="BB34" i="48"/>
  <c r="BC34" i="48"/>
  <c r="BD34" i="48"/>
  <c r="BE34" i="48"/>
  <c r="BF34" i="48"/>
  <c r="BG34" i="48"/>
  <c r="BH34" i="48"/>
  <c r="BI34" i="48"/>
  <c r="BJ34" i="48"/>
  <c r="BK34" i="48"/>
  <c r="BL34" i="48"/>
  <c r="BM34" i="48"/>
  <c r="BN34" i="48"/>
  <c r="BO34" i="48"/>
  <c r="BP34" i="48"/>
  <c r="BQ34" i="48"/>
  <c r="BR34" i="48"/>
  <c r="BS34" i="48"/>
  <c r="BT34" i="48"/>
  <c r="A35" i="48"/>
  <c r="B35" i="48"/>
  <c r="C35" i="48"/>
  <c r="D35" i="48"/>
  <c r="E35" i="48"/>
  <c r="F35" i="48"/>
  <c r="G35" i="48"/>
  <c r="H35" i="48"/>
  <c r="I35" i="48"/>
  <c r="J35" i="48"/>
  <c r="DF35" i="48" s="1"/>
  <c r="K35" i="48"/>
  <c r="L35" i="48"/>
  <c r="M35" i="48"/>
  <c r="N35" i="48"/>
  <c r="O35" i="48"/>
  <c r="P35" i="48"/>
  <c r="Q35" i="48"/>
  <c r="R35" i="48"/>
  <c r="S35" i="48"/>
  <c r="T35" i="48"/>
  <c r="U35" i="48"/>
  <c r="V35" i="48"/>
  <c r="W35" i="48"/>
  <c r="X35" i="48"/>
  <c r="Y35" i="48"/>
  <c r="Z35" i="48"/>
  <c r="AA35" i="48"/>
  <c r="AB35" i="48"/>
  <c r="AC35" i="48"/>
  <c r="AD35" i="48"/>
  <c r="AE35" i="48"/>
  <c r="AF35" i="48"/>
  <c r="AG35" i="48"/>
  <c r="AH35" i="48"/>
  <c r="AI35" i="48"/>
  <c r="AJ35" i="48"/>
  <c r="AK35" i="48"/>
  <c r="AL35" i="48"/>
  <c r="AM35" i="48"/>
  <c r="AN35" i="48"/>
  <c r="AO35" i="48"/>
  <c r="AP35" i="48"/>
  <c r="AQ35" i="48"/>
  <c r="AR35" i="48"/>
  <c r="AS35" i="48"/>
  <c r="AT35" i="48"/>
  <c r="AU35" i="48"/>
  <c r="AV35" i="48"/>
  <c r="AW35" i="48"/>
  <c r="AX35" i="48"/>
  <c r="AY35" i="48"/>
  <c r="AZ35" i="48"/>
  <c r="BA35" i="48"/>
  <c r="BB35" i="48"/>
  <c r="BC35" i="48"/>
  <c r="BD35" i="48"/>
  <c r="BE35" i="48"/>
  <c r="BF35" i="48"/>
  <c r="BG35" i="48"/>
  <c r="BH35" i="48"/>
  <c r="BI35" i="48"/>
  <c r="BJ35" i="48"/>
  <c r="BK35" i="48"/>
  <c r="BL35" i="48"/>
  <c r="BM35" i="48"/>
  <c r="BN35" i="48"/>
  <c r="BO35" i="48"/>
  <c r="BP35" i="48"/>
  <c r="BQ35" i="48"/>
  <c r="BR35" i="48"/>
  <c r="BS35" i="48"/>
  <c r="BT35" i="48"/>
  <c r="A36" i="48"/>
  <c r="B36" i="48"/>
  <c r="C36" i="48"/>
  <c r="D36" i="48"/>
  <c r="E36" i="48"/>
  <c r="F36" i="48"/>
  <c r="G36" i="48"/>
  <c r="H36" i="48"/>
  <c r="I36" i="48"/>
  <c r="J36" i="48"/>
  <c r="DF36" i="48" s="1"/>
  <c r="K36" i="48"/>
  <c r="L36" i="48"/>
  <c r="M36" i="48"/>
  <c r="N36" i="48"/>
  <c r="O36" i="48"/>
  <c r="P36" i="48"/>
  <c r="Q36" i="48"/>
  <c r="R36" i="48"/>
  <c r="S36" i="48"/>
  <c r="T36" i="48"/>
  <c r="U36" i="48"/>
  <c r="V36" i="48"/>
  <c r="W36" i="48"/>
  <c r="X36" i="48"/>
  <c r="Y36" i="48"/>
  <c r="Z36" i="48"/>
  <c r="AA36" i="48"/>
  <c r="AB36" i="48"/>
  <c r="AC36" i="48"/>
  <c r="AD36" i="48"/>
  <c r="AE36" i="48"/>
  <c r="AF36" i="48"/>
  <c r="AG36" i="48"/>
  <c r="AH36" i="48"/>
  <c r="AI36" i="48"/>
  <c r="AJ36" i="48"/>
  <c r="AK36" i="48"/>
  <c r="AL36" i="48"/>
  <c r="AM36" i="48"/>
  <c r="AN36" i="48"/>
  <c r="AO36" i="48"/>
  <c r="AP36" i="48"/>
  <c r="AQ36" i="48"/>
  <c r="AR36" i="48"/>
  <c r="AS36" i="48"/>
  <c r="AT36" i="48"/>
  <c r="AU36" i="48"/>
  <c r="AV36" i="48"/>
  <c r="AW36" i="48"/>
  <c r="AX36" i="48"/>
  <c r="AY36" i="48"/>
  <c r="AZ36" i="48"/>
  <c r="BA36" i="48"/>
  <c r="BB36" i="48"/>
  <c r="BC36" i="48"/>
  <c r="BD36" i="48"/>
  <c r="BE36" i="48"/>
  <c r="BF36" i="48"/>
  <c r="BG36" i="48"/>
  <c r="BH36" i="48"/>
  <c r="BI36" i="48"/>
  <c r="BJ36" i="48"/>
  <c r="BK36" i="48"/>
  <c r="BL36" i="48"/>
  <c r="BM36" i="48"/>
  <c r="BN36" i="48"/>
  <c r="BO36" i="48"/>
  <c r="BP36" i="48"/>
  <c r="BQ36" i="48"/>
  <c r="BR36" i="48"/>
  <c r="BS36" i="48"/>
  <c r="BT36" i="48"/>
  <c r="A37" i="48"/>
  <c r="B37" i="48"/>
  <c r="C37" i="48"/>
  <c r="D37" i="48"/>
  <c r="E37" i="48"/>
  <c r="F37" i="48"/>
  <c r="G37" i="48"/>
  <c r="H37" i="48"/>
  <c r="I37" i="48"/>
  <c r="J37" i="48"/>
  <c r="DF37" i="48" s="1"/>
  <c r="K37" i="48"/>
  <c r="L37" i="48"/>
  <c r="M37" i="48"/>
  <c r="N37" i="48"/>
  <c r="O37" i="48"/>
  <c r="P37" i="48"/>
  <c r="Q37" i="48"/>
  <c r="R37" i="48"/>
  <c r="S37" i="48"/>
  <c r="T37" i="48"/>
  <c r="U37" i="48"/>
  <c r="V37" i="48"/>
  <c r="W37" i="48"/>
  <c r="X37" i="48"/>
  <c r="Y37" i="48"/>
  <c r="Z37" i="48"/>
  <c r="AA37" i="48"/>
  <c r="AB37" i="48"/>
  <c r="AC37" i="48"/>
  <c r="AD37" i="48"/>
  <c r="AE37" i="48"/>
  <c r="AF37" i="48"/>
  <c r="AG37" i="48"/>
  <c r="AH37" i="48"/>
  <c r="AI37" i="48"/>
  <c r="AJ37" i="48"/>
  <c r="AK37" i="48"/>
  <c r="AL37" i="48"/>
  <c r="AM37" i="48"/>
  <c r="AN37" i="48"/>
  <c r="AO37" i="48"/>
  <c r="AP37" i="48"/>
  <c r="AQ37" i="48"/>
  <c r="AR37" i="48"/>
  <c r="AS37" i="48"/>
  <c r="AT37" i="48"/>
  <c r="AU37" i="48"/>
  <c r="AV37" i="48"/>
  <c r="AW37" i="48"/>
  <c r="AX37" i="48"/>
  <c r="AY37" i="48"/>
  <c r="AZ37" i="48"/>
  <c r="BA37" i="48"/>
  <c r="BB37" i="48"/>
  <c r="BC37" i="48"/>
  <c r="BD37" i="48"/>
  <c r="BE37" i="48"/>
  <c r="BF37" i="48"/>
  <c r="BG37" i="48"/>
  <c r="BH37" i="48"/>
  <c r="BI37" i="48"/>
  <c r="BJ37" i="48"/>
  <c r="BK37" i="48"/>
  <c r="BL37" i="48"/>
  <c r="BM37" i="48"/>
  <c r="BN37" i="48"/>
  <c r="BO37" i="48"/>
  <c r="BP37" i="48"/>
  <c r="BQ37" i="48"/>
  <c r="BR37" i="48"/>
  <c r="BS37" i="48"/>
  <c r="BT37" i="48"/>
  <c r="A38" i="48"/>
  <c r="B38" i="48"/>
  <c r="C38" i="48"/>
  <c r="D38" i="48"/>
  <c r="E38" i="48"/>
  <c r="F38" i="48"/>
  <c r="G38" i="48"/>
  <c r="H38" i="48"/>
  <c r="I38" i="48"/>
  <c r="J38" i="48"/>
  <c r="DF38" i="48" s="1"/>
  <c r="K38" i="48"/>
  <c r="L38" i="48"/>
  <c r="M38" i="48"/>
  <c r="N38" i="48"/>
  <c r="O38" i="48"/>
  <c r="P38" i="48"/>
  <c r="Q38" i="48"/>
  <c r="R38" i="48"/>
  <c r="S38" i="48"/>
  <c r="T38" i="48"/>
  <c r="U38" i="48"/>
  <c r="V38" i="48"/>
  <c r="W38" i="48"/>
  <c r="X38" i="48"/>
  <c r="Y38" i="48"/>
  <c r="Z38" i="48"/>
  <c r="AA38" i="48"/>
  <c r="AB38" i="48"/>
  <c r="AC38" i="48"/>
  <c r="AD38" i="48"/>
  <c r="AE38" i="48"/>
  <c r="AF38" i="48"/>
  <c r="AG38" i="48"/>
  <c r="AH38" i="48"/>
  <c r="AI38" i="48"/>
  <c r="AJ38" i="48"/>
  <c r="AK38" i="48"/>
  <c r="AL38" i="48"/>
  <c r="AM38" i="48"/>
  <c r="AN38" i="48"/>
  <c r="AO38" i="48"/>
  <c r="AP38" i="48"/>
  <c r="AQ38" i="48"/>
  <c r="AR38" i="48"/>
  <c r="AS38" i="48"/>
  <c r="AT38" i="48"/>
  <c r="AU38" i="48"/>
  <c r="AV38" i="48"/>
  <c r="AW38" i="48"/>
  <c r="AX38" i="48"/>
  <c r="AY38" i="48"/>
  <c r="AZ38" i="48"/>
  <c r="BA38" i="48"/>
  <c r="BB38" i="48"/>
  <c r="BC38" i="48"/>
  <c r="BD38" i="48"/>
  <c r="BE38" i="48"/>
  <c r="BF38" i="48"/>
  <c r="BG38" i="48"/>
  <c r="BH38" i="48"/>
  <c r="BI38" i="48"/>
  <c r="BJ38" i="48"/>
  <c r="BK38" i="48"/>
  <c r="BL38" i="48"/>
  <c r="BM38" i="48"/>
  <c r="BN38" i="48"/>
  <c r="BO38" i="48"/>
  <c r="BP38" i="48"/>
  <c r="BQ38" i="48"/>
  <c r="BR38" i="48"/>
  <c r="BS38" i="48"/>
  <c r="BT38" i="48"/>
  <c r="A39" i="48"/>
  <c r="B39" i="48"/>
  <c r="C39" i="48"/>
  <c r="D39" i="48"/>
  <c r="E39" i="48"/>
  <c r="F39" i="48"/>
  <c r="G39" i="48"/>
  <c r="H39" i="48"/>
  <c r="I39" i="48"/>
  <c r="J39" i="48"/>
  <c r="DF39" i="48" s="1"/>
  <c r="K39" i="48"/>
  <c r="L39" i="48"/>
  <c r="M39" i="48"/>
  <c r="N39" i="48"/>
  <c r="O39" i="48"/>
  <c r="P39" i="48"/>
  <c r="Q39" i="48"/>
  <c r="R39" i="48"/>
  <c r="S39" i="48"/>
  <c r="T39" i="48"/>
  <c r="U39" i="48"/>
  <c r="V39" i="48"/>
  <c r="W39" i="48"/>
  <c r="X39" i="48"/>
  <c r="Y39" i="48"/>
  <c r="Z39" i="48"/>
  <c r="AA39" i="48"/>
  <c r="AB39" i="48"/>
  <c r="AC39" i="48"/>
  <c r="AD39" i="48"/>
  <c r="AE39" i="48"/>
  <c r="AF39" i="48"/>
  <c r="AG39" i="48"/>
  <c r="AH39" i="48"/>
  <c r="AI39" i="48"/>
  <c r="AJ39" i="48"/>
  <c r="AK39" i="48"/>
  <c r="AL39" i="48"/>
  <c r="AM39" i="48"/>
  <c r="AN39" i="48"/>
  <c r="AO39" i="48"/>
  <c r="AP39" i="48"/>
  <c r="AQ39" i="48"/>
  <c r="AR39" i="48"/>
  <c r="AS39" i="48"/>
  <c r="AT39" i="48"/>
  <c r="AU39" i="48"/>
  <c r="AV39" i="48"/>
  <c r="AW39" i="48"/>
  <c r="AX39" i="48"/>
  <c r="AY39" i="48"/>
  <c r="AZ39" i="48"/>
  <c r="BA39" i="48"/>
  <c r="BB39" i="48"/>
  <c r="BC39" i="48"/>
  <c r="BD39" i="48"/>
  <c r="BE39" i="48"/>
  <c r="BF39" i="48"/>
  <c r="BG39" i="48"/>
  <c r="BH39" i="48"/>
  <c r="BI39" i="48"/>
  <c r="BJ39" i="48"/>
  <c r="BK39" i="48"/>
  <c r="BL39" i="48"/>
  <c r="BM39" i="48"/>
  <c r="BN39" i="48"/>
  <c r="BO39" i="48"/>
  <c r="BP39" i="48"/>
  <c r="BQ39" i="48"/>
  <c r="BR39" i="48"/>
  <c r="BS39" i="48"/>
  <c r="BT39" i="48"/>
  <c r="A40" i="48"/>
  <c r="B40" i="48"/>
  <c r="C40" i="48"/>
  <c r="D40" i="48"/>
  <c r="E40" i="48"/>
  <c r="F40" i="48"/>
  <c r="G40" i="48"/>
  <c r="H40" i="48"/>
  <c r="I40" i="48"/>
  <c r="J40" i="48"/>
  <c r="DF40" i="48" s="1"/>
  <c r="K40" i="48"/>
  <c r="L40" i="48"/>
  <c r="M40" i="48"/>
  <c r="N40" i="48"/>
  <c r="O40" i="48"/>
  <c r="P40" i="48"/>
  <c r="Q40" i="48"/>
  <c r="R40" i="48"/>
  <c r="S40" i="48"/>
  <c r="T40" i="48"/>
  <c r="U40" i="48"/>
  <c r="V40" i="48"/>
  <c r="W40" i="48"/>
  <c r="X40" i="48"/>
  <c r="Y40" i="48"/>
  <c r="Z40" i="48"/>
  <c r="AA40" i="48"/>
  <c r="AB40" i="48"/>
  <c r="AC40" i="48"/>
  <c r="AD40" i="48"/>
  <c r="AE40" i="48"/>
  <c r="AF40" i="48"/>
  <c r="AG40" i="48"/>
  <c r="AH40" i="48"/>
  <c r="AI40" i="48"/>
  <c r="AJ40" i="48"/>
  <c r="AK40" i="48"/>
  <c r="AL40" i="48"/>
  <c r="AM40" i="48"/>
  <c r="AN40" i="48"/>
  <c r="AO40" i="48"/>
  <c r="AP40" i="48"/>
  <c r="AQ40" i="48"/>
  <c r="AR40" i="48"/>
  <c r="AS40" i="48"/>
  <c r="AT40" i="48"/>
  <c r="AU40" i="48"/>
  <c r="AV40" i="48"/>
  <c r="AW40" i="48"/>
  <c r="AX40" i="48"/>
  <c r="AY40" i="48"/>
  <c r="AZ40" i="48"/>
  <c r="BA40" i="48"/>
  <c r="BB40" i="48"/>
  <c r="BC40" i="48"/>
  <c r="BD40" i="48"/>
  <c r="BE40" i="48"/>
  <c r="BF40" i="48"/>
  <c r="BG40" i="48"/>
  <c r="BH40" i="48"/>
  <c r="BI40" i="48"/>
  <c r="BJ40" i="48"/>
  <c r="BK40" i="48"/>
  <c r="BL40" i="48"/>
  <c r="BM40" i="48"/>
  <c r="BN40" i="48"/>
  <c r="BO40" i="48"/>
  <c r="BP40" i="48"/>
  <c r="BQ40" i="48"/>
  <c r="BR40" i="48"/>
  <c r="BS40" i="48"/>
  <c r="BT40" i="48"/>
  <c r="A41" i="48"/>
  <c r="B41" i="48"/>
  <c r="C41" i="48"/>
  <c r="D41" i="48"/>
  <c r="E41" i="48"/>
  <c r="F41" i="48"/>
  <c r="G41" i="48"/>
  <c r="H41" i="48"/>
  <c r="I41" i="48"/>
  <c r="J41" i="48"/>
  <c r="DF41" i="48" s="1"/>
  <c r="K41" i="48"/>
  <c r="L41" i="48"/>
  <c r="M41" i="48"/>
  <c r="N41" i="48"/>
  <c r="O41" i="48"/>
  <c r="P41" i="48"/>
  <c r="Q41" i="48"/>
  <c r="R41" i="48"/>
  <c r="S41" i="48"/>
  <c r="T41" i="48"/>
  <c r="U41" i="48"/>
  <c r="V41" i="48"/>
  <c r="W41" i="48"/>
  <c r="X41" i="48"/>
  <c r="Y41" i="48"/>
  <c r="Z41" i="48"/>
  <c r="AA41" i="48"/>
  <c r="AB41" i="48"/>
  <c r="AC41" i="48"/>
  <c r="AD41" i="48"/>
  <c r="AE41" i="48"/>
  <c r="AF41" i="48"/>
  <c r="AG41" i="48"/>
  <c r="AH41" i="48"/>
  <c r="AI41" i="48"/>
  <c r="AJ41" i="48"/>
  <c r="AK41" i="48"/>
  <c r="AL41" i="48"/>
  <c r="AM41" i="48"/>
  <c r="AN41" i="48"/>
  <c r="AO41" i="48"/>
  <c r="AP41" i="48"/>
  <c r="AQ41" i="48"/>
  <c r="AR41" i="48"/>
  <c r="AS41" i="48"/>
  <c r="AT41" i="48"/>
  <c r="AU41" i="48"/>
  <c r="AV41" i="48"/>
  <c r="AW41" i="48"/>
  <c r="AX41" i="48"/>
  <c r="AY41" i="48"/>
  <c r="AZ41" i="48"/>
  <c r="BA41" i="48"/>
  <c r="BB41" i="48"/>
  <c r="BC41" i="48"/>
  <c r="BD41" i="48"/>
  <c r="BE41" i="48"/>
  <c r="BF41" i="48"/>
  <c r="BG41" i="48"/>
  <c r="BH41" i="48"/>
  <c r="BI41" i="48"/>
  <c r="BJ41" i="48"/>
  <c r="BK41" i="48"/>
  <c r="BL41" i="48"/>
  <c r="BM41" i="48"/>
  <c r="BN41" i="48"/>
  <c r="BO41" i="48"/>
  <c r="BP41" i="48"/>
  <c r="BQ41" i="48"/>
  <c r="BR41" i="48"/>
  <c r="BS41" i="48"/>
  <c r="BT41" i="48"/>
  <c r="A42" i="48"/>
  <c r="B42" i="48"/>
  <c r="C42" i="48"/>
  <c r="D42" i="48"/>
  <c r="E42" i="48"/>
  <c r="F42" i="48"/>
  <c r="G42" i="48"/>
  <c r="H42" i="48"/>
  <c r="I42" i="48"/>
  <c r="J42" i="48"/>
  <c r="DF42" i="48" s="1"/>
  <c r="K42" i="48"/>
  <c r="L42" i="48"/>
  <c r="M42" i="48"/>
  <c r="N42" i="48"/>
  <c r="O42" i="48"/>
  <c r="P42" i="48"/>
  <c r="Q42" i="48"/>
  <c r="R42" i="48"/>
  <c r="S42" i="48"/>
  <c r="T42" i="48"/>
  <c r="U42" i="48"/>
  <c r="V42" i="48"/>
  <c r="W42" i="48"/>
  <c r="X42" i="48"/>
  <c r="Y42" i="48"/>
  <c r="Z42" i="48"/>
  <c r="AA42" i="48"/>
  <c r="AB42" i="48"/>
  <c r="AC42" i="48"/>
  <c r="AD42" i="48"/>
  <c r="AE42" i="48"/>
  <c r="AF42" i="48"/>
  <c r="AG42" i="48"/>
  <c r="AH42" i="48"/>
  <c r="AI42" i="48"/>
  <c r="AJ42" i="48"/>
  <c r="AK42" i="48"/>
  <c r="AL42" i="48"/>
  <c r="AM42" i="48"/>
  <c r="AN42" i="48"/>
  <c r="AO42" i="48"/>
  <c r="AP42" i="48"/>
  <c r="AQ42" i="48"/>
  <c r="AR42" i="48"/>
  <c r="AS42" i="48"/>
  <c r="AT42" i="48"/>
  <c r="AU42" i="48"/>
  <c r="AV42" i="48"/>
  <c r="AW42" i="48"/>
  <c r="AX42" i="48"/>
  <c r="AY42" i="48"/>
  <c r="AZ42" i="48"/>
  <c r="BA42" i="48"/>
  <c r="BB42" i="48"/>
  <c r="BC42" i="48"/>
  <c r="BD42" i="48"/>
  <c r="BE42" i="48"/>
  <c r="BF42" i="48"/>
  <c r="BG42" i="48"/>
  <c r="BH42" i="48"/>
  <c r="BI42" i="48"/>
  <c r="BJ42" i="48"/>
  <c r="BK42" i="48"/>
  <c r="BL42" i="48"/>
  <c r="BM42" i="48"/>
  <c r="BN42" i="48"/>
  <c r="BO42" i="48"/>
  <c r="BP42" i="48"/>
  <c r="BQ42" i="48"/>
  <c r="BR42" i="48"/>
  <c r="BS42" i="48"/>
  <c r="BT42" i="48"/>
  <c r="A43" i="48"/>
  <c r="B43" i="48"/>
  <c r="C43" i="48"/>
  <c r="D43" i="48"/>
  <c r="E43" i="48"/>
  <c r="F43" i="48"/>
  <c r="G43" i="48"/>
  <c r="H43" i="48"/>
  <c r="I43" i="48"/>
  <c r="J43" i="48"/>
  <c r="DF43" i="48" s="1"/>
  <c r="K43" i="48"/>
  <c r="L43" i="48"/>
  <c r="M43" i="48"/>
  <c r="N43" i="48"/>
  <c r="O43" i="48"/>
  <c r="P43" i="48"/>
  <c r="Q43" i="48"/>
  <c r="R43" i="48"/>
  <c r="S43" i="48"/>
  <c r="T43" i="48"/>
  <c r="U43" i="48"/>
  <c r="V43" i="48"/>
  <c r="W43" i="48"/>
  <c r="X43" i="48"/>
  <c r="Y43" i="48"/>
  <c r="Z43" i="48"/>
  <c r="AA43" i="48"/>
  <c r="AB43" i="48"/>
  <c r="AC43" i="48"/>
  <c r="AD43" i="48"/>
  <c r="AE43" i="48"/>
  <c r="AF43" i="48"/>
  <c r="AG43" i="48"/>
  <c r="AH43" i="48"/>
  <c r="AI43" i="48"/>
  <c r="AJ43" i="48"/>
  <c r="AK43" i="48"/>
  <c r="AL43" i="48"/>
  <c r="AM43" i="48"/>
  <c r="AN43" i="48"/>
  <c r="AO43" i="48"/>
  <c r="AP43" i="48"/>
  <c r="AQ43" i="48"/>
  <c r="AR43" i="48"/>
  <c r="AS43" i="48"/>
  <c r="AT43" i="48"/>
  <c r="AU43" i="48"/>
  <c r="AV43" i="48"/>
  <c r="AW43" i="48"/>
  <c r="AX43" i="48"/>
  <c r="AY43" i="48"/>
  <c r="AZ43" i="48"/>
  <c r="BA43" i="48"/>
  <c r="BB43" i="48"/>
  <c r="BC43" i="48"/>
  <c r="BD43" i="48"/>
  <c r="BE43" i="48"/>
  <c r="BF43" i="48"/>
  <c r="BG43" i="48"/>
  <c r="BH43" i="48"/>
  <c r="BI43" i="48"/>
  <c r="BJ43" i="48"/>
  <c r="BK43" i="48"/>
  <c r="BL43" i="48"/>
  <c r="BM43" i="48"/>
  <c r="BN43" i="48"/>
  <c r="BO43" i="48"/>
  <c r="BP43" i="48"/>
  <c r="BQ43" i="48"/>
  <c r="BR43" i="48"/>
  <c r="BS43" i="48"/>
  <c r="BT43" i="48"/>
  <c r="A44" i="48"/>
  <c r="B44" i="48"/>
  <c r="C44" i="48"/>
  <c r="D44" i="48"/>
  <c r="E44" i="48"/>
  <c r="F44" i="48"/>
  <c r="G44" i="48"/>
  <c r="H44" i="48"/>
  <c r="I44" i="48"/>
  <c r="J44" i="48"/>
  <c r="DF44" i="48" s="1"/>
  <c r="K44" i="48"/>
  <c r="L44" i="48"/>
  <c r="M44" i="48"/>
  <c r="N44" i="48"/>
  <c r="O44" i="48"/>
  <c r="P44" i="48"/>
  <c r="Q44" i="48"/>
  <c r="R44" i="48"/>
  <c r="S44" i="48"/>
  <c r="T44" i="48"/>
  <c r="U44" i="48"/>
  <c r="V44" i="48"/>
  <c r="W44" i="48"/>
  <c r="X44" i="48"/>
  <c r="Y44" i="48"/>
  <c r="Z44" i="48"/>
  <c r="AA44" i="48"/>
  <c r="AB44" i="48"/>
  <c r="AC44" i="48"/>
  <c r="AD44" i="48"/>
  <c r="AE44" i="48"/>
  <c r="AF44" i="48"/>
  <c r="AG44" i="48"/>
  <c r="AH44" i="48"/>
  <c r="AI44" i="48"/>
  <c r="AJ44" i="48"/>
  <c r="AK44" i="48"/>
  <c r="AL44" i="48"/>
  <c r="AM44" i="48"/>
  <c r="AN44" i="48"/>
  <c r="AO44" i="48"/>
  <c r="AP44" i="48"/>
  <c r="AQ44" i="48"/>
  <c r="AR44" i="48"/>
  <c r="AS44" i="48"/>
  <c r="AT44" i="48"/>
  <c r="AU44" i="48"/>
  <c r="AV44" i="48"/>
  <c r="AW44" i="48"/>
  <c r="AX44" i="48"/>
  <c r="AY44" i="48"/>
  <c r="AZ44" i="48"/>
  <c r="BA44" i="48"/>
  <c r="BB44" i="48"/>
  <c r="BC44" i="48"/>
  <c r="BD44" i="48"/>
  <c r="BE44" i="48"/>
  <c r="BF44" i="48"/>
  <c r="BG44" i="48"/>
  <c r="BH44" i="48"/>
  <c r="BI44" i="48"/>
  <c r="BJ44" i="48"/>
  <c r="BK44" i="48"/>
  <c r="BL44" i="48"/>
  <c r="BM44" i="48"/>
  <c r="BN44" i="48"/>
  <c r="BO44" i="48"/>
  <c r="BP44" i="48"/>
  <c r="BQ44" i="48"/>
  <c r="BR44" i="48"/>
  <c r="BS44" i="48"/>
  <c r="BT44" i="48"/>
  <c r="A45" i="48"/>
  <c r="B45" i="48"/>
  <c r="C45" i="48"/>
  <c r="D45" i="48"/>
  <c r="E45" i="48"/>
  <c r="F45" i="48"/>
  <c r="G45" i="48"/>
  <c r="H45" i="48"/>
  <c r="I45" i="48"/>
  <c r="J45" i="48"/>
  <c r="DF45" i="48" s="1"/>
  <c r="K45" i="48"/>
  <c r="L45" i="48"/>
  <c r="M45" i="48"/>
  <c r="N45" i="48"/>
  <c r="O45" i="48"/>
  <c r="P45" i="48"/>
  <c r="Q45" i="48"/>
  <c r="R45" i="48"/>
  <c r="S45" i="48"/>
  <c r="T45" i="48"/>
  <c r="U45" i="48"/>
  <c r="V45" i="48"/>
  <c r="W45" i="48"/>
  <c r="X45" i="48"/>
  <c r="Y45" i="48"/>
  <c r="Z45" i="48"/>
  <c r="AA45" i="48"/>
  <c r="AB45" i="48"/>
  <c r="AC45" i="48"/>
  <c r="AD45" i="48"/>
  <c r="AE45" i="48"/>
  <c r="AF45" i="48"/>
  <c r="AG45" i="48"/>
  <c r="AH45" i="48"/>
  <c r="AI45" i="48"/>
  <c r="AJ45" i="48"/>
  <c r="AK45" i="48"/>
  <c r="AL45" i="48"/>
  <c r="AM45" i="48"/>
  <c r="AN45" i="48"/>
  <c r="AO45" i="48"/>
  <c r="AP45" i="48"/>
  <c r="AQ45" i="48"/>
  <c r="AR45" i="48"/>
  <c r="AS45" i="48"/>
  <c r="AT45" i="48"/>
  <c r="AU45" i="48"/>
  <c r="AV45" i="48"/>
  <c r="AW45" i="48"/>
  <c r="AX45" i="48"/>
  <c r="AY45" i="48"/>
  <c r="AZ45" i="48"/>
  <c r="BA45" i="48"/>
  <c r="BB45" i="48"/>
  <c r="BC45" i="48"/>
  <c r="BD45" i="48"/>
  <c r="BE45" i="48"/>
  <c r="BF45" i="48"/>
  <c r="BG45" i="48"/>
  <c r="BH45" i="48"/>
  <c r="BI45" i="48"/>
  <c r="BJ45" i="48"/>
  <c r="BK45" i="48"/>
  <c r="BL45" i="48"/>
  <c r="BM45" i="48"/>
  <c r="BN45" i="48"/>
  <c r="BO45" i="48"/>
  <c r="BP45" i="48"/>
  <c r="BQ45" i="48"/>
  <c r="BR45" i="48"/>
  <c r="BS45" i="48"/>
  <c r="BT45" i="48"/>
  <c r="A46" i="48"/>
  <c r="B46" i="48"/>
  <c r="C46" i="48"/>
  <c r="D46" i="48"/>
  <c r="E46" i="48"/>
  <c r="F46" i="48"/>
  <c r="G46" i="48"/>
  <c r="H46" i="48"/>
  <c r="I46" i="48"/>
  <c r="J46" i="48"/>
  <c r="DF46" i="48" s="1"/>
  <c r="K46" i="48"/>
  <c r="L46" i="48"/>
  <c r="M46" i="48"/>
  <c r="N46" i="48"/>
  <c r="O46" i="48"/>
  <c r="P46" i="48"/>
  <c r="Q46" i="48"/>
  <c r="R46" i="48"/>
  <c r="S46" i="48"/>
  <c r="T46" i="48"/>
  <c r="U46" i="48"/>
  <c r="V46" i="48"/>
  <c r="W46" i="48"/>
  <c r="X46" i="48"/>
  <c r="Y46" i="48"/>
  <c r="Z46" i="48"/>
  <c r="AA46" i="48"/>
  <c r="AB46" i="48"/>
  <c r="AC46" i="48"/>
  <c r="AD46" i="48"/>
  <c r="AE46" i="48"/>
  <c r="AF46" i="48"/>
  <c r="AG46" i="48"/>
  <c r="AH46" i="48"/>
  <c r="AI46" i="48"/>
  <c r="AJ46" i="48"/>
  <c r="AK46" i="48"/>
  <c r="AL46" i="48"/>
  <c r="AM46" i="48"/>
  <c r="AN46" i="48"/>
  <c r="AO46" i="48"/>
  <c r="AP46" i="48"/>
  <c r="AQ46" i="48"/>
  <c r="AR46" i="48"/>
  <c r="AS46" i="48"/>
  <c r="AT46" i="48"/>
  <c r="AU46" i="48"/>
  <c r="AV46" i="48"/>
  <c r="AW46" i="48"/>
  <c r="AX46" i="48"/>
  <c r="AY46" i="48"/>
  <c r="AZ46" i="48"/>
  <c r="BA46" i="48"/>
  <c r="BB46" i="48"/>
  <c r="BC46" i="48"/>
  <c r="BD46" i="48"/>
  <c r="BE46" i="48"/>
  <c r="BF46" i="48"/>
  <c r="BG46" i="48"/>
  <c r="BH46" i="48"/>
  <c r="BI46" i="48"/>
  <c r="BJ46" i="48"/>
  <c r="BK46" i="48"/>
  <c r="BL46" i="48"/>
  <c r="BM46" i="48"/>
  <c r="BN46" i="48"/>
  <c r="BO46" i="48"/>
  <c r="BP46" i="48"/>
  <c r="BQ46" i="48"/>
  <c r="BR46" i="48"/>
  <c r="BS46" i="48"/>
  <c r="BT46" i="48"/>
  <c r="A47" i="48"/>
  <c r="B47" i="48"/>
  <c r="C47" i="48"/>
  <c r="D47" i="48"/>
  <c r="E47" i="48"/>
  <c r="F47" i="48"/>
  <c r="G47" i="48"/>
  <c r="H47" i="48"/>
  <c r="I47" i="48"/>
  <c r="J47" i="48"/>
  <c r="DF47" i="48" s="1"/>
  <c r="N47" i="48"/>
  <c r="O47" i="48"/>
  <c r="P47" i="48"/>
  <c r="Q47" i="48"/>
  <c r="R47" i="48"/>
  <c r="S47" i="48"/>
  <c r="T47" i="48"/>
  <c r="U47" i="48"/>
  <c r="V47" i="48"/>
  <c r="W47" i="48"/>
  <c r="X47" i="48"/>
  <c r="Y47" i="48"/>
  <c r="Z47" i="48"/>
  <c r="AA47" i="48"/>
  <c r="AB47" i="48"/>
  <c r="AC47" i="48"/>
  <c r="AD47" i="48"/>
  <c r="AE47" i="48"/>
  <c r="AF47" i="48"/>
  <c r="AG47" i="48"/>
  <c r="AH47" i="48"/>
  <c r="AI47" i="48"/>
  <c r="AJ47" i="48"/>
  <c r="AK47" i="48"/>
  <c r="AL47" i="48"/>
  <c r="AM47" i="48"/>
  <c r="AN47" i="48"/>
  <c r="AO47" i="48"/>
  <c r="AP47" i="48"/>
  <c r="AQ47" i="48"/>
  <c r="AR47" i="48"/>
  <c r="AS47" i="48"/>
  <c r="AT47" i="48"/>
  <c r="AU47" i="48"/>
  <c r="AV47" i="48"/>
  <c r="AW47" i="48"/>
  <c r="AX47" i="48"/>
  <c r="AY47" i="48"/>
  <c r="AZ47" i="48"/>
  <c r="BA47" i="48"/>
  <c r="BB47" i="48"/>
  <c r="BC47" i="48"/>
  <c r="BD47" i="48"/>
  <c r="BE47" i="48"/>
  <c r="BF47" i="48"/>
  <c r="BG47" i="48"/>
  <c r="BH47" i="48"/>
  <c r="BI47" i="48"/>
  <c r="BJ47" i="48"/>
  <c r="BK47" i="48"/>
  <c r="BL47" i="48"/>
  <c r="BM47" i="48"/>
  <c r="BN47" i="48"/>
  <c r="BO47" i="48"/>
  <c r="BP47" i="48"/>
  <c r="BQ47" i="48"/>
  <c r="BR47" i="48"/>
  <c r="BS47" i="48"/>
  <c r="BT47" i="48"/>
  <c r="A48" i="48"/>
  <c r="B48" i="48"/>
  <c r="C48" i="48"/>
  <c r="D48" i="48"/>
  <c r="E48" i="48"/>
  <c r="F48" i="48"/>
  <c r="G48" i="48"/>
  <c r="H48" i="48"/>
  <c r="I48" i="48"/>
  <c r="J48" i="48"/>
  <c r="DF48" i="48" s="1"/>
  <c r="K48" i="48"/>
  <c r="L48" i="48"/>
  <c r="M48" i="48"/>
  <c r="N48" i="48"/>
  <c r="O48" i="48"/>
  <c r="P48" i="48"/>
  <c r="Q48" i="48"/>
  <c r="R48" i="48"/>
  <c r="S48" i="48"/>
  <c r="T48" i="48"/>
  <c r="U48" i="48"/>
  <c r="V48" i="48"/>
  <c r="W48" i="48"/>
  <c r="X48" i="48"/>
  <c r="Y48" i="48"/>
  <c r="Z48" i="48"/>
  <c r="AA48" i="48"/>
  <c r="AB48" i="48"/>
  <c r="AC48" i="48"/>
  <c r="AD48" i="48"/>
  <c r="AE48" i="48"/>
  <c r="AF48" i="48"/>
  <c r="AG48" i="48"/>
  <c r="AH48" i="48"/>
  <c r="AI48" i="48"/>
  <c r="AJ48" i="48"/>
  <c r="AK48" i="48"/>
  <c r="AL48" i="48"/>
  <c r="AM48" i="48"/>
  <c r="AN48" i="48"/>
  <c r="AO48" i="48"/>
  <c r="AP48" i="48"/>
  <c r="AQ48" i="48"/>
  <c r="AR48" i="48"/>
  <c r="AS48" i="48"/>
  <c r="AT48" i="48"/>
  <c r="AU48" i="48"/>
  <c r="AV48" i="48"/>
  <c r="AW48" i="48"/>
  <c r="AX48" i="48"/>
  <c r="AY48" i="48"/>
  <c r="AZ48" i="48"/>
  <c r="BA48" i="48"/>
  <c r="BB48" i="48"/>
  <c r="BC48" i="48"/>
  <c r="BD48" i="48"/>
  <c r="BE48" i="48"/>
  <c r="BF48" i="48"/>
  <c r="BG48" i="48"/>
  <c r="BH48" i="48"/>
  <c r="BI48" i="48"/>
  <c r="BJ48" i="48"/>
  <c r="BK48" i="48"/>
  <c r="BL48" i="48"/>
  <c r="BM48" i="48"/>
  <c r="BN48" i="48"/>
  <c r="BO48" i="48"/>
  <c r="BP48" i="48"/>
  <c r="BQ48" i="48"/>
  <c r="BR48" i="48"/>
  <c r="BS48" i="48"/>
  <c r="BT48" i="48"/>
  <c r="A49" i="48"/>
  <c r="B49" i="48"/>
  <c r="C49" i="48"/>
  <c r="D49" i="48"/>
  <c r="E49" i="48"/>
  <c r="F49" i="48"/>
  <c r="G49" i="48"/>
  <c r="H49" i="48"/>
  <c r="I49" i="48"/>
  <c r="J49" i="48"/>
  <c r="DF49" i="48" s="1"/>
  <c r="K49" i="48"/>
  <c r="L49" i="48"/>
  <c r="M49" i="48"/>
  <c r="N49" i="48"/>
  <c r="O49" i="48"/>
  <c r="P49" i="48"/>
  <c r="Q49" i="48"/>
  <c r="R49" i="48"/>
  <c r="S49" i="48"/>
  <c r="T49" i="48"/>
  <c r="U49" i="48"/>
  <c r="V49" i="48"/>
  <c r="W49" i="48"/>
  <c r="X49" i="48"/>
  <c r="Y49" i="48"/>
  <c r="Z49" i="48"/>
  <c r="AA49" i="48"/>
  <c r="AB49" i="48"/>
  <c r="AC49" i="48"/>
  <c r="AD49" i="48"/>
  <c r="AE49" i="48"/>
  <c r="AF49" i="48"/>
  <c r="AG49" i="48"/>
  <c r="AH49" i="48"/>
  <c r="AI49" i="48"/>
  <c r="AJ49" i="48"/>
  <c r="AK49" i="48"/>
  <c r="AL49" i="48"/>
  <c r="AM49" i="48"/>
  <c r="AN49" i="48"/>
  <c r="AO49" i="48"/>
  <c r="AP49" i="48"/>
  <c r="AQ49" i="48"/>
  <c r="AR49" i="48"/>
  <c r="AS49" i="48"/>
  <c r="AT49" i="48"/>
  <c r="AU49" i="48"/>
  <c r="AV49" i="48"/>
  <c r="AW49" i="48"/>
  <c r="AX49" i="48"/>
  <c r="AY49" i="48"/>
  <c r="AZ49" i="48"/>
  <c r="BA49" i="48"/>
  <c r="BB49" i="48"/>
  <c r="BC49" i="48"/>
  <c r="BD49" i="48"/>
  <c r="BE49" i="48"/>
  <c r="BF49" i="48"/>
  <c r="BG49" i="48"/>
  <c r="BH49" i="48"/>
  <c r="BI49" i="48"/>
  <c r="BJ49" i="48"/>
  <c r="BK49" i="48"/>
  <c r="BL49" i="48"/>
  <c r="BM49" i="48"/>
  <c r="BN49" i="48"/>
  <c r="BO49" i="48"/>
  <c r="BP49" i="48"/>
  <c r="BQ49" i="48"/>
  <c r="BR49" i="48"/>
  <c r="BS49" i="48"/>
  <c r="BT49" i="48"/>
  <c r="AS272" i="53"/>
  <c r="AP272" i="53"/>
  <c r="AO272" i="53"/>
  <c r="AK272" i="53"/>
  <c r="AQ272" i="53" s="1"/>
  <c r="AS271" i="53"/>
  <c r="AP271" i="53"/>
  <c r="AO271" i="53"/>
  <c r="AK271" i="53"/>
  <c r="AQ271" i="53" s="1"/>
  <c r="AS270" i="53"/>
  <c r="AP270" i="53"/>
  <c r="AO270" i="53"/>
  <c r="AK270" i="53"/>
  <c r="AQ270" i="53" s="1"/>
  <c r="AS269" i="53"/>
  <c r="AP269" i="53"/>
  <c r="AO269" i="53"/>
  <c r="AK269" i="53"/>
  <c r="AQ269" i="53" s="1"/>
  <c r="AS268" i="53"/>
  <c r="AP268" i="53"/>
  <c r="AO268" i="53"/>
  <c r="AK268" i="53"/>
  <c r="AQ268" i="53" s="1"/>
  <c r="AS267" i="53"/>
  <c r="AP267" i="53"/>
  <c r="AO267" i="53"/>
  <c r="AK267" i="53"/>
  <c r="AQ267" i="53" s="1"/>
  <c r="AS266" i="53"/>
  <c r="AP266" i="53"/>
  <c r="AO266" i="53"/>
  <c r="AK266" i="53"/>
  <c r="AQ266" i="53" s="1"/>
  <c r="AS265" i="53"/>
  <c r="AP265" i="53"/>
  <c r="AO265" i="53"/>
  <c r="AK265" i="53"/>
  <c r="AQ265" i="53" s="1"/>
  <c r="AS264" i="53"/>
  <c r="AP264" i="53"/>
  <c r="AO264" i="53"/>
  <c r="AK264" i="53"/>
  <c r="AQ264" i="53" s="1"/>
  <c r="AS263" i="53"/>
  <c r="AP263" i="53"/>
  <c r="AO263" i="53"/>
  <c r="AK263" i="53"/>
  <c r="AQ263" i="53" s="1"/>
  <c r="AS262" i="53"/>
  <c r="AP262" i="53"/>
  <c r="AO262" i="53"/>
  <c r="AK262" i="53"/>
  <c r="AQ262" i="53" s="1"/>
  <c r="AS261" i="53"/>
  <c r="AP261" i="53"/>
  <c r="AO261" i="53"/>
  <c r="AK261" i="53"/>
  <c r="AQ261" i="53" s="1"/>
  <c r="AS260" i="53"/>
  <c r="AP260" i="53"/>
  <c r="AO260" i="53"/>
  <c r="AK260" i="53"/>
  <c r="AQ260" i="53" s="1"/>
  <c r="AS259" i="53"/>
  <c r="AP259" i="53"/>
  <c r="AO259" i="53"/>
  <c r="AK259" i="53"/>
  <c r="AQ259" i="53" s="1"/>
  <c r="AS258" i="53"/>
  <c r="AP258" i="53"/>
  <c r="AO258" i="53"/>
  <c r="AK258" i="53"/>
  <c r="AQ258" i="53" s="1"/>
  <c r="AS257" i="53"/>
  <c r="AP257" i="53"/>
  <c r="AO257" i="53"/>
  <c r="AK257" i="53"/>
  <c r="AQ257" i="53" s="1"/>
  <c r="AS256" i="53"/>
  <c r="AP256" i="53"/>
  <c r="AO256" i="53"/>
  <c r="AK256" i="53"/>
  <c r="AQ256" i="53" s="1"/>
  <c r="AS255" i="53"/>
  <c r="AP255" i="53"/>
  <c r="AO255" i="53"/>
  <c r="AK255" i="53"/>
  <c r="AQ255" i="53" s="1"/>
  <c r="AS254" i="53"/>
  <c r="AP254" i="53"/>
  <c r="AO254" i="53"/>
  <c r="AK254" i="53"/>
  <c r="AQ254" i="53" s="1"/>
  <c r="AS253" i="53"/>
  <c r="AP253" i="53"/>
  <c r="AO253" i="53"/>
  <c r="AK253" i="53"/>
  <c r="AQ253" i="53" s="1"/>
  <c r="AS252" i="53"/>
  <c r="AP252" i="53"/>
  <c r="AO252" i="53"/>
  <c r="AK252" i="53"/>
  <c r="AQ252" i="53" s="1"/>
  <c r="AS83" i="53"/>
  <c r="AP83" i="53"/>
  <c r="AO83" i="53"/>
  <c r="AI83" i="53"/>
  <c r="AK83" i="53" s="1"/>
  <c r="X83" i="53"/>
  <c r="AS105" i="53"/>
  <c r="AP105" i="53"/>
  <c r="AK105" i="53"/>
  <c r="X105" i="53"/>
  <c r="AL105" i="53" s="1"/>
  <c r="AS251" i="53"/>
  <c r="AP251" i="53"/>
  <c r="AK251" i="53"/>
  <c r="X251" i="53"/>
  <c r="AL251" i="53" s="1"/>
  <c r="AS250" i="53"/>
  <c r="AP250" i="53"/>
  <c r="AK250" i="53"/>
  <c r="X250" i="53"/>
  <c r="AS249" i="53"/>
  <c r="AP249" i="53"/>
  <c r="AK249" i="53"/>
  <c r="X249" i="53"/>
  <c r="AL249" i="53" s="1"/>
  <c r="AS248" i="53"/>
  <c r="AP248" i="53"/>
  <c r="AK248" i="53"/>
  <c r="X248" i="53"/>
  <c r="AL248" i="53" s="1"/>
  <c r="AS247" i="53"/>
  <c r="AP247" i="53"/>
  <c r="AK247" i="53"/>
  <c r="X247" i="53"/>
  <c r="AL247" i="53" s="1"/>
  <c r="AS246" i="53"/>
  <c r="AP246" i="53"/>
  <c r="AK246" i="53"/>
  <c r="X246" i="53"/>
  <c r="AS245" i="53"/>
  <c r="AP245" i="53"/>
  <c r="AK245" i="53"/>
  <c r="X245" i="53"/>
  <c r="AL245" i="53" s="1"/>
  <c r="AS244" i="53"/>
  <c r="AP244" i="53"/>
  <c r="AK244" i="53"/>
  <c r="X244" i="53"/>
  <c r="AL244" i="53" s="1"/>
  <c r="AS243" i="53"/>
  <c r="AP243" i="53"/>
  <c r="AK243" i="53"/>
  <c r="X243" i="53"/>
  <c r="AL243" i="53" s="1"/>
  <c r="AS242" i="53"/>
  <c r="AP242" i="53"/>
  <c r="AK242" i="53"/>
  <c r="X242" i="53"/>
  <c r="AS241" i="53"/>
  <c r="AP241" i="53"/>
  <c r="AK241" i="53"/>
  <c r="X241" i="53"/>
  <c r="AL241" i="53" s="1"/>
  <c r="AS104" i="53"/>
  <c r="AP104" i="53"/>
  <c r="AK104" i="53"/>
  <c r="X104" i="53"/>
  <c r="AL104" i="53" s="1"/>
  <c r="AS240" i="53"/>
  <c r="AP240" i="53"/>
  <c r="AK240" i="53"/>
  <c r="X240" i="53"/>
  <c r="AL240" i="53" s="1"/>
  <c r="AS239" i="53"/>
  <c r="AP239" i="53"/>
  <c r="AK239" i="53"/>
  <c r="X239" i="53"/>
  <c r="AS238" i="53"/>
  <c r="AP238" i="53"/>
  <c r="AK238" i="53"/>
  <c r="X238" i="53"/>
  <c r="AL238" i="53" s="1"/>
  <c r="AS237" i="53"/>
  <c r="AP237" i="53"/>
  <c r="AK237" i="53"/>
  <c r="X237" i="53"/>
  <c r="AL237" i="53" s="1"/>
  <c r="AS236" i="53"/>
  <c r="AP236" i="53"/>
  <c r="AK236" i="53"/>
  <c r="X236" i="53"/>
  <c r="AL236" i="53" s="1"/>
  <c r="AS175" i="53"/>
  <c r="AP175" i="53"/>
  <c r="AO175" i="53"/>
  <c r="AK175" i="53"/>
  <c r="X175" i="53"/>
  <c r="AS174" i="53"/>
  <c r="AP174" i="53"/>
  <c r="AO174" i="53"/>
  <c r="AK174" i="53"/>
  <c r="X174" i="53"/>
  <c r="AS173" i="53"/>
  <c r="AP173" i="53"/>
  <c r="AO173" i="53"/>
  <c r="AK173" i="53"/>
  <c r="X173" i="53"/>
  <c r="AS235" i="53"/>
  <c r="AP235" i="53"/>
  <c r="AO235" i="53"/>
  <c r="AK235" i="53"/>
  <c r="X235" i="53"/>
  <c r="AS234" i="53"/>
  <c r="AP234" i="53"/>
  <c r="AO234" i="53"/>
  <c r="AK234" i="53"/>
  <c r="X234" i="53"/>
  <c r="AS169" i="53"/>
  <c r="AP169" i="53"/>
  <c r="AO169" i="53"/>
  <c r="AK169" i="53"/>
  <c r="X169" i="53"/>
  <c r="AS168" i="53"/>
  <c r="AP168" i="53"/>
  <c r="AO168" i="53"/>
  <c r="AK168" i="53"/>
  <c r="X168" i="53"/>
  <c r="AS167" i="53"/>
  <c r="AP167" i="53"/>
  <c r="AO167" i="53"/>
  <c r="AK167" i="53"/>
  <c r="X167" i="53"/>
  <c r="AS82" i="53"/>
  <c r="AP82" i="53"/>
  <c r="AO82" i="53"/>
  <c r="AK82" i="53"/>
  <c r="X82" i="53"/>
  <c r="AS81" i="53"/>
  <c r="AP81" i="53"/>
  <c r="AO81" i="53"/>
  <c r="AK81" i="53"/>
  <c r="X81" i="53"/>
  <c r="AS80" i="53"/>
  <c r="AP80" i="53"/>
  <c r="AO80" i="53"/>
  <c r="AK80" i="53"/>
  <c r="X80" i="53"/>
  <c r="AS79" i="53"/>
  <c r="AP79" i="53"/>
  <c r="AO79" i="53"/>
  <c r="AK79" i="53"/>
  <c r="X79" i="53"/>
  <c r="AS78" i="53"/>
  <c r="AP78" i="53"/>
  <c r="AO78" i="53"/>
  <c r="AK78" i="53"/>
  <c r="X78" i="53"/>
  <c r="AS77" i="53"/>
  <c r="AP77" i="53"/>
  <c r="AO77" i="53"/>
  <c r="AK77" i="53"/>
  <c r="X77" i="53"/>
  <c r="AS166" i="53"/>
  <c r="AP166" i="53"/>
  <c r="AO166" i="53"/>
  <c r="AK166" i="53"/>
  <c r="X166" i="53"/>
  <c r="AS76" i="53"/>
  <c r="AP76" i="53"/>
  <c r="AO76" i="53"/>
  <c r="AK76" i="53"/>
  <c r="X76" i="53"/>
  <c r="AS75" i="53"/>
  <c r="AP75" i="53"/>
  <c r="AO75" i="53"/>
  <c r="AK75" i="53"/>
  <c r="X75" i="53"/>
  <c r="AS165" i="53"/>
  <c r="AP165" i="53"/>
  <c r="AO165" i="53"/>
  <c r="AK165" i="53"/>
  <c r="X165" i="53"/>
  <c r="AS164" i="53"/>
  <c r="AP164" i="53"/>
  <c r="AO164" i="53"/>
  <c r="AK164" i="53"/>
  <c r="X164" i="53"/>
  <c r="AS163" i="53"/>
  <c r="AP163" i="53"/>
  <c r="AO163" i="53"/>
  <c r="AK163" i="53"/>
  <c r="X163" i="53"/>
  <c r="AS162" i="53"/>
  <c r="AP162" i="53"/>
  <c r="AO162" i="53"/>
  <c r="AK162" i="53"/>
  <c r="X162" i="53"/>
  <c r="AS233" i="53"/>
  <c r="AP233" i="53"/>
  <c r="AO233" i="53"/>
  <c r="AK233" i="53"/>
  <c r="X233" i="53"/>
  <c r="AS232" i="53"/>
  <c r="AP232" i="53"/>
  <c r="AO232" i="53"/>
  <c r="AK232" i="53"/>
  <c r="X232" i="53"/>
  <c r="AS231" i="53"/>
  <c r="AP231" i="53"/>
  <c r="AO231" i="53"/>
  <c r="AK231" i="53"/>
  <c r="X231" i="53"/>
  <c r="AS230" i="53"/>
  <c r="AP230" i="53"/>
  <c r="AO230" i="53"/>
  <c r="AK230" i="53"/>
  <c r="X230" i="53"/>
  <c r="AS229" i="53"/>
  <c r="AP229" i="53"/>
  <c r="AO229" i="53"/>
  <c r="AK229" i="53"/>
  <c r="X229" i="53"/>
  <c r="AS74" i="53"/>
  <c r="AP74" i="53"/>
  <c r="AO74" i="53"/>
  <c r="AK74" i="53"/>
  <c r="X74" i="53"/>
  <c r="AS73" i="53"/>
  <c r="AP73" i="53"/>
  <c r="AO73" i="53"/>
  <c r="AK73" i="53"/>
  <c r="X73" i="53"/>
  <c r="AS161" i="53"/>
  <c r="AP161" i="53"/>
  <c r="AO161" i="53"/>
  <c r="AK161" i="53"/>
  <c r="X161" i="53"/>
  <c r="AS72" i="53"/>
  <c r="AP72" i="53"/>
  <c r="AO72" i="53"/>
  <c r="AK72" i="53"/>
  <c r="X72" i="53"/>
  <c r="AS71" i="53"/>
  <c r="AP71" i="53"/>
  <c r="AO71" i="53"/>
  <c r="AK71" i="53"/>
  <c r="X71" i="53"/>
  <c r="AS70" i="53"/>
  <c r="AP70" i="53"/>
  <c r="AO70" i="53"/>
  <c r="AK70" i="53"/>
  <c r="X70" i="53"/>
  <c r="AS69" i="53"/>
  <c r="AP69" i="53"/>
  <c r="AO69" i="53"/>
  <c r="AK69" i="53"/>
  <c r="X69" i="53"/>
  <c r="AS68" i="53"/>
  <c r="AP68" i="53"/>
  <c r="AO68" i="53"/>
  <c r="AK68" i="53"/>
  <c r="X68" i="53"/>
  <c r="AS67" i="53"/>
  <c r="AP67" i="53"/>
  <c r="AO67" i="53"/>
  <c r="AK67" i="53"/>
  <c r="X67" i="53"/>
  <c r="AS66" i="53"/>
  <c r="AP66" i="53"/>
  <c r="AO66" i="53"/>
  <c r="AK66" i="53"/>
  <c r="X66" i="53"/>
  <c r="AS65" i="53"/>
  <c r="AP65" i="53"/>
  <c r="AO65" i="53"/>
  <c r="AK65" i="53"/>
  <c r="X65" i="53"/>
  <c r="AS283" i="53"/>
  <c r="AP283" i="53"/>
  <c r="AO283" i="53"/>
  <c r="AI283" i="53"/>
  <c r="AK283" i="53" s="1"/>
  <c r="X283" i="53"/>
  <c r="AS282" i="53"/>
  <c r="AP282" i="53"/>
  <c r="AO282" i="53"/>
  <c r="AI282" i="53"/>
  <c r="AK282" i="53" s="1"/>
  <c r="X282" i="53"/>
  <c r="AS64" i="53"/>
  <c r="AP64" i="53"/>
  <c r="AI64" i="53"/>
  <c r="AK64" i="53" s="1"/>
  <c r="X64" i="53"/>
  <c r="AL64" i="53" s="1"/>
  <c r="AS281" i="53"/>
  <c r="AP281" i="53"/>
  <c r="AO281" i="53"/>
  <c r="AI281" i="53"/>
  <c r="AK281" i="53" s="1"/>
  <c r="X281" i="53"/>
  <c r="AS160" i="53"/>
  <c r="AP160" i="53"/>
  <c r="AO160" i="53"/>
  <c r="AI160" i="53"/>
  <c r="AK160" i="53" s="1"/>
  <c r="X160" i="53"/>
  <c r="AS63" i="53"/>
  <c r="AP63" i="53"/>
  <c r="AI63" i="53"/>
  <c r="AK63" i="53" s="1"/>
  <c r="X63" i="53"/>
  <c r="AL63" i="53" s="1"/>
  <c r="AS228" i="53"/>
  <c r="AP228" i="53"/>
  <c r="AO228" i="53"/>
  <c r="AI228" i="53"/>
  <c r="AK228" i="53" s="1"/>
  <c r="X228" i="53"/>
  <c r="AS227" i="53"/>
  <c r="AP227" i="53"/>
  <c r="AO227" i="53"/>
  <c r="AI227" i="53"/>
  <c r="AK227" i="53" s="1"/>
  <c r="X227" i="53"/>
  <c r="AS159" i="53"/>
  <c r="AP159" i="53"/>
  <c r="AO159" i="53"/>
  <c r="AI159" i="53"/>
  <c r="AK159" i="53" s="1"/>
  <c r="X159" i="53"/>
  <c r="AS158" i="53"/>
  <c r="AP158" i="53"/>
  <c r="AO158" i="53"/>
  <c r="AI158" i="53"/>
  <c r="AK158" i="53" s="1"/>
  <c r="X158" i="53"/>
  <c r="AS157" i="53"/>
  <c r="AP157" i="53"/>
  <c r="AO157" i="53"/>
  <c r="AI157" i="53"/>
  <c r="AK157" i="53" s="1"/>
  <c r="X157" i="53"/>
  <c r="AS156" i="53"/>
  <c r="AP156" i="53"/>
  <c r="AO156" i="53"/>
  <c r="AI156" i="53"/>
  <c r="AK156" i="53" s="1"/>
  <c r="X156" i="53"/>
  <c r="AS280" i="53"/>
  <c r="AP280" i="53"/>
  <c r="AO280" i="53"/>
  <c r="AI280" i="53"/>
  <c r="AK280" i="53" s="1"/>
  <c r="X280" i="53"/>
  <c r="AS279" i="53"/>
  <c r="AP279" i="53"/>
  <c r="AO279" i="53"/>
  <c r="AI279" i="53"/>
  <c r="AK279" i="53" s="1"/>
  <c r="X279" i="53"/>
  <c r="AS62" i="53"/>
  <c r="AP62" i="53"/>
  <c r="AI62" i="53"/>
  <c r="AK62" i="53" s="1"/>
  <c r="X62" i="53"/>
  <c r="AS155" i="53"/>
  <c r="AP155" i="53"/>
  <c r="AO155" i="53"/>
  <c r="AI155" i="53"/>
  <c r="AK155" i="53" s="1"/>
  <c r="X155" i="53"/>
  <c r="AS61" i="53"/>
  <c r="AP61" i="53"/>
  <c r="AI61" i="53"/>
  <c r="AK61" i="53" s="1"/>
  <c r="X61" i="53"/>
  <c r="AL61" i="53" s="1"/>
  <c r="AS60" i="53"/>
  <c r="AP60" i="53"/>
  <c r="AI60" i="53"/>
  <c r="AK60" i="53" s="1"/>
  <c r="X60" i="53"/>
  <c r="AL60" i="53" s="1"/>
  <c r="AS154" i="53"/>
  <c r="AP154" i="53"/>
  <c r="AI154" i="53"/>
  <c r="AK154" i="53" s="1"/>
  <c r="X154" i="53"/>
  <c r="AL154" i="53" s="1"/>
  <c r="AS226" i="53"/>
  <c r="AP226" i="53"/>
  <c r="AO226" i="53"/>
  <c r="AI226" i="53"/>
  <c r="AK226" i="53" s="1"/>
  <c r="X226" i="53"/>
  <c r="AS225" i="53"/>
  <c r="AP225" i="53"/>
  <c r="AO225" i="53"/>
  <c r="AI225" i="53"/>
  <c r="AK225" i="53" s="1"/>
  <c r="X225" i="53"/>
  <c r="AS224" i="53"/>
  <c r="AP224" i="53"/>
  <c r="AO224" i="53"/>
  <c r="AI224" i="53"/>
  <c r="AK224" i="53" s="1"/>
  <c r="X224" i="53"/>
  <c r="AS223" i="53"/>
  <c r="AP223" i="53"/>
  <c r="AO223" i="53"/>
  <c r="AI223" i="53"/>
  <c r="AK223" i="53" s="1"/>
  <c r="X223" i="53"/>
  <c r="AS222" i="53"/>
  <c r="AP222" i="53"/>
  <c r="AO222" i="53"/>
  <c r="AK222" i="53"/>
  <c r="X222" i="53"/>
  <c r="AS59" i="53"/>
  <c r="AP59" i="53"/>
  <c r="AI59" i="53"/>
  <c r="AK59" i="53" s="1"/>
  <c r="X59" i="53"/>
  <c r="AL59" i="53" s="1"/>
  <c r="AS153" i="53"/>
  <c r="AP153" i="53"/>
  <c r="AI153" i="53"/>
  <c r="AK153" i="53" s="1"/>
  <c r="X153" i="53"/>
  <c r="AL153" i="53" s="1"/>
  <c r="AS58" i="53"/>
  <c r="AP58" i="53"/>
  <c r="AI58" i="53"/>
  <c r="AK58" i="53" s="1"/>
  <c r="X58" i="53"/>
  <c r="AL58" i="53" s="1"/>
  <c r="AS57" i="53"/>
  <c r="AP57" i="53"/>
  <c r="AI57" i="53"/>
  <c r="AK57" i="53" s="1"/>
  <c r="X57" i="53"/>
  <c r="AL57" i="53" s="1"/>
  <c r="AS221" i="53"/>
  <c r="AP221" i="53"/>
  <c r="AO221" i="53"/>
  <c r="AI221" i="53"/>
  <c r="AK221" i="53" s="1"/>
  <c r="X221" i="53"/>
  <c r="AS220" i="53"/>
  <c r="AP220" i="53"/>
  <c r="AO220" i="53"/>
  <c r="AI220" i="53"/>
  <c r="AK220" i="53" s="1"/>
  <c r="X220" i="53"/>
  <c r="AS152" i="53"/>
  <c r="AP152" i="53"/>
  <c r="AK152" i="53"/>
  <c r="X152" i="53"/>
  <c r="AS151" i="53"/>
  <c r="AP151" i="53"/>
  <c r="AO151" i="53"/>
  <c r="AI151" i="53"/>
  <c r="AK151" i="53" s="1"/>
  <c r="X151" i="53"/>
  <c r="AS150" i="53"/>
  <c r="AP150" i="53"/>
  <c r="AO150" i="53"/>
  <c r="AI150" i="53"/>
  <c r="AK150" i="53" s="1"/>
  <c r="X150" i="53"/>
  <c r="AS219" i="53"/>
  <c r="AP219" i="53"/>
  <c r="AO219" i="53"/>
  <c r="AK219" i="53"/>
  <c r="X219" i="53"/>
  <c r="AS218" i="53"/>
  <c r="AP218" i="53"/>
  <c r="AO218" i="53"/>
  <c r="AK218" i="53"/>
  <c r="X218" i="53"/>
  <c r="AS217" i="53"/>
  <c r="AP217" i="53"/>
  <c r="AO217" i="53"/>
  <c r="AI217" i="53"/>
  <c r="AK217" i="53" s="1"/>
  <c r="X217" i="53"/>
  <c r="AS216" i="53"/>
  <c r="AP216" i="53"/>
  <c r="AO216" i="53"/>
  <c r="AI216" i="53"/>
  <c r="AK216" i="53" s="1"/>
  <c r="X216" i="53"/>
  <c r="AS56" i="53"/>
  <c r="AP56" i="53"/>
  <c r="AI56" i="53"/>
  <c r="AK56" i="53" s="1"/>
  <c r="X56" i="53"/>
  <c r="AL56" i="53" s="1"/>
  <c r="AS149" i="53"/>
  <c r="AP149" i="53"/>
  <c r="AO149" i="53"/>
  <c r="AI149" i="53"/>
  <c r="AK149" i="53" s="1"/>
  <c r="X149" i="53"/>
  <c r="AS148" i="53"/>
  <c r="AP148" i="53"/>
  <c r="AO148" i="53"/>
  <c r="AI148" i="53"/>
  <c r="AK148" i="53" s="1"/>
  <c r="X148" i="53"/>
  <c r="AS215" i="53"/>
  <c r="AP215" i="53"/>
  <c r="AO215" i="53"/>
  <c r="AI215" i="53"/>
  <c r="AK215" i="53" s="1"/>
  <c r="X215" i="53"/>
  <c r="AS55" i="53"/>
  <c r="AP55" i="53"/>
  <c r="AI55" i="53"/>
  <c r="AK55" i="53" s="1"/>
  <c r="X55" i="53"/>
  <c r="AS214" i="53"/>
  <c r="AP214" i="53"/>
  <c r="AO214" i="53"/>
  <c r="AI214" i="53"/>
  <c r="AK214" i="53" s="1"/>
  <c r="X214" i="53"/>
  <c r="AS147" i="53"/>
  <c r="AP147" i="53"/>
  <c r="AO147" i="53"/>
  <c r="AI147" i="53"/>
  <c r="AK147" i="53" s="1"/>
  <c r="X147" i="53"/>
  <c r="AS146" i="53"/>
  <c r="AP146" i="53"/>
  <c r="AI146" i="53"/>
  <c r="AK146" i="53" s="1"/>
  <c r="X146" i="53"/>
  <c r="AS278" i="53"/>
  <c r="AP278" i="53"/>
  <c r="AO278" i="53"/>
  <c r="AI278" i="53"/>
  <c r="AK278" i="53" s="1"/>
  <c r="X278" i="53"/>
  <c r="AS277" i="53"/>
  <c r="AP277" i="53"/>
  <c r="AO277" i="53"/>
  <c r="AI277" i="53"/>
  <c r="AK277" i="53" s="1"/>
  <c r="X277" i="53"/>
  <c r="AS145" i="53"/>
  <c r="AP145" i="53"/>
  <c r="AO145" i="53"/>
  <c r="AI145" i="53"/>
  <c r="AK145" i="53" s="1"/>
  <c r="X145" i="53"/>
  <c r="AS54" i="53"/>
  <c r="AP54" i="53"/>
  <c r="AK54" i="53"/>
  <c r="X54" i="53"/>
  <c r="AL54" i="53" s="1"/>
  <c r="AS144" i="53"/>
  <c r="AP144" i="53"/>
  <c r="AO144" i="53"/>
  <c r="AI144" i="53"/>
  <c r="AK144" i="53" s="1"/>
  <c r="X144" i="53"/>
  <c r="AS53" i="53"/>
  <c r="AP53" i="53"/>
  <c r="AO53" i="53"/>
  <c r="AI53" i="53"/>
  <c r="AK53" i="53" s="1"/>
  <c r="X53" i="53"/>
  <c r="AS52" i="53"/>
  <c r="AP52" i="53"/>
  <c r="AO52" i="53"/>
  <c r="AK52" i="53"/>
  <c r="X52" i="53"/>
  <c r="AS51" i="53"/>
  <c r="AP51" i="53"/>
  <c r="AO51" i="53"/>
  <c r="AI51" i="53"/>
  <c r="AK51" i="53" s="1"/>
  <c r="X51" i="53"/>
  <c r="AS50" i="53"/>
  <c r="AP50" i="53"/>
  <c r="AI50" i="53"/>
  <c r="AK50" i="53" s="1"/>
  <c r="X50" i="53"/>
  <c r="AL50" i="53" s="1"/>
  <c r="AS143" i="53"/>
  <c r="AP143" i="53"/>
  <c r="AO143" i="53"/>
  <c r="AK143" i="53"/>
  <c r="X143" i="53"/>
  <c r="AS142" i="53"/>
  <c r="AP142" i="53"/>
  <c r="AO142" i="53"/>
  <c r="AK142" i="53"/>
  <c r="X142" i="53"/>
  <c r="AS49" i="53"/>
  <c r="AP49" i="53"/>
  <c r="AO49" i="53"/>
  <c r="AK49" i="53"/>
  <c r="X49" i="53"/>
  <c r="AS141" i="53"/>
  <c r="AP141" i="53"/>
  <c r="AO141" i="53"/>
  <c r="AK141" i="53"/>
  <c r="X141" i="53"/>
  <c r="AS140" i="53"/>
  <c r="AP140" i="53"/>
  <c r="AO140" i="53"/>
  <c r="AK140" i="53"/>
  <c r="X140" i="53"/>
  <c r="AS172" i="53"/>
  <c r="AP172" i="53"/>
  <c r="AO172" i="53"/>
  <c r="AK172" i="53"/>
  <c r="X172" i="53"/>
  <c r="AS139" i="53"/>
  <c r="AP139" i="53"/>
  <c r="AO139" i="53"/>
  <c r="AK139" i="53"/>
  <c r="X139" i="53"/>
  <c r="AS48" i="53"/>
  <c r="AP48" i="53"/>
  <c r="AO48" i="53"/>
  <c r="AK48" i="53"/>
  <c r="X48" i="53"/>
  <c r="AS47" i="53"/>
  <c r="AP47" i="53"/>
  <c r="AO47" i="53"/>
  <c r="AK47" i="53"/>
  <c r="X47" i="53"/>
  <c r="AS46" i="53"/>
  <c r="AP46" i="53"/>
  <c r="AO46" i="53"/>
  <c r="AK46" i="53"/>
  <c r="X46" i="53"/>
  <c r="AS45" i="53"/>
  <c r="AP45" i="53"/>
  <c r="AO45" i="53"/>
  <c r="AK45" i="53"/>
  <c r="X45" i="53"/>
  <c r="AS44" i="53"/>
  <c r="AP44" i="53"/>
  <c r="AO44" i="53"/>
  <c r="AK44" i="53"/>
  <c r="X44" i="53"/>
  <c r="AS43" i="53"/>
  <c r="AP43" i="53"/>
  <c r="AO43" i="53"/>
  <c r="AK43" i="53"/>
  <c r="X43" i="53"/>
  <c r="AS42" i="53"/>
  <c r="AP42" i="53"/>
  <c r="AO42" i="53"/>
  <c r="AK42" i="53"/>
  <c r="X42" i="53"/>
  <c r="AS41" i="53"/>
  <c r="AP41" i="53"/>
  <c r="AO41" i="53"/>
  <c r="AK41" i="53"/>
  <c r="X41" i="53"/>
  <c r="AS40" i="53"/>
  <c r="AP40" i="53"/>
  <c r="AO40" i="53"/>
  <c r="AK40" i="53"/>
  <c r="X40" i="53"/>
  <c r="AS39" i="53"/>
  <c r="AP39" i="53"/>
  <c r="AO39" i="53"/>
  <c r="AK39" i="53"/>
  <c r="X39" i="53"/>
  <c r="AS138" i="53"/>
  <c r="AP138" i="53"/>
  <c r="AO138" i="53"/>
  <c r="AK138" i="53"/>
  <c r="X138" i="53"/>
  <c r="AS213" i="53"/>
  <c r="AP213" i="53"/>
  <c r="AO213" i="53"/>
  <c r="AK213" i="53"/>
  <c r="X213" i="53"/>
  <c r="AS276" i="53"/>
  <c r="AP276" i="53"/>
  <c r="AO276" i="53"/>
  <c r="AK276" i="53"/>
  <c r="X276" i="53"/>
  <c r="AS212" i="53"/>
  <c r="AP212" i="53"/>
  <c r="AO212" i="53"/>
  <c r="AK212" i="53"/>
  <c r="X212" i="53"/>
  <c r="AS137" i="53"/>
  <c r="AP137" i="53"/>
  <c r="AO137" i="53"/>
  <c r="AI137" i="53"/>
  <c r="AK137" i="53" s="1"/>
  <c r="X137" i="53"/>
  <c r="AS136" i="53"/>
  <c r="AP136" i="53"/>
  <c r="AO136" i="53"/>
  <c r="AI136" i="53"/>
  <c r="AK136" i="53" s="1"/>
  <c r="X136" i="53"/>
  <c r="AS135" i="53"/>
  <c r="AP135" i="53"/>
  <c r="AO135" i="53"/>
  <c r="AI135" i="53"/>
  <c r="AK135" i="53" s="1"/>
  <c r="X135" i="53"/>
  <c r="AS211" i="53"/>
  <c r="AP211" i="53"/>
  <c r="AO211" i="53"/>
  <c r="AI211" i="53"/>
  <c r="AK211" i="53" s="1"/>
  <c r="X211" i="53"/>
  <c r="AS275" i="53"/>
  <c r="AP275" i="53"/>
  <c r="AO275" i="53"/>
  <c r="AI275" i="53"/>
  <c r="AK275" i="53" s="1"/>
  <c r="X275" i="53"/>
  <c r="AS210" i="53"/>
  <c r="AP210" i="53"/>
  <c r="AO210" i="53"/>
  <c r="AI210" i="53"/>
  <c r="AK210" i="53" s="1"/>
  <c r="X210" i="53"/>
  <c r="AS134" i="53"/>
  <c r="AP134" i="53"/>
  <c r="AO134" i="53"/>
  <c r="AI134" i="53"/>
  <c r="AK134" i="53" s="1"/>
  <c r="X134" i="53"/>
  <c r="AS133" i="53"/>
  <c r="AP133" i="53"/>
  <c r="AO133" i="53"/>
  <c r="AI133" i="53"/>
  <c r="AK133" i="53" s="1"/>
  <c r="X133" i="53"/>
  <c r="AS132" i="53"/>
  <c r="AP132" i="53"/>
  <c r="AO132" i="53"/>
  <c r="AI132" i="53"/>
  <c r="AK132" i="53" s="1"/>
  <c r="X132" i="53"/>
  <c r="AS209" i="53"/>
  <c r="AP209" i="53"/>
  <c r="AO209" i="53"/>
  <c r="AI209" i="53"/>
  <c r="AK209" i="53" s="1"/>
  <c r="X209" i="53"/>
  <c r="AS38" i="53"/>
  <c r="AP38" i="53"/>
  <c r="AO38" i="53"/>
  <c r="AI38" i="53"/>
  <c r="AK38" i="53" s="1"/>
  <c r="X38" i="53"/>
  <c r="AS37" i="53"/>
  <c r="AP37" i="53"/>
  <c r="AO37" i="53"/>
  <c r="AI37" i="53"/>
  <c r="AK37" i="53" s="1"/>
  <c r="X37" i="53"/>
  <c r="AS131" i="53"/>
  <c r="AP131" i="53"/>
  <c r="AO131" i="53"/>
  <c r="AI131" i="53"/>
  <c r="AK131" i="53" s="1"/>
  <c r="X131" i="53"/>
  <c r="AS208" i="53"/>
  <c r="AP208" i="53"/>
  <c r="AO208" i="53"/>
  <c r="AI208" i="53"/>
  <c r="AK208" i="53" s="1"/>
  <c r="X208" i="53"/>
  <c r="AS207" i="53"/>
  <c r="AP207" i="53"/>
  <c r="AO207" i="53"/>
  <c r="AI207" i="53"/>
  <c r="AK207" i="53" s="1"/>
  <c r="X207" i="53"/>
  <c r="AS130" i="53"/>
  <c r="AP130" i="53"/>
  <c r="AO130" i="53"/>
  <c r="AI130" i="53"/>
  <c r="AK130" i="53" s="1"/>
  <c r="X130" i="53"/>
  <c r="AS36" i="53"/>
  <c r="AP36" i="53"/>
  <c r="AO36" i="53"/>
  <c r="AI36" i="53"/>
  <c r="AK36" i="53" s="1"/>
  <c r="X36" i="53"/>
  <c r="CR50" i="48"/>
  <c r="AS129" i="53"/>
  <c r="AP129" i="53"/>
  <c r="AO129" i="53"/>
  <c r="AI129" i="53"/>
  <c r="AK129" i="53" s="1"/>
  <c r="X129" i="53"/>
  <c r="AS128" i="53"/>
  <c r="AP128" i="53"/>
  <c r="AO128" i="53"/>
  <c r="AI128" i="53"/>
  <c r="AK128" i="53" s="1"/>
  <c r="X128" i="53"/>
  <c r="AS127" i="53"/>
  <c r="AP127" i="53"/>
  <c r="AO127" i="53"/>
  <c r="AI127" i="53"/>
  <c r="AK127" i="53" s="1"/>
  <c r="X127" i="53"/>
  <c r="AS126" i="53"/>
  <c r="AP126" i="53"/>
  <c r="AO126" i="53"/>
  <c r="AI126" i="53"/>
  <c r="AK126" i="53" s="1"/>
  <c r="X126" i="53"/>
  <c r="AS35" i="53"/>
  <c r="AP35" i="53"/>
  <c r="AO35" i="53"/>
  <c r="AI35" i="53"/>
  <c r="AK35" i="53" s="1"/>
  <c r="X35" i="53"/>
  <c r="AS19" i="53"/>
  <c r="AP19" i="53"/>
  <c r="AO19" i="53"/>
  <c r="AI19" i="53"/>
  <c r="AK19" i="53" s="1"/>
  <c r="X19" i="53"/>
  <c r="AS18" i="53"/>
  <c r="AP18" i="53"/>
  <c r="AO18" i="53"/>
  <c r="AI18" i="53"/>
  <c r="AK18" i="53" s="1"/>
  <c r="X18" i="53"/>
  <c r="AS125" i="53"/>
  <c r="AP125" i="53"/>
  <c r="AO125" i="53"/>
  <c r="AI125" i="53"/>
  <c r="AK125" i="53" s="1"/>
  <c r="X125" i="53"/>
  <c r="AS124" i="53"/>
  <c r="AP124" i="53"/>
  <c r="AO124" i="53"/>
  <c r="AI124" i="53"/>
  <c r="AK124" i="53" s="1"/>
  <c r="X124" i="53"/>
  <c r="AS123" i="53"/>
  <c r="AP123" i="53"/>
  <c r="AO123" i="53"/>
  <c r="AI123" i="53"/>
  <c r="AK123" i="53" s="1"/>
  <c r="X123" i="53"/>
  <c r="AS206" i="53"/>
  <c r="AP206" i="53"/>
  <c r="AO206" i="53"/>
  <c r="AI206" i="53"/>
  <c r="AK206" i="53" s="1"/>
  <c r="X206" i="53"/>
  <c r="AS205" i="53"/>
  <c r="AP205" i="53"/>
  <c r="AO205" i="53"/>
  <c r="AI205" i="53"/>
  <c r="AK205" i="53" s="1"/>
  <c r="X205" i="53"/>
  <c r="AS204" i="53"/>
  <c r="AP204" i="53"/>
  <c r="AO204" i="53"/>
  <c r="AI204" i="53"/>
  <c r="AK204" i="53" s="1"/>
  <c r="X204" i="53"/>
  <c r="AS122" i="53"/>
  <c r="AP122" i="53"/>
  <c r="AO122" i="53"/>
  <c r="AI122" i="53"/>
  <c r="AK122" i="53" s="1"/>
  <c r="X122" i="53"/>
  <c r="AS121" i="53"/>
  <c r="AP121" i="53"/>
  <c r="AO121" i="53"/>
  <c r="AI121" i="53"/>
  <c r="AK121" i="53" s="1"/>
  <c r="X121" i="53"/>
  <c r="AS120" i="53"/>
  <c r="AP120" i="53"/>
  <c r="AO120" i="53"/>
  <c r="AI120" i="53"/>
  <c r="AK120" i="53" s="1"/>
  <c r="X120" i="53"/>
  <c r="AS34" i="53"/>
  <c r="AP34" i="53"/>
  <c r="AO34" i="53"/>
  <c r="AI34" i="53"/>
  <c r="AK34" i="53" s="1"/>
  <c r="X34" i="53"/>
  <c r="AS203" i="53"/>
  <c r="AP203" i="53"/>
  <c r="AO203" i="53"/>
  <c r="AK203" i="53"/>
  <c r="X203" i="53"/>
  <c r="AS202" i="53"/>
  <c r="AP202" i="53"/>
  <c r="AO202" i="53"/>
  <c r="AI202" i="53"/>
  <c r="AK202" i="53" s="1"/>
  <c r="X202" i="53"/>
  <c r="AS201" i="53"/>
  <c r="AP201" i="53"/>
  <c r="AO201" i="53"/>
  <c r="AI201" i="53"/>
  <c r="AK201" i="53" s="1"/>
  <c r="X201" i="53"/>
  <c r="AS200" i="53"/>
  <c r="AP200" i="53"/>
  <c r="AO200" i="53"/>
  <c r="AK200" i="53"/>
  <c r="X200" i="53"/>
  <c r="AS33" i="53"/>
  <c r="AP33" i="53"/>
  <c r="AO33" i="53"/>
  <c r="AI33" i="53"/>
  <c r="AK33" i="53" s="1"/>
  <c r="X33" i="53"/>
  <c r="AS199" i="53"/>
  <c r="AP199" i="53"/>
  <c r="AO199" i="53"/>
  <c r="AI199" i="53"/>
  <c r="AK199" i="53" s="1"/>
  <c r="X199" i="53"/>
  <c r="AS2" i="53"/>
  <c r="AP2" i="53"/>
  <c r="AO2" i="53"/>
  <c r="AI2" i="53"/>
  <c r="AK2" i="53" s="1"/>
  <c r="X2" i="53"/>
  <c r="AL2" i="53" s="1"/>
  <c r="AN2" i="53" s="1"/>
  <c r="AS198" i="53"/>
  <c r="AP198" i="53"/>
  <c r="AO198" i="53"/>
  <c r="AI198" i="53"/>
  <c r="AK198" i="53" s="1"/>
  <c r="X198" i="53"/>
  <c r="AS17" i="53"/>
  <c r="AP17" i="53"/>
  <c r="AO17" i="53"/>
  <c r="AI17" i="53"/>
  <c r="AK17" i="53" s="1"/>
  <c r="X17" i="53"/>
  <c r="AS119" i="53"/>
  <c r="AP119" i="53"/>
  <c r="AO119" i="53"/>
  <c r="AI119" i="53"/>
  <c r="AK119" i="53" s="1"/>
  <c r="X119" i="53"/>
  <c r="AS32" i="53"/>
  <c r="AP32" i="53"/>
  <c r="AO32" i="53"/>
  <c r="AI32" i="53"/>
  <c r="AK32" i="53" s="1"/>
  <c r="X32" i="53"/>
  <c r="AS118" i="53"/>
  <c r="AP118" i="53"/>
  <c r="AO118" i="53"/>
  <c r="AK118" i="53"/>
  <c r="X118" i="53"/>
  <c r="AS117" i="53"/>
  <c r="AP117" i="53"/>
  <c r="AO117" i="53"/>
  <c r="AK117" i="53"/>
  <c r="X117" i="53"/>
  <c r="AS116" i="53"/>
  <c r="AP116" i="53"/>
  <c r="AO116" i="53"/>
  <c r="AK116" i="53"/>
  <c r="X116" i="53"/>
  <c r="AS115" i="53"/>
  <c r="AP115" i="53"/>
  <c r="AO115" i="53"/>
  <c r="AI115" i="53"/>
  <c r="AK115" i="53" s="1"/>
  <c r="X115" i="53"/>
  <c r="AS114" i="53"/>
  <c r="AP114" i="53"/>
  <c r="AO114" i="53"/>
  <c r="AI114" i="53"/>
  <c r="AK114" i="53" s="1"/>
  <c r="X114" i="53"/>
  <c r="AS197" i="53"/>
  <c r="AP197" i="53"/>
  <c r="AO197" i="53"/>
  <c r="AI197" i="53"/>
  <c r="AK197" i="53" s="1"/>
  <c r="X197" i="53"/>
  <c r="AS196" i="53"/>
  <c r="AP196" i="53"/>
  <c r="AO196" i="53"/>
  <c r="AK196" i="53"/>
  <c r="X196" i="53"/>
  <c r="AS113" i="53"/>
  <c r="AP113" i="53"/>
  <c r="AO113" i="53"/>
  <c r="AK113" i="53"/>
  <c r="X113" i="53"/>
  <c r="AS170" i="53"/>
  <c r="AP170" i="53"/>
  <c r="AO170" i="53"/>
  <c r="AK170" i="53"/>
  <c r="X170" i="53"/>
  <c r="AS195" i="53"/>
  <c r="AP195" i="53"/>
  <c r="AO195" i="53"/>
  <c r="AI195" i="53"/>
  <c r="AK195" i="53" s="1"/>
  <c r="X195" i="53"/>
  <c r="AS31" i="53"/>
  <c r="AP31" i="53"/>
  <c r="AO31" i="53"/>
  <c r="AI31" i="53"/>
  <c r="AK31" i="53" s="1"/>
  <c r="X31" i="53"/>
  <c r="AS171" i="53"/>
  <c r="AP171" i="53"/>
  <c r="AO171" i="53"/>
  <c r="AI171" i="53"/>
  <c r="AK171" i="53" s="1"/>
  <c r="X171" i="53"/>
  <c r="AS194" i="53"/>
  <c r="AP194" i="53"/>
  <c r="AO194" i="53"/>
  <c r="AK194" i="53"/>
  <c r="X194" i="53"/>
  <c r="AS30" i="53"/>
  <c r="AP30" i="53"/>
  <c r="AK30" i="53"/>
  <c r="X30" i="53"/>
  <c r="AL30" i="53" s="1"/>
  <c r="AS29" i="53"/>
  <c r="AP29" i="53"/>
  <c r="AO29" i="53"/>
  <c r="AI29" i="53"/>
  <c r="AK29" i="53" s="1"/>
  <c r="X29" i="53"/>
  <c r="AS28" i="53"/>
  <c r="AP28" i="53"/>
  <c r="AO28" i="53"/>
  <c r="AI28" i="53"/>
  <c r="AK28" i="53" s="1"/>
  <c r="X28" i="53"/>
  <c r="AS103" i="53"/>
  <c r="AP103" i="53"/>
  <c r="AK103" i="53"/>
  <c r="X103" i="53"/>
  <c r="AL103" i="53" s="1"/>
  <c r="AS102" i="53"/>
  <c r="AP102" i="53"/>
  <c r="AK102" i="53"/>
  <c r="X102" i="53"/>
  <c r="AS101" i="53"/>
  <c r="AP101" i="53"/>
  <c r="AK101" i="53"/>
  <c r="X101" i="53"/>
  <c r="AL101" i="53" s="1"/>
  <c r="AS100" i="53"/>
  <c r="AP100" i="53"/>
  <c r="AK100" i="53"/>
  <c r="X100" i="53"/>
  <c r="AS99" i="53"/>
  <c r="AP99" i="53"/>
  <c r="AK99" i="53"/>
  <c r="X99" i="53"/>
  <c r="AS98" i="53"/>
  <c r="AP98" i="53"/>
  <c r="AK98" i="53"/>
  <c r="X98" i="53"/>
  <c r="AL98" i="53" s="1"/>
  <c r="AS97" i="53"/>
  <c r="AP97" i="53"/>
  <c r="AK97" i="53"/>
  <c r="X97" i="53"/>
  <c r="AL97" i="53" s="1"/>
  <c r="AS96" i="53"/>
  <c r="AP96" i="53"/>
  <c r="AK96" i="53"/>
  <c r="X96" i="53"/>
  <c r="AL96" i="53" s="1"/>
  <c r="AS95" i="53"/>
  <c r="AP95" i="53"/>
  <c r="AK95" i="53"/>
  <c r="X95" i="53"/>
  <c r="AS94" i="53"/>
  <c r="AP94" i="53"/>
  <c r="AK94" i="53"/>
  <c r="X94" i="53"/>
  <c r="AL94" i="53" s="1"/>
  <c r="AS93" i="53"/>
  <c r="AP93" i="53"/>
  <c r="AK93" i="53"/>
  <c r="X93" i="53"/>
  <c r="AL93" i="53" s="1"/>
  <c r="AS92" i="53"/>
  <c r="AP92" i="53"/>
  <c r="AK92" i="53"/>
  <c r="X92" i="53"/>
  <c r="AL92" i="53" s="1"/>
  <c r="AS16" i="53"/>
  <c r="AP16" i="53"/>
  <c r="AK16" i="53"/>
  <c r="X16" i="53"/>
  <c r="AL16" i="53" s="1"/>
  <c r="AS15" i="53"/>
  <c r="AP15" i="53"/>
  <c r="AK15" i="53"/>
  <c r="X15" i="53"/>
  <c r="AL15" i="53" s="1"/>
  <c r="AS14" i="53"/>
  <c r="AP14" i="53"/>
  <c r="AK14" i="53"/>
  <c r="X14" i="53"/>
  <c r="AL14" i="53" s="1"/>
  <c r="AS13" i="53"/>
  <c r="AP13" i="53"/>
  <c r="AK13" i="53"/>
  <c r="X13" i="53"/>
  <c r="AL13" i="53" s="1"/>
  <c r="AS12" i="53"/>
  <c r="AP12" i="53"/>
  <c r="AK12" i="53"/>
  <c r="X12" i="53"/>
  <c r="AL12" i="53" s="1"/>
  <c r="AS11" i="53"/>
  <c r="AP11" i="53"/>
  <c r="AK11" i="53"/>
  <c r="X11" i="53"/>
  <c r="AS10" i="53"/>
  <c r="AP10" i="53"/>
  <c r="AK10" i="53"/>
  <c r="X10" i="53"/>
  <c r="AS9" i="53"/>
  <c r="AP9" i="53"/>
  <c r="AK9" i="53"/>
  <c r="X9" i="53"/>
  <c r="AL9" i="53" s="1"/>
  <c r="AS8" i="53"/>
  <c r="AP8" i="53"/>
  <c r="AK8" i="53"/>
  <c r="X8" i="53"/>
  <c r="AL8" i="53" s="1"/>
  <c r="AS7" i="53"/>
  <c r="AP7" i="53"/>
  <c r="AK7" i="53"/>
  <c r="X7" i="53"/>
  <c r="AL7" i="53" s="1"/>
  <c r="AS6" i="53"/>
  <c r="AP6" i="53"/>
  <c r="AK6" i="53"/>
  <c r="X6" i="53"/>
  <c r="AS193" i="53"/>
  <c r="AP193" i="53"/>
  <c r="AK193" i="53"/>
  <c r="X193" i="53"/>
  <c r="AL193" i="53" s="1"/>
  <c r="AS192" i="53"/>
  <c r="AP192" i="53"/>
  <c r="AK192" i="53"/>
  <c r="X192" i="53"/>
  <c r="AS191" i="53"/>
  <c r="AP191" i="53"/>
  <c r="AK191" i="53"/>
  <c r="X191" i="53"/>
  <c r="AL191" i="53" s="1"/>
  <c r="AS112" i="53"/>
  <c r="AP112" i="53"/>
  <c r="AO112" i="53"/>
  <c r="AI112" i="53"/>
  <c r="AK112" i="53" s="1"/>
  <c r="X112" i="53"/>
  <c r="AS111" i="53"/>
  <c r="AP111" i="53"/>
  <c r="AO111" i="53"/>
  <c r="AI111" i="53"/>
  <c r="AK111" i="53" s="1"/>
  <c r="X111" i="53"/>
  <c r="AS110" i="53"/>
  <c r="AP110" i="53"/>
  <c r="AO110" i="53"/>
  <c r="AI110" i="53"/>
  <c r="AK110" i="53" s="1"/>
  <c r="X110" i="53"/>
  <c r="AS109" i="53"/>
  <c r="AP109" i="53"/>
  <c r="AO109" i="53"/>
  <c r="AI109" i="53"/>
  <c r="AK109" i="53" s="1"/>
  <c r="X109" i="53"/>
  <c r="AS27" i="53"/>
  <c r="AP27" i="53"/>
  <c r="AO27" i="53"/>
  <c r="AI27" i="53"/>
  <c r="AK27" i="53" s="1"/>
  <c r="X27" i="53"/>
  <c r="AS26" i="53"/>
  <c r="AP26" i="53"/>
  <c r="AO26" i="53"/>
  <c r="AI26" i="53"/>
  <c r="AK26" i="53" s="1"/>
  <c r="X26" i="53"/>
  <c r="AS274" i="53"/>
  <c r="AP274" i="53"/>
  <c r="AO274" i="53"/>
  <c r="AI274" i="53"/>
  <c r="AK274" i="53" s="1"/>
  <c r="X274" i="53"/>
  <c r="AS273" i="53"/>
  <c r="AP273" i="53"/>
  <c r="AO273" i="53"/>
  <c r="AI273" i="53"/>
  <c r="AK273" i="53" s="1"/>
  <c r="X273" i="53"/>
  <c r="AS190" i="53"/>
  <c r="AP190" i="53"/>
  <c r="AK190" i="53"/>
  <c r="X190" i="53"/>
  <c r="AS189" i="53"/>
  <c r="AP189" i="53"/>
  <c r="AK189" i="53"/>
  <c r="X189" i="53"/>
  <c r="AL189" i="53" s="1"/>
  <c r="AS188" i="53"/>
  <c r="AP188" i="53"/>
  <c r="AK188" i="53"/>
  <c r="X188" i="53"/>
  <c r="AL188" i="53" s="1"/>
  <c r="AS187" i="53"/>
  <c r="AP187" i="53"/>
  <c r="AK187" i="53"/>
  <c r="X187" i="53"/>
  <c r="AL187" i="53" s="1"/>
  <c r="AS91" i="53"/>
  <c r="AP91" i="53"/>
  <c r="AK91" i="53"/>
  <c r="X91" i="53"/>
  <c r="AL91" i="53" s="1"/>
  <c r="AS108" i="53"/>
  <c r="AP108" i="53"/>
  <c r="AO108" i="53"/>
  <c r="AI108" i="53"/>
  <c r="AK108" i="53" s="1"/>
  <c r="X108" i="53"/>
  <c r="AS107" i="53"/>
  <c r="AP107" i="53"/>
  <c r="AO107" i="53"/>
  <c r="AI107" i="53"/>
  <c r="AK107" i="53" s="1"/>
  <c r="X107" i="53"/>
  <c r="AS25" i="53"/>
  <c r="AP25" i="53"/>
  <c r="AO25" i="53"/>
  <c r="AI25" i="53"/>
  <c r="AK25" i="53" s="1"/>
  <c r="X25" i="53"/>
  <c r="AS24" i="53"/>
  <c r="AP24" i="53"/>
  <c r="AO24" i="53"/>
  <c r="AI24" i="53"/>
  <c r="AK24" i="53" s="1"/>
  <c r="X24" i="53"/>
  <c r="AS186" i="53"/>
  <c r="AP186" i="53"/>
  <c r="AK186" i="53"/>
  <c r="X186" i="53"/>
  <c r="AL186" i="53" s="1"/>
  <c r="AS23" i="53"/>
  <c r="AP23" i="53"/>
  <c r="AO23" i="53"/>
  <c r="AI23" i="53"/>
  <c r="AK23" i="53" s="1"/>
  <c r="X23" i="53"/>
  <c r="AS22" i="53"/>
  <c r="AP22" i="53"/>
  <c r="AO22" i="53"/>
  <c r="AI22" i="53"/>
  <c r="AK22" i="53" s="1"/>
  <c r="X22" i="53"/>
  <c r="AS21" i="53"/>
  <c r="AP21" i="53"/>
  <c r="AO21" i="53"/>
  <c r="AI21" i="53"/>
  <c r="AK21" i="53" s="1"/>
  <c r="X21" i="53"/>
  <c r="AS20" i="53"/>
  <c r="AP20" i="53"/>
  <c r="AO20" i="53"/>
  <c r="AI20" i="53"/>
  <c r="AK20" i="53" s="1"/>
  <c r="X20" i="53"/>
  <c r="AS90" i="53"/>
  <c r="AP90" i="53"/>
  <c r="AK90" i="53"/>
  <c r="X90" i="53"/>
  <c r="AL90" i="53" s="1"/>
  <c r="AS89" i="53"/>
  <c r="AP89" i="53"/>
  <c r="AK89" i="53"/>
  <c r="X89" i="53"/>
  <c r="AL89" i="53" s="1"/>
  <c r="AS88" i="53"/>
  <c r="AP88" i="53"/>
  <c r="AK88" i="53"/>
  <c r="X88" i="53"/>
  <c r="AL88" i="53" s="1"/>
  <c r="AS87" i="53"/>
  <c r="AP87" i="53"/>
  <c r="AK87" i="53"/>
  <c r="X87" i="53"/>
  <c r="AS185" i="53"/>
  <c r="AP185" i="53"/>
  <c r="AK185" i="53"/>
  <c r="X185" i="53"/>
  <c r="AL185" i="53" s="1"/>
  <c r="AS184" i="53"/>
  <c r="AP184" i="53"/>
  <c r="AK184" i="53"/>
  <c r="X184" i="53"/>
  <c r="AL184" i="53" s="1"/>
  <c r="CR51" i="48"/>
  <c r="AS106" i="53"/>
  <c r="AP106" i="53"/>
  <c r="AO106" i="53"/>
  <c r="AK106" i="53"/>
  <c r="X106" i="53"/>
  <c r="AS86" i="53"/>
  <c r="AP86" i="53"/>
  <c r="AK86" i="53"/>
  <c r="X86" i="53"/>
  <c r="AL86" i="53" s="1"/>
  <c r="AS85" i="53"/>
  <c r="AP85" i="53"/>
  <c r="AK85" i="53"/>
  <c r="X85" i="53"/>
  <c r="AL85" i="53" s="1"/>
  <c r="AS84" i="53"/>
  <c r="AP84" i="53"/>
  <c r="AK84" i="53"/>
  <c r="X84" i="53"/>
  <c r="AL84" i="53" s="1"/>
  <c r="AS5" i="53"/>
  <c r="AP5" i="53"/>
  <c r="AK5" i="53"/>
  <c r="X5" i="53"/>
  <c r="AL5" i="53" s="1"/>
  <c r="AS4" i="53"/>
  <c r="AP4" i="53"/>
  <c r="AK4" i="53"/>
  <c r="X4" i="53"/>
  <c r="AL4" i="53" s="1"/>
  <c r="AS3" i="53"/>
  <c r="AP3" i="53"/>
  <c r="AK3" i="53"/>
  <c r="X3" i="53"/>
  <c r="AL3" i="53" s="1"/>
  <c r="AS183" i="53"/>
  <c r="AP183" i="53"/>
  <c r="AK183" i="53"/>
  <c r="X183" i="53"/>
  <c r="AL183" i="53" s="1"/>
  <c r="AS182" i="53"/>
  <c r="AP182" i="53"/>
  <c r="AK182" i="53"/>
  <c r="X182" i="53"/>
  <c r="AS181" i="53"/>
  <c r="AP181" i="53"/>
  <c r="AK181" i="53"/>
  <c r="X181" i="53"/>
  <c r="AL181" i="53" s="1"/>
  <c r="AS180" i="53"/>
  <c r="AP180" i="53"/>
  <c r="AK180" i="53"/>
  <c r="X180" i="53"/>
  <c r="AL180" i="53" s="1"/>
  <c r="AS179" i="53"/>
  <c r="AP179" i="53"/>
  <c r="AK179" i="53"/>
  <c r="X179" i="53"/>
  <c r="AL179" i="53" s="1"/>
  <c r="AS178" i="53"/>
  <c r="AP178" i="53"/>
  <c r="AK178" i="53"/>
  <c r="X178" i="53"/>
  <c r="AL178" i="53" s="1"/>
  <c r="AS177" i="53"/>
  <c r="AP177" i="53"/>
  <c r="AK177" i="53"/>
  <c r="X177" i="53"/>
  <c r="AL177" i="53" s="1"/>
  <c r="AS176" i="53"/>
  <c r="AP176" i="53"/>
  <c r="AK176" i="53"/>
  <c r="X176" i="53"/>
  <c r="AL176" i="53" s="1"/>
  <c r="AG2" i="48"/>
  <c r="B2" i="48"/>
  <c r="AR395" i="54"/>
  <c r="AO395" i="54"/>
  <c r="AN395" i="54"/>
  <c r="AM395" i="54"/>
  <c r="AJ395" i="54"/>
  <c r="AP395" i="54" s="1"/>
  <c r="AR394" i="54"/>
  <c r="AO394" i="54"/>
  <c r="AN394" i="54"/>
  <c r="AM394" i="54"/>
  <c r="AJ394" i="54"/>
  <c r="AP394" i="54" s="1"/>
  <c r="AR393" i="54"/>
  <c r="AO393" i="54"/>
  <c r="AN393" i="54"/>
  <c r="AM393" i="54"/>
  <c r="AJ393" i="54"/>
  <c r="AP393" i="54" s="1"/>
  <c r="AR392" i="54"/>
  <c r="AO392" i="54"/>
  <c r="AN392" i="54"/>
  <c r="AM392" i="54"/>
  <c r="AJ392" i="54"/>
  <c r="AP392" i="54" s="1"/>
  <c r="AR391" i="54"/>
  <c r="AO391" i="54"/>
  <c r="AN391" i="54"/>
  <c r="AM391" i="54"/>
  <c r="AJ391" i="54"/>
  <c r="AP391" i="54" s="1"/>
  <c r="AR390" i="54"/>
  <c r="AO390" i="54"/>
  <c r="AN390" i="54"/>
  <c r="AM390" i="54"/>
  <c r="AJ390" i="54"/>
  <c r="AP390" i="54" s="1"/>
  <c r="AR389" i="54"/>
  <c r="AO389" i="54"/>
  <c r="AN389" i="54"/>
  <c r="AM389" i="54"/>
  <c r="AJ389" i="54"/>
  <c r="AP389" i="54" s="1"/>
  <c r="AR388" i="54"/>
  <c r="AO388" i="54"/>
  <c r="AN388" i="54"/>
  <c r="AM388" i="54"/>
  <c r="AJ388" i="54"/>
  <c r="AP388" i="54" s="1"/>
  <c r="AR387" i="54"/>
  <c r="AO387" i="54"/>
  <c r="AN387" i="54"/>
  <c r="AM387" i="54"/>
  <c r="AJ387" i="54"/>
  <c r="AP387" i="54" s="1"/>
  <c r="AR386" i="54"/>
  <c r="AO386" i="54"/>
  <c r="AN386" i="54"/>
  <c r="AM386" i="54"/>
  <c r="AJ386" i="54"/>
  <c r="AP386" i="54" s="1"/>
  <c r="AR385" i="54"/>
  <c r="AO385" i="54"/>
  <c r="AN385" i="54"/>
  <c r="AM385" i="54"/>
  <c r="AJ385" i="54"/>
  <c r="AP385" i="54" s="1"/>
  <c r="AR384" i="54"/>
  <c r="AO384" i="54"/>
  <c r="AN384" i="54"/>
  <c r="AM384" i="54"/>
  <c r="AJ384" i="54"/>
  <c r="AP384" i="54" s="1"/>
  <c r="AR383" i="54"/>
  <c r="AO383" i="54"/>
  <c r="AN383" i="54"/>
  <c r="AM383" i="54"/>
  <c r="AJ383" i="54"/>
  <c r="AP383" i="54" s="1"/>
  <c r="AR382" i="54"/>
  <c r="AO382" i="54"/>
  <c r="AN382" i="54"/>
  <c r="AM382" i="54"/>
  <c r="AJ382" i="54"/>
  <c r="AP382" i="54" s="1"/>
  <c r="AR381" i="54"/>
  <c r="AO381" i="54"/>
  <c r="AN381" i="54"/>
  <c r="AM381" i="54"/>
  <c r="AJ381" i="54"/>
  <c r="AP381" i="54" s="1"/>
  <c r="AR380" i="54"/>
  <c r="AO380" i="54"/>
  <c r="AN380" i="54"/>
  <c r="AM380" i="54"/>
  <c r="AJ380" i="54"/>
  <c r="AP380" i="54" s="1"/>
  <c r="AR379" i="54"/>
  <c r="AO379" i="54"/>
  <c r="AN379" i="54"/>
  <c r="AM379" i="54"/>
  <c r="AJ379" i="54"/>
  <c r="AP379" i="54" s="1"/>
  <c r="AR378" i="54"/>
  <c r="AO378" i="54"/>
  <c r="AN378" i="54"/>
  <c r="AM378" i="54"/>
  <c r="AJ378" i="54"/>
  <c r="AP378" i="54" s="1"/>
  <c r="AR377" i="54"/>
  <c r="AO377" i="54"/>
  <c r="AN377" i="54"/>
  <c r="AM377" i="54"/>
  <c r="AJ377" i="54"/>
  <c r="AP377" i="54" s="1"/>
  <c r="AR376" i="54"/>
  <c r="AO376" i="54"/>
  <c r="AN376" i="54"/>
  <c r="AM376" i="54"/>
  <c r="AJ376" i="54"/>
  <c r="AP376" i="54" s="1"/>
  <c r="AR375" i="54"/>
  <c r="AO375" i="54"/>
  <c r="AN375" i="54"/>
  <c r="AM375" i="54"/>
  <c r="AJ375" i="54"/>
  <c r="AP375" i="54" s="1"/>
  <c r="AR374" i="54"/>
  <c r="AO374" i="54"/>
  <c r="AN374" i="54"/>
  <c r="AI374" i="54"/>
  <c r="AJ374" i="54" s="1"/>
  <c r="X374" i="54"/>
  <c r="AK374" i="54" s="1"/>
  <c r="AH374" i="54" s="1"/>
  <c r="AM374" i="54" s="1"/>
  <c r="AR373" i="54"/>
  <c r="AO373" i="54"/>
  <c r="AJ373" i="54"/>
  <c r="X373" i="54"/>
  <c r="AK373" i="54" s="1"/>
  <c r="AH373" i="54" s="1"/>
  <c r="AR372" i="54"/>
  <c r="AO372" i="54"/>
  <c r="AJ372" i="54"/>
  <c r="X372" i="54"/>
  <c r="AK372" i="54" s="1"/>
  <c r="AH372" i="54" s="1"/>
  <c r="AR371" i="54"/>
  <c r="AO371" i="54"/>
  <c r="AJ371" i="54"/>
  <c r="X371" i="54"/>
  <c r="AR370" i="54"/>
  <c r="AO370" i="54"/>
  <c r="AJ370" i="54"/>
  <c r="X370" i="54"/>
  <c r="AK370" i="54" s="1"/>
  <c r="AH370" i="54" s="1"/>
  <c r="AR369" i="54"/>
  <c r="AO369" i="54"/>
  <c r="AJ369" i="54"/>
  <c r="X369" i="54"/>
  <c r="AK369" i="54" s="1"/>
  <c r="AH369" i="54" s="1"/>
  <c r="AR368" i="54"/>
  <c r="AO368" i="54"/>
  <c r="AJ368" i="54"/>
  <c r="X368" i="54"/>
  <c r="AK368" i="54" s="1"/>
  <c r="AH368" i="54" s="1"/>
  <c r="AR367" i="54"/>
  <c r="AO367" i="54"/>
  <c r="AJ367" i="54"/>
  <c r="X367" i="54"/>
  <c r="AK367" i="54" s="1"/>
  <c r="AH367" i="54" s="1"/>
  <c r="AN367" i="54" s="1"/>
  <c r="AR366" i="54"/>
  <c r="AO366" i="54"/>
  <c r="AJ366" i="54"/>
  <c r="X366" i="54"/>
  <c r="AK366" i="54" s="1"/>
  <c r="AH366" i="54" s="1"/>
  <c r="AR365" i="54"/>
  <c r="AO365" i="54"/>
  <c r="AJ365" i="54"/>
  <c r="X365" i="54"/>
  <c r="AK365" i="54" s="1"/>
  <c r="AH365" i="54" s="1"/>
  <c r="AR364" i="54"/>
  <c r="AO364" i="54"/>
  <c r="AJ364" i="54"/>
  <c r="X364" i="54"/>
  <c r="AK364" i="54" s="1"/>
  <c r="AH364" i="54" s="1"/>
  <c r="AR363" i="54"/>
  <c r="AO363" i="54"/>
  <c r="AJ363" i="54"/>
  <c r="X363" i="54"/>
  <c r="AR362" i="54"/>
  <c r="AO362" i="54"/>
  <c r="AJ362" i="54"/>
  <c r="X362" i="54"/>
  <c r="AK362" i="54" s="1"/>
  <c r="AH362" i="54" s="1"/>
  <c r="AR361" i="54"/>
  <c r="AO361" i="54"/>
  <c r="AJ361" i="54"/>
  <c r="X361" i="54"/>
  <c r="AK361" i="54" s="1"/>
  <c r="AH361" i="54" s="1"/>
  <c r="AR360" i="54"/>
  <c r="AO360" i="54"/>
  <c r="AJ360" i="54"/>
  <c r="X360" i="54"/>
  <c r="AK360" i="54" s="1"/>
  <c r="AH360" i="54" s="1"/>
  <c r="AR359" i="54"/>
  <c r="AO359" i="54"/>
  <c r="AJ359" i="54"/>
  <c r="X359" i="54"/>
  <c r="AK359" i="54" s="1"/>
  <c r="AH359" i="54" s="1"/>
  <c r="AN359" i="54" s="1"/>
  <c r="AR358" i="54"/>
  <c r="AO358" i="54"/>
  <c r="AJ358" i="54"/>
  <c r="X358" i="54"/>
  <c r="AK358" i="54" s="1"/>
  <c r="AH358" i="54" s="1"/>
  <c r="AR357" i="54"/>
  <c r="AO357" i="54"/>
  <c r="AJ357" i="54"/>
  <c r="X357" i="54"/>
  <c r="AK357" i="54" s="1"/>
  <c r="AH357" i="54" s="1"/>
  <c r="AR356" i="54"/>
  <c r="AO356" i="54"/>
  <c r="AJ356" i="54"/>
  <c r="X356" i="54"/>
  <c r="AK356" i="54" s="1"/>
  <c r="AH356" i="54" s="1"/>
  <c r="AR355" i="54"/>
  <c r="AO355" i="54"/>
  <c r="AN355" i="54"/>
  <c r="AJ355" i="54"/>
  <c r="X355" i="54"/>
  <c r="AR354" i="54"/>
  <c r="AO354" i="54"/>
  <c r="AN354" i="54"/>
  <c r="AJ354" i="54"/>
  <c r="X354" i="54"/>
  <c r="AK354" i="54" s="1"/>
  <c r="AH354" i="54" s="1"/>
  <c r="AM354" i="54" s="1"/>
  <c r="AR353" i="54"/>
  <c r="AO353" i="54"/>
  <c r="AN353" i="54"/>
  <c r="AJ353" i="54"/>
  <c r="X353" i="54"/>
  <c r="AK353" i="54" s="1"/>
  <c r="AH353" i="54" s="1"/>
  <c r="AM353" i="54" s="1"/>
  <c r="AR352" i="54"/>
  <c r="AO352" i="54"/>
  <c r="AN352" i="54"/>
  <c r="AJ352" i="54"/>
  <c r="X352" i="54"/>
  <c r="AK352" i="54" s="1"/>
  <c r="AH352" i="54" s="1"/>
  <c r="AM352" i="54" s="1"/>
  <c r="AR351" i="54"/>
  <c r="AO351" i="54"/>
  <c r="AN351" i="54"/>
  <c r="AJ351" i="54"/>
  <c r="X351" i="54"/>
  <c r="AK351" i="54" s="1"/>
  <c r="AH351" i="54" s="1"/>
  <c r="AM351" i="54" s="1"/>
  <c r="AR350" i="54"/>
  <c r="AO350" i="54"/>
  <c r="AN350" i="54"/>
  <c r="AJ350" i="54"/>
  <c r="X350" i="54"/>
  <c r="AK350" i="54" s="1"/>
  <c r="AH350" i="54" s="1"/>
  <c r="AM350" i="54" s="1"/>
  <c r="AR349" i="54"/>
  <c r="AO349" i="54"/>
  <c r="AN349" i="54"/>
  <c r="AJ349" i="54"/>
  <c r="X349" i="54"/>
  <c r="AK349" i="54" s="1"/>
  <c r="AH349" i="54" s="1"/>
  <c r="AM349" i="54" s="1"/>
  <c r="AR348" i="54"/>
  <c r="AO348" i="54"/>
  <c r="AN348" i="54"/>
  <c r="AJ348" i="54"/>
  <c r="X348" i="54"/>
  <c r="AK348" i="54" s="1"/>
  <c r="AH348" i="54" s="1"/>
  <c r="AM348" i="54" s="1"/>
  <c r="AR347" i="54"/>
  <c r="AO347" i="54"/>
  <c r="AN347" i="54"/>
  <c r="AJ347" i="54"/>
  <c r="X347" i="54"/>
  <c r="AR346" i="54"/>
  <c r="AO346" i="54"/>
  <c r="AN346" i="54"/>
  <c r="AJ346" i="54"/>
  <c r="X346" i="54"/>
  <c r="AK346" i="54" s="1"/>
  <c r="AH346" i="54" s="1"/>
  <c r="AM346" i="54" s="1"/>
  <c r="AR345" i="54"/>
  <c r="AO345" i="54"/>
  <c r="AN345" i="54"/>
  <c r="AJ345" i="54"/>
  <c r="X345" i="54"/>
  <c r="AK345" i="54" s="1"/>
  <c r="AH345" i="54" s="1"/>
  <c r="AM345" i="54" s="1"/>
  <c r="AR344" i="54"/>
  <c r="AO344" i="54"/>
  <c r="AN344" i="54"/>
  <c r="AJ344" i="54"/>
  <c r="X344" i="54"/>
  <c r="AK344" i="54" s="1"/>
  <c r="AH344" i="54" s="1"/>
  <c r="AM344" i="54" s="1"/>
  <c r="AR343" i="54"/>
  <c r="AO343" i="54"/>
  <c r="AN343" i="54"/>
  <c r="AJ343" i="54"/>
  <c r="X343" i="54"/>
  <c r="AK343" i="54" s="1"/>
  <c r="AH343" i="54" s="1"/>
  <c r="AM343" i="54" s="1"/>
  <c r="AR342" i="54"/>
  <c r="AO342" i="54"/>
  <c r="AN342" i="54"/>
  <c r="AJ342" i="54"/>
  <c r="X342" i="54"/>
  <c r="AK342" i="54" s="1"/>
  <c r="AH342" i="54" s="1"/>
  <c r="AM342" i="54" s="1"/>
  <c r="AR341" i="54"/>
  <c r="AO341" i="54"/>
  <c r="AN341" i="54"/>
  <c r="AJ341" i="54"/>
  <c r="X341" i="54"/>
  <c r="AK341" i="54" s="1"/>
  <c r="AH341" i="54" s="1"/>
  <c r="AM341" i="54" s="1"/>
  <c r="AR340" i="54"/>
  <c r="AO340" i="54"/>
  <c r="AN340" i="54"/>
  <c r="AJ340" i="54"/>
  <c r="X340" i="54"/>
  <c r="AK340" i="54" s="1"/>
  <c r="AH340" i="54" s="1"/>
  <c r="AM340" i="54" s="1"/>
  <c r="AR339" i="54"/>
  <c r="AO339" i="54"/>
  <c r="AN339" i="54"/>
  <c r="AJ339" i="54"/>
  <c r="X339" i="54"/>
  <c r="AR338" i="54"/>
  <c r="AO338" i="54"/>
  <c r="AN338" i="54"/>
  <c r="AJ338" i="54"/>
  <c r="X338" i="54"/>
  <c r="AK338" i="54" s="1"/>
  <c r="AH338" i="54" s="1"/>
  <c r="AM338" i="54" s="1"/>
  <c r="AR337" i="54"/>
  <c r="AO337" i="54"/>
  <c r="AN337" i="54"/>
  <c r="AJ337" i="54"/>
  <c r="X337" i="54"/>
  <c r="AK337" i="54" s="1"/>
  <c r="AH337" i="54" s="1"/>
  <c r="AM337" i="54" s="1"/>
  <c r="AR336" i="54"/>
  <c r="AO336" i="54"/>
  <c r="AN336" i="54"/>
  <c r="AJ336" i="54"/>
  <c r="X336" i="54"/>
  <c r="AK336" i="54" s="1"/>
  <c r="AH336" i="54" s="1"/>
  <c r="AM336" i="54" s="1"/>
  <c r="AR335" i="54"/>
  <c r="AO335" i="54"/>
  <c r="AN335" i="54"/>
  <c r="AJ335" i="54"/>
  <c r="X335" i="54"/>
  <c r="AK335" i="54" s="1"/>
  <c r="AH335" i="54" s="1"/>
  <c r="AM335" i="54" s="1"/>
  <c r="AR334" i="54"/>
  <c r="AO334" i="54"/>
  <c r="AN334" i="54"/>
  <c r="AJ334" i="54"/>
  <c r="X334" i="54"/>
  <c r="AK334" i="54" s="1"/>
  <c r="AH334" i="54" s="1"/>
  <c r="AM334" i="54" s="1"/>
  <c r="AR333" i="54"/>
  <c r="AO333" i="54"/>
  <c r="AN333" i="54"/>
  <c r="AJ333" i="54"/>
  <c r="X333" i="54"/>
  <c r="AK333" i="54" s="1"/>
  <c r="AH333" i="54" s="1"/>
  <c r="AM333" i="54" s="1"/>
  <c r="AR332" i="54"/>
  <c r="AO332" i="54"/>
  <c r="AN332" i="54"/>
  <c r="AJ332" i="54"/>
  <c r="X332" i="54"/>
  <c r="AK332" i="54" s="1"/>
  <c r="AH332" i="54" s="1"/>
  <c r="AM332" i="54" s="1"/>
  <c r="AR331" i="54"/>
  <c r="AO331" i="54"/>
  <c r="AN331" i="54"/>
  <c r="AJ331" i="54"/>
  <c r="X331" i="54"/>
  <c r="AR330" i="54"/>
  <c r="AO330" i="54"/>
  <c r="AN330" i="54"/>
  <c r="AJ330" i="54"/>
  <c r="X330" i="54"/>
  <c r="AK330" i="54" s="1"/>
  <c r="AH330" i="54" s="1"/>
  <c r="AM330" i="54" s="1"/>
  <c r="AR329" i="54"/>
  <c r="AO329" i="54"/>
  <c r="AN329" i="54"/>
  <c r="AJ329" i="54"/>
  <c r="X329" i="54"/>
  <c r="AK329" i="54" s="1"/>
  <c r="AH329" i="54" s="1"/>
  <c r="AM329" i="54" s="1"/>
  <c r="AR328" i="54"/>
  <c r="AO328" i="54"/>
  <c r="AN328" i="54"/>
  <c r="AJ328" i="54"/>
  <c r="X328" i="54"/>
  <c r="AK328" i="54" s="1"/>
  <c r="AH328" i="54" s="1"/>
  <c r="AM328" i="54" s="1"/>
  <c r="AR327" i="54"/>
  <c r="AO327" i="54"/>
  <c r="AN327" i="54"/>
  <c r="AJ327" i="54"/>
  <c r="X327" i="54"/>
  <c r="AK327" i="54" s="1"/>
  <c r="AH327" i="54" s="1"/>
  <c r="AM327" i="54" s="1"/>
  <c r="AR326" i="54"/>
  <c r="AO326" i="54"/>
  <c r="AN326" i="54"/>
  <c r="AJ326" i="54"/>
  <c r="X326" i="54"/>
  <c r="AK326" i="54" s="1"/>
  <c r="AH326" i="54" s="1"/>
  <c r="AM326" i="54" s="1"/>
  <c r="AR325" i="54"/>
  <c r="AO325" i="54"/>
  <c r="AN325" i="54"/>
  <c r="AJ325" i="54"/>
  <c r="X325" i="54"/>
  <c r="AK325" i="54" s="1"/>
  <c r="AH325" i="54" s="1"/>
  <c r="AM325" i="54" s="1"/>
  <c r="AR324" i="54"/>
  <c r="AO324" i="54"/>
  <c r="AN324" i="54"/>
  <c r="AJ324" i="54"/>
  <c r="X324" i="54"/>
  <c r="AK324" i="54" s="1"/>
  <c r="AH324" i="54" s="1"/>
  <c r="AM324" i="54" s="1"/>
  <c r="AR323" i="54"/>
  <c r="AO323" i="54"/>
  <c r="AN323" i="54"/>
  <c r="AJ323" i="54"/>
  <c r="X323" i="54"/>
  <c r="AR322" i="54"/>
  <c r="AO322" i="54"/>
  <c r="AN322" i="54"/>
  <c r="AJ322" i="54"/>
  <c r="X322" i="54"/>
  <c r="AK322" i="54" s="1"/>
  <c r="AH322" i="54" s="1"/>
  <c r="AM322" i="54" s="1"/>
  <c r="AR321" i="54"/>
  <c r="AO321" i="54"/>
  <c r="AN321" i="54"/>
  <c r="AJ321" i="54"/>
  <c r="X321" i="54"/>
  <c r="AK321" i="54" s="1"/>
  <c r="AH321" i="54" s="1"/>
  <c r="AM321" i="54" s="1"/>
  <c r="AR320" i="54"/>
  <c r="AO320" i="54"/>
  <c r="AN320" i="54"/>
  <c r="AJ320" i="54"/>
  <c r="X320" i="54"/>
  <c r="AK320" i="54" s="1"/>
  <c r="AH320" i="54" s="1"/>
  <c r="AM320" i="54" s="1"/>
  <c r="AR319" i="54"/>
  <c r="AO319" i="54"/>
  <c r="AN319" i="54"/>
  <c r="AJ319" i="54"/>
  <c r="X319" i="54"/>
  <c r="AK319" i="54" s="1"/>
  <c r="AH319" i="54" s="1"/>
  <c r="AM319" i="54" s="1"/>
  <c r="AR318" i="54"/>
  <c r="AO318" i="54"/>
  <c r="AN318" i="54"/>
  <c r="AJ318" i="54"/>
  <c r="X318" i="54"/>
  <c r="AK318" i="54" s="1"/>
  <c r="AH318" i="54" s="1"/>
  <c r="AM318" i="54" s="1"/>
  <c r="AR317" i="54"/>
  <c r="AO317" i="54"/>
  <c r="AN317" i="54"/>
  <c r="AJ317" i="54"/>
  <c r="X317" i="54"/>
  <c r="AK317" i="54" s="1"/>
  <c r="AH317" i="54" s="1"/>
  <c r="AM317" i="54" s="1"/>
  <c r="AR316" i="54"/>
  <c r="AO316" i="54"/>
  <c r="AN316" i="54"/>
  <c r="AJ316" i="54"/>
  <c r="X316" i="54"/>
  <c r="AK316" i="54" s="1"/>
  <c r="AH316" i="54" s="1"/>
  <c r="AM316" i="54" s="1"/>
  <c r="AR315" i="54"/>
  <c r="AO315" i="54"/>
  <c r="AN315" i="54"/>
  <c r="AJ315" i="54"/>
  <c r="X315" i="54"/>
  <c r="AR314" i="54"/>
  <c r="AO314" i="54"/>
  <c r="AN314" i="54"/>
  <c r="AJ314" i="54"/>
  <c r="X314" i="54"/>
  <c r="AK314" i="54" s="1"/>
  <c r="AH314" i="54" s="1"/>
  <c r="AM314" i="54" s="1"/>
  <c r="AR313" i="54"/>
  <c r="AO313" i="54"/>
  <c r="AN313" i="54"/>
  <c r="AI313" i="54"/>
  <c r="AJ313" i="54" s="1"/>
  <c r="X313" i="54"/>
  <c r="AK313" i="54" s="1"/>
  <c r="AH313" i="54" s="1"/>
  <c r="AM313" i="54" s="1"/>
  <c r="AR312" i="54"/>
  <c r="AO312" i="54"/>
  <c r="AN312" i="54"/>
  <c r="AI312" i="54"/>
  <c r="AJ312" i="54" s="1"/>
  <c r="X312" i="54"/>
  <c r="AK312" i="54" s="1"/>
  <c r="AH312" i="54" s="1"/>
  <c r="AM312" i="54" s="1"/>
  <c r="AR311" i="54"/>
  <c r="AO311" i="54"/>
  <c r="AN311" i="54"/>
  <c r="AI311" i="54"/>
  <c r="AJ311" i="54" s="1"/>
  <c r="X311" i="54"/>
  <c r="AK311" i="54" s="1"/>
  <c r="AH311" i="54" s="1"/>
  <c r="AM311" i="54" s="1"/>
  <c r="AR310" i="54"/>
  <c r="AO310" i="54"/>
  <c r="AN310" i="54"/>
  <c r="AM310" i="54"/>
  <c r="AI310" i="54"/>
  <c r="AJ310" i="54" s="1"/>
  <c r="X310" i="54"/>
  <c r="AK310" i="54" s="1"/>
  <c r="AH310" i="54" s="1"/>
  <c r="AR309" i="54"/>
  <c r="AO309" i="54"/>
  <c r="AN309" i="54"/>
  <c r="AI309" i="54"/>
  <c r="AJ309" i="54" s="1"/>
  <c r="AP309" i="54" s="1"/>
  <c r="X309" i="54"/>
  <c r="AK309" i="54" s="1"/>
  <c r="AH309" i="54" s="1"/>
  <c r="AM309" i="54" s="1"/>
  <c r="AR308" i="54"/>
  <c r="AO308" i="54"/>
  <c r="AI308" i="54"/>
  <c r="AJ308" i="54" s="1"/>
  <c r="X308" i="54"/>
  <c r="AK308" i="54" s="1"/>
  <c r="AH308" i="54" s="1"/>
  <c r="AR307" i="54"/>
  <c r="AO307" i="54"/>
  <c r="AN307" i="54"/>
  <c r="AI307" i="54"/>
  <c r="AJ307" i="54" s="1"/>
  <c r="AP307" i="54" s="1"/>
  <c r="X307" i="54"/>
  <c r="AK307" i="54" s="1"/>
  <c r="AH307" i="54" s="1"/>
  <c r="AM307" i="54" s="1"/>
  <c r="AR306" i="54"/>
  <c r="AO306" i="54"/>
  <c r="AN306" i="54"/>
  <c r="AI306" i="54"/>
  <c r="AJ306" i="54" s="1"/>
  <c r="X306" i="54"/>
  <c r="AK306" i="54" s="1"/>
  <c r="AH306" i="54" s="1"/>
  <c r="AM306" i="54" s="1"/>
  <c r="AR305" i="54"/>
  <c r="AO305" i="54"/>
  <c r="AN305" i="54"/>
  <c r="AI305" i="54"/>
  <c r="AJ305" i="54" s="1"/>
  <c r="X305" i="54"/>
  <c r="AK305" i="54" s="1"/>
  <c r="AH305" i="54" s="1"/>
  <c r="AM305" i="54" s="1"/>
  <c r="AR304" i="54"/>
  <c r="AO304" i="54"/>
  <c r="AN304" i="54"/>
  <c r="AI304" i="54"/>
  <c r="AJ304" i="54" s="1"/>
  <c r="X304" i="54"/>
  <c r="AK304" i="54" s="1"/>
  <c r="AH304" i="54" s="1"/>
  <c r="AM304" i="54" s="1"/>
  <c r="AR303" i="54"/>
  <c r="AO303" i="54"/>
  <c r="AN303" i="54"/>
  <c r="AI303" i="54"/>
  <c r="AJ303" i="54" s="1"/>
  <c r="X303" i="54"/>
  <c r="AK303" i="54" s="1"/>
  <c r="AH303" i="54" s="1"/>
  <c r="AM303" i="54" s="1"/>
  <c r="AR302" i="54"/>
  <c r="AO302" i="54"/>
  <c r="AI302" i="54"/>
  <c r="AJ302" i="54" s="1"/>
  <c r="X302" i="54"/>
  <c r="AK302" i="54" s="1"/>
  <c r="AH302" i="54" s="1"/>
  <c r="AR301" i="54"/>
  <c r="AO301" i="54"/>
  <c r="AN301" i="54"/>
  <c r="AI301" i="54"/>
  <c r="AJ301" i="54" s="1"/>
  <c r="AP301" i="54" s="1"/>
  <c r="X301" i="54"/>
  <c r="AK301" i="54" s="1"/>
  <c r="AH301" i="54" s="1"/>
  <c r="AM301" i="54" s="1"/>
  <c r="AR300" i="54"/>
  <c r="AO300" i="54"/>
  <c r="AN300" i="54"/>
  <c r="AI300" i="54"/>
  <c r="AJ300" i="54" s="1"/>
  <c r="X300" i="54"/>
  <c r="AK300" i="54" s="1"/>
  <c r="AH300" i="54" s="1"/>
  <c r="AM300" i="54" s="1"/>
  <c r="AR299" i="54"/>
  <c r="AO299" i="54"/>
  <c r="AN299" i="54"/>
  <c r="AI299" i="54"/>
  <c r="AJ299" i="54" s="1"/>
  <c r="X299" i="54"/>
  <c r="AK299" i="54" s="1"/>
  <c r="AH299" i="54" s="1"/>
  <c r="AM299" i="54" s="1"/>
  <c r="AR298" i="54"/>
  <c r="AO298" i="54"/>
  <c r="AN298" i="54"/>
  <c r="AI298" i="54"/>
  <c r="AJ298" i="54" s="1"/>
  <c r="X298" i="54"/>
  <c r="AK298" i="54" s="1"/>
  <c r="AH298" i="54" s="1"/>
  <c r="AM298" i="54" s="1"/>
  <c r="AR297" i="54"/>
  <c r="AO297" i="54"/>
  <c r="AN297" i="54"/>
  <c r="AI297" i="54"/>
  <c r="AJ297" i="54" s="1"/>
  <c r="X297" i="54"/>
  <c r="AK297" i="54" s="1"/>
  <c r="AH297" i="54" s="1"/>
  <c r="AM297" i="54" s="1"/>
  <c r="AR296" i="54"/>
  <c r="AO296" i="54"/>
  <c r="AN296" i="54"/>
  <c r="AI296" i="54"/>
  <c r="AJ296" i="54" s="1"/>
  <c r="X296" i="54"/>
  <c r="AK296" i="54" s="1"/>
  <c r="AH296" i="54" s="1"/>
  <c r="AM296" i="54" s="1"/>
  <c r="AR295" i="54"/>
  <c r="AO295" i="54"/>
  <c r="AN295" i="54"/>
  <c r="AI295" i="54"/>
  <c r="AJ295" i="54" s="1"/>
  <c r="X295" i="54"/>
  <c r="AK295" i="54" s="1"/>
  <c r="AH295" i="54" s="1"/>
  <c r="AM295" i="54" s="1"/>
  <c r="AR294" i="54"/>
  <c r="AO294" i="54"/>
  <c r="AN294" i="54"/>
  <c r="AI294" i="54"/>
  <c r="AJ294" i="54" s="1"/>
  <c r="X294" i="54"/>
  <c r="AK294" i="54" s="1"/>
  <c r="AH294" i="54" s="1"/>
  <c r="AM294" i="54" s="1"/>
  <c r="AR293" i="54"/>
  <c r="AO293" i="54"/>
  <c r="AN293" i="54"/>
  <c r="AI293" i="54"/>
  <c r="AJ293" i="54" s="1"/>
  <c r="X293" i="54"/>
  <c r="AK293" i="54" s="1"/>
  <c r="AH293" i="54" s="1"/>
  <c r="AM293" i="54" s="1"/>
  <c r="AR292" i="54"/>
  <c r="AO292" i="54"/>
  <c r="AI292" i="54"/>
  <c r="AJ292" i="54" s="1"/>
  <c r="X292" i="54"/>
  <c r="AK292" i="54" s="1"/>
  <c r="AH292" i="54" s="1"/>
  <c r="AN292" i="54" s="1"/>
  <c r="AR291" i="54"/>
  <c r="AO291" i="54"/>
  <c r="AN291" i="54"/>
  <c r="AI291" i="54"/>
  <c r="AJ291" i="54" s="1"/>
  <c r="X291" i="54"/>
  <c r="AK291" i="54" s="1"/>
  <c r="AH291" i="54" s="1"/>
  <c r="AM291" i="54" s="1"/>
  <c r="AR290" i="54"/>
  <c r="AO290" i="54"/>
  <c r="AI290" i="54"/>
  <c r="AJ290" i="54" s="1"/>
  <c r="X290" i="54"/>
  <c r="AK290" i="54" s="1"/>
  <c r="AH290" i="54" s="1"/>
  <c r="AR289" i="54"/>
  <c r="AO289" i="54"/>
  <c r="AI289" i="54"/>
  <c r="AJ289" i="54" s="1"/>
  <c r="X289" i="54"/>
  <c r="AK289" i="54" s="1"/>
  <c r="AH289" i="54" s="1"/>
  <c r="AR288" i="54"/>
  <c r="AO288" i="54"/>
  <c r="AI288" i="54"/>
  <c r="AJ288" i="54" s="1"/>
  <c r="X288" i="54"/>
  <c r="AR287" i="54"/>
  <c r="AO287" i="54"/>
  <c r="AN287" i="54"/>
  <c r="AI287" i="54"/>
  <c r="AJ287" i="54" s="1"/>
  <c r="X287" i="54"/>
  <c r="AK287" i="54" s="1"/>
  <c r="AH287" i="54" s="1"/>
  <c r="AM287" i="54" s="1"/>
  <c r="AR286" i="54"/>
  <c r="AO286" i="54"/>
  <c r="AN286" i="54"/>
  <c r="AI286" i="54"/>
  <c r="AJ286" i="54" s="1"/>
  <c r="X286" i="54"/>
  <c r="AK286" i="54" s="1"/>
  <c r="AH286" i="54" s="1"/>
  <c r="AM286" i="54" s="1"/>
  <c r="AR285" i="54"/>
  <c r="AO285" i="54"/>
  <c r="AN285" i="54"/>
  <c r="AI285" i="54"/>
  <c r="AJ285" i="54" s="1"/>
  <c r="X285" i="54"/>
  <c r="AK285" i="54" s="1"/>
  <c r="AH285" i="54" s="1"/>
  <c r="AM285" i="54" s="1"/>
  <c r="AR284" i="54"/>
  <c r="AO284" i="54"/>
  <c r="AN284" i="54"/>
  <c r="AI284" i="54"/>
  <c r="AJ284" i="54" s="1"/>
  <c r="X284" i="54"/>
  <c r="AK284" i="54" s="1"/>
  <c r="AH284" i="54" s="1"/>
  <c r="AM284" i="54" s="1"/>
  <c r="AR283" i="54"/>
  <c r="AO283" i="54"/>
  <c r="AN283" i="54"/>
  <c r="AI283" i="54"/>
  <c r="AJ283" i="54" s="1"/>
  <c r="X283" i="54"/>
  <c r="AK283" i="54" s="1"/>
  <c r="AH283" i="54" s="1"/>
  <c r="AM283" i="54" s="1"/>
  <c r="AR282" i="54"/>
  <c r="AO282" i="54"/>
  <c r="AN282" i="54"/>
  <c r="AI282" i="54"/>
  <c r="AJ282" i="54" s="1"/>
  <c r="X282" i="54"/>
  <c r="AK282" i="54" s="1"/>
  <c r="AH282" i="54" s="1"/>
  <c r="AM282" i="54" s="1"/>
  <c r="AR281" i="54"/>
  <c r="AO281" i="54"/>
  <c r="AN281" i="54"/>
  <c r="AI281" i="54"/>
  <c r="AJ281" i="54" s="1"/>
  <c r="X281" i="54"/>
  <c r="AK281" i="54" s="1"/>
  <c r="AH281" i="54" s="1"/>
  <c r="AM281" i="54" s="1"/>
  <c r="AR280" i="54"/>
  <c r="AO280" i="54"/>
  <c r="AN280" i="54"/>
  <c r="AJ280" i="54"/>
  <c r="X280" i="54"/>
  <c r="AK280" i="54" s="1"/>
  <c r="AH280" i="54" s="1"/>
  <c r="AM280" i="54" s="1"/>
  <c r="AR279" i="54"/>
  <c r="AO279" i="54"/>
  <c r="AN279" i="54"/>
  <c r="AI279" i="54"/>
  <c r="AJ279" i="54" s="1"/>
  <c r="X279" i="54"/>
  <c r="AK279" i="54" s="1"/>
  <c r="AH279" i="54" s="1"/>
  <c r="AM279" i="54" s="1"/>
  <c r="AR278" i="54"/>
  <c r="AO278" i="54"/>
  <c r="AI278" i="54"/>
  <c r="AJ278" i="54" s="1"/>
  <c r="X278" i="54"/>
  <c r="AK278" i="54" s="1"/>
  <c r="AH278" i="54" s="1"/>
  <c r="AR277" i="54"/>
  <c r="AO277" i="54"/>
  <c r="AI277" i="54"/>
  <c r="AJ277" i="54" s="1"/>
  <c r="X277" i="54"/>
  <c r="AK277" i="54" s="1"/>
  <c r="AH277" i="54" s="1"/>
  <c r="AR276" i="54"/>
  <c r="AO276" i="54"/>
  <c r="AI276" i="54"/>
  <c r="AJ276" i="54" s="1"/>
  <c r="X276" i="54"/>
  <c r="AK276" i="54" s="1"/>
  <c r="AH276" i="54" s="1"/>
  <c r="AR275" i="54"/>
  <c r="AO275" i="54"/>
  <c r="AI275" i="54"/>
  <c r="AJ275" i="54" s="1"/>
  <c r="X275" i="54"/>
  <c r="AK275" i="54" s="1"/>
  <c r="AH275" i="54" s="1"/>
  <c r="AN275" i="54" s="1"/>
  <c r="AR274" i="54"/>
  <c r="AO274" i="54"/>
  <c r="AN274" i="54"/>
  <c r="AI274" i="54"/>
  <c r="AJ274" i="54" s="1"/>
  <c r="X274" i="54"/>
  <c r="AK274" i="54" s="1"/>
  <c r="AH274" i="54" s="1"/>
  <c r="AM274" i="54" s="1"/>
  <c r="AR273" i="54"/>
  <c r="AO273" i="54"/>
  <c r="AN273" i="54"/>
  <c r="AI273" i="54"/>
  <c r="AJ273" i="54" s="1"/>
  <c r="X273" i="54"/>
  <c r="AK273" i="54" s="1"/>
  <c r="AH273" i="54" s="1"/>
  <c r="AM273" i="54" s="1"/>
  <c r="AR272" i="54"/>
  <c r="AO272" i="54"/>
  <c r="AN272" i="54"/>
  <c r="AI272" i="54"/>
  <c r="AJ272" i="54" s="1"/>
  <c r="X272" i="54"/>
  <c r="AK272" i="54" s="1"/>
  <c r="AH272" i="54" s="1"/>
  <c r="AM272" i="54" s="1"/>
  <c r="AR271" i="54"/>
  <c r="AO271" i="54"/>
  <c r="AJ271" i="54"/>
  <c r="X271" i="54"/>
  <c r="AK271" i="54" s="1"/>
  <c r="AH271" i="54" s="1"/>
  <c r="AM271" i="54" s="1"/>
  <c r="AR270" i="54"/>
  <c r="AO270" i="54"/>
  <c r="AN270" i="54"/>
  <c r="AI270" i="54"/>
  <c r="AJ270" i="54" s="1"/>
  <c r="X270" i="54"/>
  <c r="AK270" i="54" s="1"/>
  <c r="AH270" i="54" s="1"/>
  <c r="AM270" i="54" s="1"/>
  <c r="AR269" i="54"/>
  <c r="AO269" i="54"/>
  <c r="AN269" i="54"/>
  <c r="AI269" i="54"/>
  <c r="AJ269" i="54" s="1"/>
  <c r="X269" i="54"/>
  <c r="AK269" i="54" s="1"/>
  <c r="AH269" i="54" s="1"/>
  <c r="AM269" i="54" s="1"/>
  <c r="AR268" i="54"/>
  <c r="AO268" i="54"/>
  <c r="AN268" i="54"/>
  <c r="AJ268" i="54"/>
  <c r="X268" i="54"/>
  <c r="AK268" i="54" s="1"/>
  <c r="AH268" i="54" s="1"/>
  <c r="AM268" i="54" s="1"/>
  <c r="AR267" i="54"/>
  <c r="AO267" i="54"/>
  <c r="AN267" i="54"/>
  <c r="AJ267" i="54"/>
  <c r="X267" i="54"/>
  <c r="AK267" i="54" s="1"/>
  <c r="AH267" i="54" s="1"/>
  <c r="AM267" i="54" s="1"/>
  <c r="AR266" i="54"/>
  <c r="AO266" i="54"/>
  <c r="AN266" i="54"/>
  <c r="AI266" i="54"/>
  <c r="AJ266" i="54" s="1"/>
  <c r="X266" i="54"/>
  <c r="AK266" i="54" s="1"/>
  <c r="AH266" i="54" s="1"/>
  <c r="AM266" i="54" s="1"/>
  <c r="AR265" i="54"/>
  <c r="AO265" i="54"/>
  <c r="AN265" i="54"/>
  <c r="AI265" i="54"/>
  <c r="AJ265" i="54" s="1"/>
  <c r="X265" i="54"/>
  <c r="AK265" i="54" s="1"/>
  <c r="AH265" i="54" s="1"/>
  <c r="AM265" i="54" s="1"/>
  <c r="AR264" i="54"/>
  <c r="AO264" i="54"/>
  <c r="AN264" i="54"/>
  <c r="AI264" i="54"/>
  <c r="AJ264" i="54" s="1"/>
  <c r="X264" i="54"/>
  <c r="AK264" i="54" s="1"/>
  <c r="AH264" i="54" s="1"/>
  <c r="AM264" i="54" s="1"/>
  <c r="AR263" i="54"/>
  <c r="AO263" i="54"/>
  <c r="AN263" i="54"/>
  <c r="AI263" i="54"/>
  <c r="AJ263" i="54" s="1"/>
  <c r="X263" i="54"/>
  <c r="AK263" i="54" s="1"/>
  <c r="AH263" i="54" s="1"/>
  <c r="AM263" i="54" s="1"/>
  <c r="AR262" i="54"/>
  <c r="AO262" i="54"/>
  <c r="AN262" i="54"/>
  <c r="AI262" i="54"/>
  <c r="AJ262" i="54" s="1"/>
  <c r="X262" i="54"/>
  <c r="AK262" i="54" s="1"/>
  <c r="AH262" i="54" s="1"/>
  <c r="AM262" i="54" s="1"/>
  <c r="AR261" i="54"/>
  <c r="AO261" i="54"/>
  <c r="AI261" i="54"/>
  <c r="AJ261" i="54" s="1"/>
  <c r="X261" i="54"/>
  <c r="AK261" i="54" s="1"/>
  <c r="AH261" i="54" s="1"/>
  <c r="AR260" i="54"/>
  <c r="AO260" i="54"/>
  <c r="AN260" i="54"/>
  <c r="AI260" i="54"/>
  <c r="AJ260" i="54" s="1"/>
  <c r="X260" i="54"/>
  <c r="AK260" i="54" s="1"/>
  <c r="AH260" i="54" s="1"/>
  <c r="AM260" i="54" s="1"/>
  <c r="AR259" i="54"/>
  <c r="AO259" i="54"/>
  <c r="AN259" i="54"/>
  <c r="AI259" i="54"/>
  <c r="AJ259" i="54" s="1"/>
  <c r="X259" i="54"/>
  <c r="AK259" i="54" s="1"/>
  <c r="AH259" i="54" s="1"/>
  <c r="AM259" i="54" s="1"/>
  <c r="AR258" i="54"/>
  <c r="AO258" i="54"/>
  <c r="AN258" i="54"/>
  <c r="AI258" i="54"/>
  <c r="AJ258" i="54" s="1"/>
  <c r="X258" i="54"/>
  <c r="AK258" i="54" s="1"/>
  <c r="AH258" i="54" s="1"/>
  <c r="AM258" i="54" s="1"/>
  <c r="AR257" i="54"/>
  <c r="AO257" i="54"/>
  <c r="AI257" i="54"/>
  <c r="AJ257" i="54" s="1"/>
  <c r="X257" i="54"/>
  <c r="AK257" i="54" s="1"/>
  <c r="AH257" i="54" s="1"/>
  <c r="AR256" i="54"/>
  <c r="AO256" i="54"/>
  <c r="AN256" i="54"/>
  <c r="AI256" i="54"/>
  <c r="AJ256" i="54" s="1"/>
  <c r="X256" i="54"/>
  <c r="AK256" i="54" s="1"/>
  <c r="AH256" i="54" s="1"/>
  <c r="AM256" i="54" s="1"/>
  <c r="AR255" i="54"/>
  <c r="AO255" i="54"/>
  <c r="AN255" i="54"/>
  <c r="AI255" i="54"/>
  <c r="AJ255" i="54" s="1"/>
  <c r="X255" i="54"/>
  <c r="AK255" i="54" s="1"/>
  <c r="AH255" i="54" s="1"/>
  <c r="AM255" i="54" s="1"/>
  <c r="AR254" i="54"/>
  <c r="AO254" i="54"/>
  <c r="AI254" i="54"/>
  <c r="AJ254" i="54" s="1"/>
  <c r="X254" i="54"/>
  <c r="AK254" i="54" s="1"/>
  <c r="AH254" i="54" s="1"/>
  <c r="AM254" i="54" s="1"/>
  <c r="AR253" i="54"/>
  <c r="AO253" i="54"/>
  <c r="AN253" i="54"/>
  <c r="AI253" i="54"/>
  <c r="AJ253" i="54" s="1"/>
  <c r="X253" i="54"/>
  <c r="AK253" i="54" s="1"/>
  <c r="AH253" i="54" s="1"/>
  <c r="AM253" i="54" s="1"/>
  <c r="AR252" i="54"/>
  <c r="AO252" i="54"/>
  <c r="AN252" i="54"/>
  <c r="AI252" i="54"/>
  <c r="AJ252" i="54" s="1"/>
  <c r="X252" i="54"/>
  <c r="AK252" i="54" s="1"/>
  <c r="AH252" i="54" s="1"/>
  <c r="AM252" i="54" s="1"/>
  <c r="AR251" i="54"/>
  <c r="AO251" i="54"/>
  <c r="AN251" i="54"/>
  <c r="AI251" i="54"/>
  <c r="AJ251" i="54" s="1"/>
  <c r="X251" i="54"/>
  <c r="AK251" i="54" s="1"/>
  <c r="AH251" i="54" s="1"/>
  <c r="AM251" i="54" s="1"/>
  <c r="AR250" i="54"/>
  <c r="AO250" i="54"/>
  <c r="AN250" i="54"/>
  <c r="AI250" i="54"/>
  <c r="AJ250" i="54" s="1"/>
  <c r="X250" i="54"/>
  <c r="AK250" i="54" s="1"/>
  <c r="AH250" i="54" s="1"/>
  <c r="AM250" i="54" s="1"/>
  <c r="AR249" i="54"/>
  <c r="AO249" i="54"/>
  <c r="AN249" i="54"/>
  <c r="AI249" i="54"/>
  <c r="AJ249" i="54" s="1"/>
  <c r="X249" i="54"/>
  <c r="AK249" i="54" s="1"/>
  <c r="AH249" i="54" s="1"/>
  <c r="AM249" i="54" s="1"/>
  <c r="AR248" i="54"/>
  <c r="AO248" i="54"/>
  <c r="AN248" i="54"/>
  <c r="AI248" i="54"/>
  <c r="AJ248" i="54" s="1"/>
  <c r="X248" i="54"/>
  <c r="AK248" i="54" s="1"/>
  <c r="AH248" i="54" s="1"/>
  <c r="AM248" i="54" s="1"/>
  <c r="AR247" i="54"/>
  <c r="AO247" i="54"/>
  <c r="AJ247" i="54"/>
  <c r="X247" i="54"/>
  <c r="AK247" i="54" s="1"/>
  <c r="AH247" i="54" s="1"/>
  <c r="AR246" i="54"/>
  <c r="AO246" i="54"/>
  <c r="AN246" i="54"/>
  <c r="AJ246" i="54"/>
  <c r="X246" i="54"/>
  <c r="AR245" i="54"/>
  <c r="AO245" i="54"/>
  <c r="AN245" i="54"/>
  <c r="AI245" i="54"/>
  <c r="AJ245" i="54" s="1"/>
  <c r="X245" i="54"/>
  <c r="AK245" i="54" s="1"/>
  <c r="AH245" i="54" s="1"/>
  <c r="AM245" i="54" s="1"/>
  <c r="AR244" i="54"/>
  <c r="AO244" i="54"/>
  <c r="AN244" i="54"/>
  <c r="AI244" i="54"/>
  <c r="AJ244" i="54" s="1"/>
  <c r="X244" i="54"/>
  <c r="AK244" i="54" s="1"/>
  <c r="AH244" i="54" s="1"/>
  <c r="AM244" i="54" s="1"/>
  <c r="AR243" i="54"/>
  <c r="AO243" i="54"/>
  <c r="AN243" i="54"/>
  <c r="AJ243" i="54"/>
  <c r="X243" i="54"/>
  <c r="AK243" i="54" s="1"/>
  <c r="AH243" i="54" s="1"/>
  <c r="AM243" i="54" s="1"/>
  <c r="AR242" i="54"/>
  <c r="AO242" i="54"/>
  <c r="AN242" i="54"/>
  <c r="AI242" i="54"/>
  <c r="AJ242" i="54" s="1"/>
  <c r="X242" i="54"/>
  <c r="AK242" i="54" s="1"/>
  <c r="AH242" i="54" s="1"/>
  <c r="AM242" i="54" s="1"/>
  <c r="AR241" i="54"/>
  <c r="AO241" i="54"/>
  <c r="AI241" i="54"/>
  <c r="AJ241" i="54" s="1"/>
  <c r="X241" i="54"/>
  <c r="AK241" i="54" s="1"/>
  <c r="AH241" i="54" s="1"/>
  <c r="AN241" i="54" s="1"/>
  <c r="AR240" i="54"/>
  <c r="AO240" i="54"/>
  <c r="AN240" i="54"/>
  <c r="AJ240" i="54"/>
  <c r="X240" i="54"/>
  <c r="AK240" i="54" s="1"/>
  <c r="AH240" i="54" s="1"/>
  <c r="AM240" i="54" s="1"/>
  <c r="AR239" i="54"/>
  <c r="AO239" i="54"/>
  <c r="AN239" i="54"/>
  <c r="AJ239" i="54"/>
  <c r="X239" i="54"/>
  <c r="AK239" i="54" s="1"/>
  <c r="AH239" i="54" s="1"/>
  <c r="AM239" i="54" s="1"/>
  <c r="AR238" i="54"/>
  <c r="AO238" i="54"/>
  <c r="AN238" i="54"/>
  <c r="AJ238" i="54"/>
  <c r="X238" i="54"/>
  <c r="AK238" i="54" s="1"/>
  <c r="AH238" i="54" s="1"/>
  <c r="AM238" i="54" s="1"/>
  <c r="AR237" i="54"/>
  <c r="AO237" i="54"/>
  <c r="AN237" i="54"/>
  <c r="AJ237" i="54"/>
  <c r="X237" i="54"/>
  <c r="AK237" i="54" s="1"/>
  <c r="AH237" i="54" s="1"/>
  <c r="AM237" i="54" s="1"/>
  <c r="AR236" i="54"/>
  <c r="AO236" i="54"/>
  <c r="AN236" i="54"/>
  <c r="AJ236" i="54"/>
  <c r="X236" i="54"/>
  <c r="AR235" i="54"/>
  <c r="AO235" i="54"/>
  <c r="AN235" i="54"/>
  <c r="AJ235" i="54"/>
  <c r="X235" i="54"/>
  <c r="AK235" i="54" s="1"/>
  <c r="AH235" i="54" s="1"/>
  <c r="AM235" i="54" s="1"/>
  <c r="AR234" i="54"/>
  <c r="AO234" i="54"/>
  <c r="AN234" i="54"/>
  <c r="AJ234" i="54"/>
  <c r="X234" i="54"/>
  <c r="AK234" i="54" s="1"/>
  <c r="AH234" i="54" s="1"/>
  <c r="AM234" i="54" s="1"/>
  <c r="AR233" i="54"/>
  <c r="AO233" i="54"/>
  <c r="AN233" i="54"/>
  <c r="AJ233" i="54"/>
  <c r="X233" i="54"/>
  <c r="AK233" i="54" s="1"/>
  <c r="AH233" i="54" s="1"/>
  <c r="AM233" i="54" s="1"/>
  <c r="AR232" i="54"/>
  <c r="AO232" i="54"/>
  <c r="AN232" i="54"/>
  <c r="AJ232" i="54"/>
  <c r="X232" i="54"/>
  <c r="AR231" i="54"/>
  <c r="AO231" i="54"/>
  <c r="AN231" i="54"/>
  <c r="AJ231" i="54"/>
  <c r="X231" i="54"/>
  <c r="AK231" i="54" s="1"/>
  <c r="AH231" i="54" s="1"/>
  <c r="AM231" i="54" s="1"/>
  <c r="AR230" i="54"/>
  <c r="AO230" i="54"/>
  <c r="AN230" i="54"/>
  <c r="AJ230" i="54"/>
  <c r="X230" i="54"/>
  <c r="AK230" i="54" s="1"/>
  <c r="AH230" i="54" s="1"/>
  <c r="AM230" i="54" s="1"/>
  <c r="AR229" i="54"/>
  <c r="AO229" i="54"/>
  <c r="AN229" i="54"/>
  <c r="AJ229" i="54"/>
  <c r="X229" i="54"/>
  <c r="AK229" i="54" s="1"/>
  <c r="AH229" i="54" s="1"/>
  <c r="AM229" i="54" s="1"/>
  <c r="AR228" i="54"/>
  <c r="AO228" i="54"/>
  <c r="AN228" i="54"/>
  <c r="AJ228" i="54"/>
  <c r="X228" i="54"/>
  <c r="AR227" i="54"/>
  <c r="AO227" i="54"/>
  <c r="AN227" i="54"/>
  <c r="AJ227" i="54"/>
  <c r="X227" i="54"/>
  <c r="AK227" i="54" s="1"/>
  <c r="AH227" i="54" s="1"/>
  <c r="AM227" i="54" s="1"/>
  <c r="AR226" i="54"/>
  <c r="AO226" i="54"/>
  <c r="AN226" i="54"/>
  <c r="AJ226" i="54"/>
  <c r="X226" i="54"/>
  <c r="AK226" i="54" s="1"/>
  <c r="AH226" i="54" s="1"/>
  <c r="AM226" i="54" s="1"/>
  <c r="AR225" i="54"/>
  <c r="AO225" i="54"/>
  <c r="AN225" i="54"/>
  <c r="AJ225" i="54"/>
  <c r="X225" i="54"/>
  <c r="AK225" i="54" s="1"/>
  <c r="AH225" i="54" s="1"/>
  <c r="AM225" i="54" s="1"/>
  <c r="AR224" i="54"/>
  <c r="AO224" i="54"/>
  <c r="AN224" i="54"/>
  <c r="AJ224" i="54"/>
  <c r="X224" i="54"/>
  <c r="AR223" i="54"/>
  <c r="AO223" i="54"/>
  <c r="AN223" i="54"/>
  <c r="AJ223" i="54"/>
  <c r="X223" i="54"/>
  <c r="AK223" i="54" s="1"/>
  <c r="AH223" i="54" s="1"/>
  <c r="AM223" i="54" s="1"/>
  <c r="AR222" i="54"/>
  <c r="AO222" i="54"/>
  <c r="AN222" i="54"/>
  <c r="AJ222" i="54"/>
  <c r="X222" i="54"/>
  <c r="AK222" i="54" s="1"/>
  <c r="AH222" i="54" s="1"/>
  <c r="AM222" i="54" s="1"/>
  <c r="AR221" i="54"/>
  <c r="AO221" i="54"/>
  <c r="AN221" i="54"/>
  <c r="AJ221" i="54"/>
  <c r="X221" i="54"/>
  <c r="AK221" i="54" s="1"/>
  <c r="AH221" i="54" s="1"/>
  <c r="AM221" i="54" s="1"/>
  <c r="AR220" i="54"/>
  <c r="AO220" i="54"/>
  <c r="AN220" i="54"/>
  <c r="AJ220" i="54"/>
  <c r="X220" i="54"/>
  <c r="AK220" i="54" s="1"/>
  <c r="AH220" i="54" s="1"/>
  <c r="AM220" i="54" s="1"/>
  <c r="AR219" i="54"/>
  <c r="AO219" i="54"/>
  <c r="AN219" i="54"/>
  <c r="AJ219" i="54"/>
  <c r="X219" i="54"/>
  <c r="AK219" i="54" s="1"/>
  <c r="AH219" i="54" s="1"/>
  <c r="AM219" i="54" s="1"/>
  <c r="AR218" i="54"/>
  <c r="AO218" i="54"/>
  <c r="AN218" i="54"/>
  <c r="AJ218" i="54"/>
  <c r="X218" i="54"/>
  <c r="AK218" i="54" s="1"/>
  <c r="AH218" i="54" s="1"/>
  <c r="AM218" i="54" s="1"/>
  <c r="AR217" i="54"/>
  <c r="AO217" i="54"/>
  <c r="AN217" i="54"/>
  <c r="AJ217" i="54"/>
  <c r="X217" i="54"/>
  <c r="AK217" i="54" s="1"/>
  <c r="AH217" i="54" s="1"/>
  <c r="AM217" i="54" s="1"/>
  <c r="AR216" i="54"/>
  <c r="AO216" i="54"/>
  <c r="AN216" i="54"/>
  <c r="AJ216" i="54"/>
  <c r="X216" i="54"/>
  <c r="AR215" i="54"/>
  <c r="AO215" i="54"/>
  <c r="AN215" i="54"/>
  <c r="AJ215" i="54"/>
  <c r="X215" i="54"/>
  <c r="AK215" i="54" s="1"/>
  <c r="AH215" i="54" s="1"/>
  <c r="AM215" i="54" s="1"/>
  <c r="AR214" i="54"/>
  <c r="AO214" i="54"/>
  <c r="AN214" i="54"/>
  <c r="AJ214" i="54"/>
  <c r="X214" i="54"/>
  <c r="AK214" i="54" s="1"/>
  <c r="AH214" i="54" s="1"/>
  <c r="AM214" i="54" s="1"/>
  <c r="AR213" i="54"/>
  <c r="AO213" i="54"/>
  <c r="AN213" i="54"/>
  <c r="AJ213" i="54"/>
  <c r="X213" i="54"/>
  <c r="AK213" i="54" s="1"/>
  <c r="AH213" i="54" s="1"/>
  <c r="AM213" i="54" s="1"/>
  <c r="AR212" i="54"/>
  <c r="AO212" i="54"/>
  <c r="AN212" i="54"/>
  <c r="AJ212" i="54"/>
  <c r="X212" i="54"/>
  <c r="AK212" i="54" s="1"/>
  <c r="AH212" i="54" s="1"/>
  <c r="AM212" i="54" s="1"/>
  <c r="AR211" i="54"/>
  <c r="AO211" i="54"/>
  <c r="AN211" i="54"/>
  <c r="AJ211" i="54"/>
  <c r="X211" i="54"/>
  <c r="AK211" i="54" s="1"/>
  <c r="AH211" i="54" s="1"/>
  <c r="AM211" i="54" s="1"/>
  <c r="AR210" i="54"/>
  <c r="AO210" i="54"/>
  <c r="AN210" i="54"/>
  <c r="AJ210" i="54"/>
  <c r="X210" i="54"/>
  <c r="AK210" i="54" s="1"/>
  <c r="AH210" i="54" s="1"/>
  <c r="AM210" i="54" s="1"/>
  <c r="AR209" i="54"/>
  <c r="AO209" i="54"/>
  <c r="AN209" i="54"/>
  <c r="AJ209" i="54"/>
  <c r="X209" i="54"/>
  <c r="AK209" i="54" s="1"/>
  <c r="AH209" i="54" s="1"/>
  <c r="AM209" i="54" s="1"/>
  <c r="AR208" i="54"/>
  <c r="AO208" i="54"/>
  <c r="AN208" i="54"/>
  <c r="AJ208" i="54"/>
  <c r="X208" i="54"/>
  <c r="AK208" i="54" s="1"/>
  <c r="AH208" i="54" s="1"/>
  <c r="AM208" i="54" s="1"/>
  <c r="AR207" i="54"/>
  <c r="AO207" i="54"/>
  <c r="AN207" i="54"/>
  <c r="AJ207" i="54"/>
  <c r="X207" i="54"/>
  <c r="AR206" i="54"/>
  <c r="AO206" i="54"/>
  <c r="AN206" i="54"/>
  <c r="AJ206" i="54"/>
  <c r="X206" i="54"/>
  <c r="AR205" i="54"/>
  <c r="AO205" i="54"/>
  <c r="AN205" i="54"/>
  <c r="AJ205" i="54"/>
  <c r="X205" i="54"/>
  <c r="AK205" i="54" s="1"/>
  <c r="AH205" i="54" s="1"/>
  <c r="AM205" i="54" s="1"/>
  <c r="AR204" i="54"/>
  <c r="AO204" i="54"/>
  <c r="AN204" i="54"/>
  <c r="AJ204" i="54"/>
  <c r="X204" i="54"/>
  <c r="AR203" i="54"/>
  <c r="AO203" i="54"/>
  <c r="AN203" i="54"/>
  <c r="AJ203" i="54"/>
  <c r="X203" i="54"/>
  <c r="AK203" i="54" s="1"/>
  <c r="AH203" i="54" s="1"/>
  <c r="AM203" i="54" s="1"/>
  <c r="AR202" i="54"/>
  <c r="AO202" i="54"/>
  <c r="AN202" i="54"/>
  <c r="AJ202" i="54"/>
  <c r="X202" i="54"/>
  <c r="AK202" i="54" s="1"/>
  <c r="AH202" i="54" s="1"/>
  <c r="AM202" i="54" s="1"/>
  <c r="AR201" i="54"/>
  <c r="AO201" i="54"/>
  <c r="AN201" i="54"/>
  <c r="AJ201" i="54"/>
  <c r="X201" i="54"/>
  <c r="AK201" i="54" s="1"/>
  <c r="AH201" i="54" s="1"/>
  <c r="AM201" i="54" s="1"/>
  <c r="AR200" i="54"/>
  <c r="AO200" i="54"/>
  <c r="AN200" i="54"/>
  <c r="AJ200" i="54"/>
  <c r="X200" i="54"/>
  <c r="AK200" i="54" s="1"/>
  <c r="AH200" i="54" s="1"/>
  <c r="AM200" i="54" s="1"/>
  <c r="AR199" i="54"/>
  <c r="AO199" i="54"/>
  <c r="AN199" i="54"/>
  <c r="AJ199" i="54"/>
  <c r="X199" i="54"/>
  <c r="AK199" i="54" s="1"/>
  <c r="AH199" i="54" s="1"/>
  <c r="AM199" i="54" s="1"/>
  <c r="AR198" i="54"/>
  <c r="AO198" i="54"/>
  <c r="AN198" i="54"/>
  <c r="AJ198" i="54"/>
  <c r="X198" i="54"/>
  <c r="AK198" i="54" s="1"/>
  <c r="AH198" i="54" s="1"/>
  <c r="AM198" i="54" s="1"/>
  <c r="AR197" i="54"/>
  <c r="AO197" i="54"/>
  <c r="AN197" i="54"/>
  <c r="AJ197" i="54"/>
  <c r="X197" i="54"/>
  <c r="AK197" i="54" s="1"/>
  <c r="AH197" i="54" s="1"/>
  <c r="AM197" i="54" s="1"/>
  <c r="AR196" i="54"/>
  <c r="AO196" i="54"/>
  <c r="AN196" i="54"/>
  <c r="AJ196" i="54"/>
  <c r="X196" i="54"/>
  <c r="AK196" i="54" s="1"/>
  <c r="AH196" i="54" s="1"/>
  <c r="AM196" i="54" s="1"/>
  <c r="AR195" i="54"/>
  <c r="AO195" i="54"/>
  <c r="AN195" i="54"/>
  <c r="AJ195" i="54"/>
  <c r="X195" i="54"/>
  <c r="AK195" i="54" s="1"/>
  <c r="AH195" i="54" s="1"/>
  <c r="AM195" i="54" s="1"/>
  <c r="AR194" i="54"/>
  <c r="AO194" i="54"/>
  <c r="AN194" i="54"/>
  <c r="AI194" i="54"/>
  <c r="AJ194" i="54" s="1"/>
  <c r="X194" i="54"/>
  <c r="AK194" i="54" s="1"/>
  <c r="AH194" i="54" s="1"/>
  <c r="AM194" i="54" s="1"/>
  <c r="AR193" i="54"/>
  <c r="AO193" i="54"/>
  <c r="AN193" i="54"/>
  <c r="AI193" i="54"/>
  <c r="AJ193" i="54" s="1"/>
  <c r="X193" i="54"/>
  <c r="AK193" i="54" s="1"/>
  <c r="AH193" i="54" s="1"/>
  <c r="AM193" i="54" s="1"/>
  <c r="AR192" i="54"/>
  <c r="AO192" i="54"/>
  <c r="AN192" i="54"/>
  <c r="AI192" i="54"/>
  <c r="AJ192" i="54" s="1"/>
  <c r="X192" i="54"/>
  <c r="AK192" i="54" s="1"/>
  <c r="AH192" i="54" s="1"/>
  <c r="AM192" i="54" s="1"/>
  <c r="AR191" i="54"/>
  <c r="AO191" i="54"/>
  <c r="AN191" i="54"/>
  <c r="AI191" i="54"/>
  <c r="AJ191" i="54" s="1"/>
  <c r="X191" i="54"/>
  <c r="AK191" i="54" s="1"/>
  <c r="AH191" i="54" s="1"/>
  <c r="AM191" i="54" s="1"/>
  <c r="AR190" i="54"/>
  <c r="AO190" i="54"/>
  <c r="AN190" i="54"/>
  <c r="AI190" i="54"/>
  <c r="AJ190" i="54" s="1"/>
  <c r="X190" i="54"/>
  <c r="AK190" i="54" s="1"/>
  <c r="AH190" i="54" s="1"/>
  <c r="AM190" i="54" s="1"/>
  <c r="AR189" i="54"/>
  <c r="AO189" i="54"/>
  <c r="AN189" i="54"/>
  <c r="AI189" i="54"/>
  <c r="AJ189" i="54" s="1"/>
  <c r="X189" i="54"/>
  <c r="AK189" i="54" s="1"/>
  <c r="AH189" i="54" s="1"/>
  <c r="AM189" i="54" s="1"/>
  <c r="AR188" i="54"/>
  <c r="AO188" i="54"/>
  <c r="AN188" i="54"/>
  <c r="AI188" i="54"/>
  <c r="AJ188" i="54" s="1"/>
  <c r="X188" i="54"/>
  <c r="AK188" i="54" s="1"/>
  <c r="AH188" i="54" s="1"/>
  <c r="AM188" i="54" s="1"/>
  <c r="AR187" i="54"/>
  <c r="AO187" i="54"/>
  <c r="AN187" i="54"/>
  <c r="AI187" i="54"/>
  <c r="AJ187" i="54" s="1"/>
  <c r="X187" i="54"/>
  <c r="AK187" i="54" s="1"/>
  <c r="AH187" i="54" s="1"/>
  <c r="AM187" i="54" s="1"/>
  <c r="AR186" i="54"/>
  <c r="AO186" i="54"/>
  <c r="AN186" i="54"/>
  <c r="AI186" i="54"/>
  <c r="AJ186" i="54" s="1"/>
  <c r="X186" i="54"/>
  <c r="AK186" i="54" s="1"/>
  <c r="AH186" i="54" s="1"/>
  <c r="AM186" i="54" s="1"/>
  <c r="AR185" i="54"/>
  <c r="AO185" i="54"/>
  <c r="AN185" i="54"/>
  <c r="AI185" i="54"/>
  <c r="AJ185" i="54" s="1"/>
  <c r="X185" i="54"/>
  <c r="AK185" i="54" s="1"/>
  <c r="AH185" i="54" s="1"/>
  <c r="AM185" i="54" s="1"/>
  <c r="AR184" i="54"/>
  <c r="AO184" i="54"/>
  <c r="AN184" i="54"/>
  <c r="AI184" i="54"/>
  <c r="AJ184" i="54" s="1"/>
  <c r="X184" i="54"/>
  <c r="AK184" i="54" s="1"/>
  <c r="AH184" i="54" s="1"/>
  <c r="AM184" i="54" s="1"/>
  <c r="AR183" i="54"/>
  <c r="AO183" i="54"/>
  <c r="AN183" i="54"/>
  <c r="AI183" i="54"/>
  <c r="AJ183" i="54" s="1"/>
  <c r="X183" i="54"/>
  <c r="AK183" i="54" s="1"/>
  <c r="AH183" i="54" s="1"/>
  <c r="AM183" i="54" s="1"/>
  <c r="AR182" i="54"/>
  <c r="AO182" i="54"/>
  <c r="AN182" i="54"/>
  <c r="AI182" i="54"/>
  <c r="AJ182" i="54" s="1"/>
  <c r="X182" i="54"/>
  <c r="AK182" i="54" s="1"/>
  <c r="AH182" i="54" s="1"/>
  <c r="AM182" i="54" s="1"/>
  <c r="AR181" i="54"/>
  <c r="AO181" i="54"/>
  <c r="AN181" i="54"/>
  <c r="AI181" i="54"/>
  <c r="AJ181" i="54" s="1"/>
  <c r="X181" i="54"/>
  <c r="AK181" i="54" s="1"/>
  <c r="AH181" i="54" s="1"/>
  <c r="AM181" i="54" s="1"/>
  <c r="AR180" i="54"/>
  <c r="AO180" i="54"/>
  <c r="AN180" i="54"/>
  <c r="AI180" i="54"/>
  <c r="AJ180" i="54" s="1"/>
  <c r="X180" i="54"/>
  <c r="AK180" i="54" s="1"/>
  <c r="AH180" i="54" s="1"/>
  <c r="AM180" i="54" s="1"/>
  <c r="AR179" i="54"/>
  <c r="AO179" i="54"/>
  <c r="AN179" i="54"/>
  <c r="AI179" i="54"/>
  <c r="AJ179" i="54" s="1"/>
  <c r="X179" i="54"/>
  <c r="AK179" i="54" s="1"/>
  <c r="AH179" i="54" s="1"/>
  <c r="AM179" i="54" s="1"/>
  <c r="AR178" i="54"/>
  <c r="AO178" i="54"/>
  <c r="AN178" i="54"/>
  <c r="AI178" i="54"/>
  <c r="AJ178" i="54" s="1"/>
  <c r="X178" i="54"/>
  <c r="AK178" i="54" s="1"/>
  <c r="AH178" i="54" s="1"/>
  <c r="AM178" i="54" s="1"/>
  <c r="AR177" i="54"/>
  <c r="AO177" i="54"/>
  <c r="AN177" i="54"/>
  <c r="AI177" i="54"/>
  <c r="AJ177" i="54" s="1"/>
  <c r="AP177" i="54" s="1"/>
  <c r="X177" i="54"/>
  <c r="AK177" i="54" s="1"/>
  <c r="AH177" i="54" s="1"/>
  <c r="AM177" i="54" s="1"/>
  <c r="AR176" i="54"/>
  <c r="AO176" i="54"/>
  <c r="AN176" i="54"/>
  <c r="AI176" i="54"/>
  <c r="AJ176" i="54" s="1"/>
  <c r="X176" i="54"/>
  <c r="AK176" i="54" s="1"/>
  <c r="AH176" i="54" s="1"/>
  <c r="AM176" i="54" s="1"/>
  <c r="AR175" i="54"/>
  <c r="AO175" i="54"/>
  <c r="AN175" i="54"/>
  <c r="AI175" i="54"/>
  <c r="AJ175" i="54" s="1"/>
  <c r="X175" i="54"/>
  <c r="AK175" i="54" s="1"/>
  <c r="AH175" i="54" s="1"/>
  <c r="AM175" i="54" s="1"/>
  <c r="AR174" i="54"/>
  <c r="AO174" i="54"/>
  <c r="AN174" i="54"/>
  <c r="AJ174" i="54"/>
  <c r="X174" i="54"/>
  <c r="AK174" i="54" s="1"/>
  <c r="AH174" i="54" s="1"/>
  <c r="AM174" i="54" s="1"/>
  <c r="AR173" i="54"/>
  <c r="AO173" i="54"/>
  <c r="AN173" i="54"/>
  <c r="AJ173" i="54"/>
  <c r="X173" i="54"/>
  <c r="AK173" i="54" s="1"/>
  <c r="AH173" i="54" s="1"/>
  <c r="AM173" i="54" s="1"/>
  <c r="AR172" i="54"/>
  <c r="AO172" i="54"/>
  <c r="AN172" i="54"/>
  <c r="AJ172" i="54"/>
  <c r="X172" i="54"/>
  <c r="AK172" i="54" s="1"/>
  <c r="AH172" i="54" s="1"/>
  <c r="AM172" i="54" s="1"/>
  <c r="AR171" i="54"/>
  <c r="AO171" i="54"/>
  <c r="AN171" i="54"/>
  <c r="AI171" i="54"/>
  <c r="AJ171" i="54" s="1"/>
  <c r="X171" i="54"/>
  <c r="AK171" i="54" s="1"/>
  <c r="AH171" i="54" s="1"/>
  <c r="AM171" i="54" s="1"/>
  <c r="AR170" i="54"/>
  <c r="AO170" i="54"/>
  <c r="AN170" i="54"/>
  <c r="AI170" i="54"/>
  <c r="AJ170" i="54" s="1"/>
  <c r="X170" i="54"/>
  <c r="AK170" i="54" s="1"/>
  <c r="AH170" i="54" s="1"/>
  <c r="AM170" i="54" s="1"/>
  <c r="AR169" i="54"/>
  <c r="AO169" i="54"/>
  <c r="AN169" i="54"/>
  <c r="AI169" i="54"/>
  <c r="AJ169" i="54" s="1"/>
  <c r="X169" i="54"/>
  <c r="AK169" i="54" s="1"/>
  <c r="AH169" i="54" s="1"/>
  <c r="AM169" i="54" s="1"/>
  <c r="AR168" i="54"/>
  <c r="AO168" i="54"/>
  <c r="AN168" i="54"/>
  <c r="AI168" i="54"/>
  <c r="AJ168" i="54" s="1"/>
  <c r="X168" i="54"/>
  <c r="AK168" i="54" s="1"/>
  <c r="AH168" i="54" s="1"/>
  <c r="AM168" i="54" s="1"/>
  <c r="AR167" i="54"/>
  <c r="AO167" i="54"/>
  <c r="AN167" i="54"/>
  <c r="AI167" i="54"/>
  <c r="AJ167" i="54" s="1"/>
  <c r="X167" i="54"/>
  <c r="AK167" i="54" s="1"/>
  <c r="AH167" i="54" s="1"/>
  <c r="AM167" i="54" s="1"/>
  <c r="AR166" i="54"/>
  <c r="AO166" i="54"/>
  <c r="AN166" i="54"/>
  <c r="AI166" i="54"/>
  <c r="AJ166" i="54" s="1"/>
  <c r="X166" i="54"/>
  <c r="AK166" i="54" s="1"/>
  <c r="AH166" i="54" s="1"/>
  <c r="AM166" i="54" s="1"/>
  <c r="AR165" i="54"/>
  <c r="AO165" i="54"/>
  <c r="AN165" i="54"/>
  <c r="AI165" i="54"/>
  <c r="AJ165" i="54" s="1"/>
  <c r="X165" i="54"/>
  <c r="AK165" i="54" s="1"/>
  <c r="AH165" i="54" s="1"/>
  <c r="AM165" i="54" s="1"/>
  <c r="AR164" i="54"/>
  <c r="AO164" i="54"/>
  <c r="AN164" i="54"/>
  <c r="AI164" i="54"/>
  <c r="AJ164" i="54" s="1"/>
  <c r="X164" i="54"/>
  <c r="AK164" i="54" s="1"/>
  <c r="AH164" i="54" s="1"/>
  <c r="AM164" i="54" s="1"/>
  <c r="AR163" i="54"/>
  <c r="AO163" i="54"/>
  <c r="AN163" i="54"/>
  <c r="AI163" i="54"/>
  <c r="AJ163" i="54" s="1"/>
  <c r="X163" i="54"/>
  <c r="AK163" i="54" s="1"/>
  <c r="AH163" i="54" s="1"/>
  <c r="AM163" i="54" s="1"/>
  <c r="AR162" i="54"/>
  <c r="AO162" i="54"/>
  <c r="AN162" i="54"/>
  <c r="AI162" i="54"/>
  <c r="AJ162" i="54" s="1"/>
  <c r="X162" i="54"/>
  <c r="AK162" i="54" s="1"/>
  <c r="AH162" i="54" s="1"/>
  <c r="AM162" i="54" s="1"/>
  <c r="AR161" i="54"/>
  <c r="AO161" i="54"/>
  <c r="AN161" i="54"/>
  <c r="AI161" i="54"/>
  <c r="AJ161" i="54" s="1"/>
  <c r="AP161" i="54" s="1"/>
  <c r="X161" i="54"/>
  <c r="AK161" i="54" s="1"/>
  <c r="AH161" i="54" s="1"/>
  <c r="AM161" i="54" s="1"/>
  <c r="AR160" i="54"/>
  <c r="AO160" i="54"/>
  <c r="AN160" i="54"/>
  <c r="AI160" i="54"/>
  <c r="AJ160" i="54" s="1"/>
  <c r="X160" i="54"/>
  <c r="AK160" i="54" s="1"/>
  <c r="AH160" i="54" s="1"/>
  <c r="AM160" i="54" s="1"/>
  <c r="AR159" i="54"/>
  <c r="AO159" i="54"/>
  <c r="AN159" i="54"/>
  <c r="AI159" i="54"/>
  <c r="AJ159" i="54" s="1"/>
  <c r="X159" i="54"/>
  <c r="AK159" i="54" s="1"/>
  <c r="AH159" i="54" s="1"/>
  <c r="AM159" i="54" s="1"/>
  <c r="AR158" i="54"/>
  <c r="AO158" i="54"/>
  <c r="AN158" i="54"/>
  <c r="AI158" i="54"/>
  <c r="AJ158" i="54" s="1"/>
  <c r="X158" i="54"/>
  <c r="AK158" i="54" s="1"/>
  <c r="AH158" i="54" s="1"/>
  <c r="AM158" i="54" s="1"/>
  <c r="AR157" i="54"/>
  <c r="AO157" i="54"/>
  <c r="AN157" i="54"/>
  <c r="AI157" i="54"/>
  <c r="AJ157" i="54" s="1"/>
  <c r="X157" i="54"/>
  <c r="AK157" i="54" s="1"/>
  <c r="AH157" i="54" s="1"/>
  <c r="AM157" i="54" s="1"/>
  <c r="AR156" i="54"/>
  <c r="AO156" i="54"/>
  <c r="AN156" i="54"/>
  <c r="AI156" i="54"/>
  <c r="AJ156" i="54" s="1"/>
  <c r="X156" i="54"/>
  <c r="AK156" i="54" s="1"/>
  <c r="AH156" i="54" s="1"/>
  <c r="AM156" i="54" s="1"/>
  <c r="AR155" i="54"/>
  <c r="AO155" i="54"/>
  <c r="AN155" i="54"/>
  <c r="AI155" i="54"/>
  <c r="AJ155" i="54" s="1"/>
  <c r="X155" i="54"/>
  <c r="AK155" i="54" s="1"/>
  <c r="AH155" i="54" s="1"/>
  <c r="AM155" i="54" s="1"/>
  <c r="AR154" i="54"/>
  <c r="AO154" i="54"/>
  <c r="AN154" i="54"/>
  <c r="AI154" i="54"/>
  <c r="AJ154" i="54" s="1"/>
  <c r="X154" i="54"/>
  <c r="AK154" i="54" s="1"/>
  <c r="AH154" i="54" s="1"/>
  <c r="AM154" i="54" s="1"/>
  <c r="AR153" i="54"/>
  <c r="AO153" i="54"/>
  <c r="AN153" i="54"/>
  <c r="AI153" i="54"/>
  <c r="AJ153" i="54" s="1"/>
  <c r="X153" i="54"/>
  <c r="AK153" i="54" s="1"/>
  <c r="AH153" i="54" s="1"/>
  <c r="AM153" i="54" s="1"/>
  <c r="AR152" i="54"/>
  <c r="AO152" i="54"/>
  <c r="AN152" i="54"/>
  <c r="AI152" i="54"/>
  <c r="AJ152" i="54" s="1"/>
  <c r="X152" i="54"/>
  <c r="AK152" i="54" s="1"/>
  <c r="AH152" i="54" s="1"/>
  <c r="AM152" i="54" s="1"/>
  <c r="AR151" i="54"/>
  <c r="AO151" i="54"/>
  <c r="AN151" i="54"/>
  <c r="AI151" i="54"/>
  <c r="AJ151" i="54" s="1"/>
  <c r="X151" i="54"/>
  <c r="AK151" i="54" s="1"/>
  <c r="AH151" i="54" s="1"/>
  <c r="AM151" i="54" s="1"/>
  <c r="AR150" i="54"/>
  <c r="AO150" i="54"/>
  <c r="AN150" i="54"/>
  <c r="AI150" i="54"/>
  <c r="AJ150" i="54" s="1"/>
  <c r="X150" i="54"/>
  <c r="AK150" i="54" s="1"/>
  <c r="AH150" i="54" s="1"/>
  <c r="AM150" i="54" s="1"/>
  <c r="AR149" i="54"/>
  <c r="AO149" i="54"/>
  <c r="AN149" i="54"/>
  <c r="AI149" i="54"/>
  <c r="AJ149" i="54" s="1"/>
  <c r="X149" i="54"/>
  <c r="AK149" i="54" s="1"/>
  <c r="AH149" i="54" s="1"/>
  <c r="AM149" i="54" s="1"/>
  <c r="AR148" i="54"/>
  <c r="AO148" i="54"/>
  <c r="AN148" i="54"/>
  <c r="AI148" i="54"/>
  <c r="AJ148" i="54" s="1"/>
  <c r="X148" i="54"/>
  <c r="AK148" i="54" s="1"/>
  <c r="AH148" i="54" s="1"/>
  <c r="AM148" i="54" s="1"/>
  <c r="AR147" i="54"/>
  <c r="AO147" i="54"/>
  <c r="AN147" i="54"/>
  <c r="AJ147" i="54"/>
  <c r="X147" i="54"/>
  <c r="AK147" i="54" s="1"/>
  <c r="AH147" i="54" s="1"/>
  <c r="AM147" i="54" s="1"/>
  <c r="AR146" i="54"/>
  <c r="AO146" i="54"/>
  <c r="AN146" i="54"/>
  <c r="AI146" i="54"/>
  <c r="AJ146" i="54" s="1"/>
  <c r="X146" i="54"/>
  <c r="AK146" i="54" s="1"/>
  <c r="AH146" i="54" s="1"/>
  <c r="AM146" i="54" s="1"/>
  <c r="AR145" i="54"/>
  <c r="AO145" i="54"/>
  <c r="AN145" i="54"/>
  <c r="AI145" i="54"/>
  <c r="AJ145" i="54" s="1"/>
  <c r="X145" i="54"/>
  <c r="AK145" i="54" s="1"/>
  <c r="AH145" i="54" s="1"/>
  <c r="AM145" i="54" s="1"/>
  <c r="AR144" i="54"/>
  <c r="AO144" i="54"/>
  <c r="AN144" i="54"/>
  <c r="AI144" i="54"/>
  <c r="AJ144" i="54" s="1"/>
  <c r="X144" i="54"/>
  <c r="AK144" i="54" s="1"/>
  <c r="AH144" i="54" s="1"/>
  <c r="AM144" i="54" s="1"/>
  <c r="AR143" i="54"/>
  <c r="AO143" i="54"/>
  <c r="AN143" i="54"/>
  <c r="AJ143" i="54"/>
  <c r="X143" i="54"/>
  <c r="AK143" i="54" s="1"/>
  <c r="AH143" i="54" s="1"/>
  <c r="AM143" i="54" s="1"/>
  <c r="AR142" i="54"/>
  <c r="AO142" i="54"/>
  <c r="AN142" i="54"/>
  <c r="AI142" i="54"/>
  <c r="AJ142" i="54" s="1"/>
  <c r="X142" i="54"/>
  <c r="AK142" i="54" s="1"/>
  <c r="AH142" i="54" s="1"/>
  <c r="AM142" i="54" s="1"/>
  <c r="AR141" i="54"/>
  <c r="AO141" i="54"/>
  <c r="AN141" i="54"/>
  <c r="AI141" i="54"/>
  <c r="AJ141" i="54" s="1"/>
  <c r="X141" i="54"/>
  <c r="AK141" i="54" s="1"/>
  <c r="AH141" i="54" s="1"/>
  <c r="AM141" i="54" s="1"/>
  <c r="AR140" i="54"/>
  <c r="AO140" i="54"/>
  <c r="AN140" i="54"/>
  <c r="AM140" i="54"/>
  <c r="AI140" i="54"/>
  <c r="AJ140" i="54" s="1"/>
  <c r="X140" i="54"/>
  <c r="AK140" i="54" s="1"/>
  <c r="AH140" i="54" s="1"/>
  <c r="AR139" i="54"/>
  <c r="AO139" i="54"/>
  <c r="AN139" i="54"/>
  <c r="AM139" i="54"/>
  <c r="AI139" i="54"/>
  <c r="AJ139" i="54" s="1"/>
  <c r="X139" i="54"/>
  <c r="AK139" i="54" s="1"/>
  <c r="AH139" i="54" s="1"/>
  <c r="AR138" i="54"/>
  <c r="AO138" i="54"/>
  <c r="AN138" i="54"/>
  <c r="AM138" i="54"/>
  <c r="AI138" i="54"/>
  <c r="AJ138" i="54" s="1"/>
  <c r="X138" i="54"/>
  <c r="AK138" i="54" s="1"/>
  <c r="AH138" i="54" s="1"/>
  <c r="AR137" i="54"/>
  <c r="AO137" i="54"/>
  <c r="AN137" i="54"/>
  <c r="AI137" i="54"/>
  <c r="AJ137" i="54" s="1"/>
  <c r="X137" i="54"/>
  <c r="AK137" i="54" s="1"/>
  <c r="AH137" i="54" s="1"/>
  <c r="AM137" i="54" s="1"/>
  <c r="AR136" i="54"/>
  <c r="AO136" i="54"/>
  <c r="AN136" i="54"/>
  <c r="AJ136" i="54"/>
  <c r="X136" i="54"/>
  <c r="AK136" i="54" s="1"/>
  <c r="AH136" i="54" s="1"/>
  <c r="AM136" i="54" s="1"/>
  <c r="AR135" i="54"/>
  <c r="AO135" i="54"/>
  <c r="AN135" i="54"/>
  <c r="AJ135" i="54"/>
  <c r="X135" i="54"/>
  <c r="AK135" i="54" s="1"/>
  <c r="AH135" i="54" s="1"/>
  <c r="AM135" i="54" s="1"/>
  <c r="AR134" i="54"/>
  <c r="AO134" i="54"/>
  <c r="AN134" i="54"/>
  <c r="AI134" i="54"/>
  <c r="AJ134" i="54" s="1"/>
  <c r="X134" i="54"/>
  <c r="AK134" i="54" s="1"/>
  <c r="AH134" i="54" s="1"/>
  <c r="AM134" i="54" s="1"/>
  <c r="AR133" i="54"/>
  <c r="AO133" i="54"/>
  <c r="AN133" i="54"/>
  <c r="AI133" i="54"/>
  <c r="AJ133" i="54" s="1"/>
  <c r="X133" i="54"/>
  <c r="AK133" i="54" s="1"/>
  <c r="AH133" i="54" s="1"/>
  <c r="AM133" i="54" s="1"/>
  <c r="AR132" i="54"/>
  <c r="AO132" i="54"/>
  <c r="AN132" i="54"/>
  <c r="AI132" i="54"/>
  <c r="AJ132" i="54" s="1"/>
  <c r="X132" i="54"/>
  <c r="AK132" i="54" s="1"/>
  <c r="AH132" i="54" s="1"/>
  <c r="AM132" i="54" s="1"/>
  <c r="AR131" i="54"/>
  <c r="AO131" i="54"/>
  <c r="AN131" i="54"/>
  <c r="AI131" i="54"/>
  <c r="AJ131" i="54" s="1"/>
  <c r="X131" i="54"/>
  <c r="AK131" i="54" s="1"/>
  <c r="AH131" i="54" s="1"/>
  <c r="AM131" i="54" s="1"/>
  <c r="AR130" i="54"/>
  <c r="AO130" i="54"/>
  <c r="AN130" i="54"/>
  <c r="AI130" i="54"/>
  <c r="AJ130" i="54" s="1"/>
  <c r="X130" i="54"/>
  <c r="AK130" i="54" s="1"/>
  <c r="AH130" i="54" s="1"/>
  <c r="AM130" i="54" s="1"/>
  <c r="AR129" i="54"/>
  <c r="AO129" i="54"/>
  <c r="AN129" i="54"/>
  <c r="AI129" i="54"/>
  <c r="AJ129" i="54" s="1"/>
  <c r="X129" i="54"/>
  <c r="AK129" i="54" s="1"/>
  <c r="AH129" i="54" s="1"/>
  <c r="AM129" i="54" s="1"/>
  <c r="AR128" i="54"/>
  <c r="AO128" i="54"/>
  <c r="AN128" i="54"/>
  <c r="AI128" i="54"/>
  <c r="AJ128" i="54" s="1"/>
  <c r="X128" i="54"/>
  <c r="AK128" i="54" s="1"/>
  <c r="AH128" i="54" s="1"/>
  <c r="AM128" i="54" s="1"/>
  <c r="AR127" i="54"/>
  <c r="AO127" i="54"/>
  <c r="AN127" i="54"/>
  <c r="AI127" i="54"/>
  <c r="AJ127" i="54" s="1"/>
  <c r="X127" i="54"/>
  <c r="AK127" i="54" s="1"/>
  <c r="AH127" i="54" s="1"/>
  <c r="AM127" i="54" s="1"/>
  <c r="AR126" i="54"/>
  <c r="AO126" i="54"/>
  <c r="AN126" i="54"/>
  <c r="AJ126" i="54"/>
  <c r="X126" i="54"/>
  <c r="AK126" i="54" s="1"/>
  <c r="AH126" i="54" s="1"/>
  <c r="AM126" i="54" s="1"/>
  <c r="AR125" i="54"/>
  <c r="AO125" i="54"/>
  <c r="AN125" i="54"/>
  <c r="AJ125" i="54"/>
  <c r="X125" i="54"/>
  <c r="AK125" i="54" s="1"/>
  <c r="AH125" i="54" s="1"/>
  <c r="AM125" i="54" s="1"/>
  <c r="AR124" i="54"/>
  <c r="AO124" i="54"/>
  <c r="AN124" i="54"/>
  <c r="AJ124" i="54"/>
  <c r="X124" i="54"/>
  <c r="AR123" i="54"/>
  <c r="AO123" i="54"/>
  <c r="AN123" i="54"/>
  <c r="AI123" i="54"/>
  <c r="AJ123" i="54" s="1"/>
  <c r="X123" i="54"/>
  <c r="AK123" i="54" s="1"/>
  <c r="AH123" i="54" s="1"/>
  <c r="AM123" i="54" s="1"/>
  <c r="AR122" i="54"/>
  <c r="AO122" i="54"/>
  <c r="AN122" i="54"/>
  <c r="AI122" i="54"/>
  <c r="AJ122" i="54" s="1"/>
  <c r="X122" i="54"/>
  <c r="AK122" i="54" s="1"/>
  <c r="AH122" i="54" s="1"/>
  <c r="AM122" i="54" s="1"/>
  <c r="AR121" i="54"/>
  <c r="AO121" i="54"/>
  <c r="AN121" i="54"/>
  <c r="AI121" i="54"/>
  <c r="AJ121" i="54" s="1"/>
  <c r="X121" i="54"/>
  <c r="AK121" i="54" s="1"/>
  <c r="AH121" i="54" s="1"/>
  <c r="AM121" i="54" s="1"/>
  <c r="AR120" i="54"/>
  <c r="AO120" i="54"/>
  <c r="AN120" i="54"/>
  <c r="AJ120" i="54"/>
  <c r="X120" i="54"/>
  <c r="AK120" i="54" s="1"/>
  <c r="AH120" i="54" s="1"/>
  <c r="AM120" i="54" s="1"/>
  <c r="AR119" i="54"/>
  <c r="AO119" i="54"/>
  <c r="AN119" i="54"/>
  <c r="AI119" i="54"/>
  <c r="AJ119" i="54" s="1"/>
  <c r="X119" i="54"/>
  <c r="AK119" i="54" s="1"/>
  <c r="AH119" i="54" s="1"/>
  <c r="AM119" i="54" s="1"/>
  <c r="AR118" i="54"/>
  <c r="AO118" i="54"/>
  <c r="AN118" i="54"/>
  <c r="AI118" i="54"/>
  <c r="AJ118" i="54" s="1"/>
  <c r="X118" i="54"/>
  <c r="AK118" i="54" s="1"/>
  <c r="AH118" i="54" s="1"/>
  <c r="AM118" i="54" s="1"/>
  <c r="AR117" i="54"/>
  <c r="AO117" i="54"/>
  <c r="AN117" i="54"/>
  <c r="AI117" i="54"/>
  <c r="AJ117" i="54" s="1"/>
  <c r="X117" i="54"/>
  <c r="AK117" i="54" s="1"/>
  <c r="AH117" i="54" s="1"/>
  <c r="AM117" i="54" s="1"/>
  <c r="AR116" i="54"/>
  <c r="AO116" i="54"/>
  <c r="AN116" i="54"/>
  <c r="AJ116" i="54"/>
  <c r="X116" i="54"/>
  <c r="AK116" i="54" s="1"/>
  <c r="AH116" i="54" s="1"/>
  <c r="AM116" i="54" s="1"/>
  <c r="AR115" i="54"/>
  <c r="AO115" i="54"/>
  <c r="AN115" i="54"/>
  <c r="AJ115" i="54"/>
  <c r="X115" i="54"/>
  <c r="AK115" i="54" s="1"/>
  <c r="AH115" i="54" s="1"/>
  <c r="AM115" i="54" s="1"/>
  <c r="AR114" i="54"/>
  <c r="AO114" i="54"/>
  <c r="AN114" i="54"/>
  <c r="AJ114" i="54"/>
  <c r="X114" i="54"/>
  <c r="AK114" i="54" s="1"/>
  <c r="AH114" i="54" s="1"/>
  <c r="AM114" i="54" s="1"/>
  <c r="AR113" i="54"/>
  <c r="AO113" i="54"/>
  <c r="AN113" i="54"/>
  <c r="AJ113" i="54"/>
  <c r="X113" i="54"/>
  <c r="AR112" i="54"/>
  <c r="AO112" i="54"/>
  <c r="AN112" i="54"/>
  <c r="AI112" i="54"/>
  <c r="AJ112" i="54" s="1"/>
  <c r="X112" i="54"/>
  <c r="AK112" i="54" s="1"/>
  <c r="AH112" i="54" s="1"/>
  <c r="AM112" i="54" s="1"/>
  <c r="AR111" i="54"/>
  <c r="AO111" i="54"/>
  <c r="AN111" i="54"/>
  <c r="AI111" i="54"/>
  <c r="AJ111" i="54" s="1"/>
  <c r="X111" i="54"/>
  <c r="AK111" i="54" s="1"/>
  <c r="AH111" i="54" s="1"/>
  <c r="AM111" i="54" s="1"/>
  <c r="AR110" i="54"/>
  <c r="AO110" i="54"/>
  <c r="AN110" i="54"/>
  <c r="AI110" i="54"/>
  <c r="AJ110" i="54" s="1"/>
  <c r="X110" i="54"/>
  <c r="AK110" i="54" s="1"/>
  <c r="AH110" i="54" s="1"/>
  <c r="AM110" i="54" s="1"/>
  <c r="AR109" i="54"/>
  <c r="AO109" i="54"/>
  <c r="AN109" i="54"/>
  <c r="AI109" i="54"/>
  <c r="AJ109" i="54" s="1"/>
  <c r="X109" i="54"/>
  <c r="AK109" i="54" s="1"/>
  <c r="AH109" i="54" s="1"/>
  <c r="AM109" i="54" s="1"/>
  <c r="AR108" i="54"/>
  <c r="AO108" i="54"/>
  <c r="AN108" i="54"/>
  <c r="AJ108" i="54"/>
  <c r="X108" i="54"/>
  <c r="AK108" i="54" s="1"/>
  <c r="AH108" i="54" s="1"/>
  <c r="AM108" i="54" s="1"/>
  <c r="AR107" i="54"/>
  <c r="AO107" i="54"/>
  <c r="AN107" i="54"/>
  <c r="AI107" i="54"/>
  <c r="AJ107" i="54" s="1"/>
  <c r="X107" i="54"/>
  <c r="AK107" i="54" s="1"/>
  <c r="AH107" i="54" s="1"/>
  <c r="AM107" i="54" s="1"/>
  <c r="AR106" i="54"/>
  <c r="AO106" i="54"/>
  <c r="AN106" i="54"/>
  <c r="AI106" i="54"/>
  <c r="AJ106" i="54" s="1"/>
  <c r="X106" i="54"/>
  <c r="AK106" i="54" s="1"/>
  <c r="AH106" i="54" s="1"/>
  <c r="AM106" i="54" s="1"/>
  <c r="AR105" i="54"/>
  <c r="AO105" i="54"/>
  <c r="AN105" i="54"/>
  <c r="AI105" i="54"/>
  <c r="AJ105" i="54" s="1"/>
  <c r="X105" i="54"/>
  <c r="AK105" i="54" s="1"/>
  <c r="AH105" i="54" s="1"/>
  <c r="AM105" i="54" s="1"/>
  <c r="AR104" i="54"/>
  <c r="AO104" i="54"/>
  <c r="AN104" i="54"/>
  <c r="AJ104" i="54"/>
  <c r="X104" i="54"/>
  <c r="AK104" i="54" s="1"/>
  <c r="AH104" i="54" s="1"/>
  <c r="AM104" i="54" s="1"/>
  <c r="AR103" i="54"/>
  <c r="AO103" i="54"/>
  <c r="AN103" i="54"/>
  <c r="AJ103" i="54"/>
  <c r="X103" i="54"/>
  <c r="AK103" i="54" s="1"/>
  <c r="AH103" i="54" s="1"/>
  <c r="AM103" i="54" s="1"/>
  <c r="AR102" i="54"/>
  <c r="AO102" i="54"/>
  <c r="AJ102" i="54"/>
  <c r="X102" i="54"/>
  <c r="AK102" i="54" s="1"/>
  <c r="AH102" i="54" s="1"/>
  <c r="AR101" i="54"/>
  <c r="AO101" i="54"/>
  <c r="AN101" i="54"/>
  <c r="AI101" i="54"/>
  <c r="AJ101" i="54" s="1"/>
  <c r="X101" i="54"/>
  <c r="AK101" i="54" s="1"/>
  <c r="AH101" i="54" s="1"/>
  <c r="AM101" i="54" s="1"/>
  <c r="AR100" i="54"/>
  <c r="AO100" i="54"/>
  <c r="AN100" i="54"/>
  <c r="AI100" i="54"/>
  <c r="AJ100" i="54" s="1"/>
  <c r="X100" i="54"/>
  <c r="AK100" i="54" s="1"/>
  <c r="AH100" i="54" s="1"/>
  <c r="AM100" i="54" s="1"/>
  <c r="AR99" i="54"/>
  <c r="AO99" i="54"/>
  <c r="AN99" i="54"/>
  <c r="AI99" i="54"/>
  <c r="AJ99" i="54" s="1"/>
  <c r="X99" i="54"/>
  <c r="AK99" i="54" s="1"/>
  <c r="AH99" i="54" s="1"/>
  <c r="AM99" i="54" s="1"/>
  <c r="AR98" i="54"/>
  <c r="AO98" i="54"/>
  <c r="AN98" i="54"/>
  <c r="AI98" i="54"/>
  <c r="AJ98" i="54" s="1"/>
  <c r="X98" i="54"/>
  <c r="AK98" i="54" s="1"/>
  <c r="AH98" i="54" s="1"/>
  <c r="AM98" i="54" s="1"/>
  <c r="AR97" i="54"/>
  <c r="AO97" i="54"/>
  <c r="AN97" i="54"/>
  <c r="AJ97" i="54"/>
  <c r="X97" i="54"/>
  <c r="AK97" i="54" s="1"/>
  <c r="AH97" i="54" s="1"/>
  <c r="AM97" i="54" s="1"/>
  <c r="AR96" i="54"/>
  <c r="AO96" i="54"/>
  <c r="AN96" i="54"/>
  <c r="AI96" i="54"/>
  <c r="AJ96" i="54" s="1"/>
  <c r="X96" i="54"/>
  <c r="AK96" i="54" s="1"/>
  <c r="AH96" i="54" s="1"/>
  <c r="AM96" i="54" s="1"/>
  <c r="AR95" i="54"/>
  <c r="AO95" i="54"/>
  <c r="AN95" i="54"/>
  <c r="AI95" i="54"/>
  <c r="AJ95" i="54" s="1"/>
  <c r="X95" i="54"/>
  <c r="AK95" i="54" s="1"/>
  <c r="AH95" i="54" s="1"/>
  <c r="AM95" i="54" s="1"/>
  <c r="AR94" i="54"/>
  <c r="AO94" i="54"/>
  <c r="AJ94" i="54"/>
  <c r="X94" i="54"/>
  <c r="AK94" i="54" s="1"/>
  <c r="AH94" i="54" s="1"/>
  <c r="AR93" i="54"/>
  <c r="AO93" i="54"/>
  <c r="AJ93" i="54"/>
  <c r="X93" i="54"/>
  <c r="AR92" i="54"/>
  <c r="AO92" i="54"/>
  <c r="AJ92" i="54"/>
  <c r="X92" i="54"/>
  <c r="AK92" i="54" s="1"/>
  <c r="AH92" i="54" s="1"/>
  <c r="AR91" i="54"/>
  <c r="AO91" i="54"/>
  <c r="AJ91" i="54"/>
  <c r="X91" i="54"/>
  <c r="AK91" i="54" s="1"/>
  <c r="AH91" i="54" s="1"/>
  <c r="AR90" i="54"/>
  <c r="AO90" i="54"/>
  <c r="AJ90" i="54"/>
  <c r="X90" i="54"/>
  <c r="AK90" i="54" s="1"/>
  <c r="AH90" i="54" s="1"/>
  <c r="AR89" i="54"/>
  <c r="AO89" i="54"/>
  <c r="AJ89" i="54"/>
  <c r="X89" i="54"/>
  <c r="AK89" i="54" s="1"/>
  <c r="AH89" i="54" s="1"/>
  <c r="AR88" i="54"/>
  <c r="AO88" i="54"/>
  <c r="AJ88" i="54"/>
  <c r="X88" i="54"/>
  <c r="AK88" i="54" s="1"/>
  <c r="AH88" i="54" s="1"/>
  <c r="AR87" i="54"/>
  <c r="AO87" i="54"/>
  <c r="AJ87" i="54"/>
  <c r="X87" i="54"/>
  <c r="AK87" i="54" s="1"/>
  <c r="AH87" i="54" s="1"/>
  <c r="AR86" i="54"/>
  <c r="AO86" i="54"/>
  <c r="AJ86" i="54"/>
  <c r="X86" i="54"/>
  <c r="AR85" i="54"/>
  <c r="AO85" i="54"/>
  <c r="AJ85" i="54"/>
  <c r="X85" i="54"/>
  <c r="AR84" i="54"/>
  <c r="AO84" i="54"/>
  <c r="AJ84" i="54"/>
  <c r="X84" i="54"/>
  <c r="AK84" i="54" s="1"/>
  <c r="AH84" i="54" s="1"/>
  <c r="AR83" i="54"/>
  <c r="AO83" i="54"/>
  <c r="AJ83" i="54"/>
  <c r="X83" i="54"/>
  <c r="AK83" i="54" s="1"/>
  <c r="AH83" i="54" s="1"/>
  <c r="AR82" i="54"/>
  <c r="AO82" i="54"/>
  <c r="AJ82" i="54"/>
  <c r="X82" i="54"/>
  <c r="AK82" i="54" s="1"/>
  <c r="AH82" i="54" s="1"/>
  <c r="AR81" i="54"/>
  <c r="AO81" i="54"/>
  <c r="AJ81" i="54"/>
  <c r="X81" i="54"/>
  <c r="AK81" i="54" s="1"/>
  <c r="AH81" i="54" s="1"/>
  <c r="AR80" i="54"/>
  <c r="AO80" i="54"/>
  <c r="AJ80" i="54"/>
  <c r="X80" i="54"/>
  <c r="AR79" i="54"/>
  <c r="AO79" i="54"/>
  <c r="AJ79" i="54"/>
  <c r="X79" i="54"/>
  <c r="AK79" i="54" s="1"/>
  <c r="AH79" i="54" s="1"/>
  <c r="AR78" i="54"/>
  <c r="AO78" i="54"/>
  <c r="AJ78" i="54"/>
  <c r="X78" i="54"/>
  <c r="AK78" i="54" s="1"/>
  <c r="AH78" i="54" s="1"/>
  <c r="AR77" i="54"/>
  <c r="AO77" i="54"/>
  <c r="AJ77" i="54"/>
  <c r="X77" i="54"/>
  <c r="AK77" i="54" s="1"/>
  <c r="AH77" i="54" s="1"/>
  <c r="AN77" i="54" s="1"/>
  <c r="AR76" i="54"/>
  <c r="AO76" i="54"/>
  <c r="AJ76" i="54"/>
  <c r="X76" i="54"/>
  <c r="AK76" i="54" s="1"/>
  <c r="AH76" i="54" s="1"/>
  <c r="AN76" i="54" s="1"/>
  <c r="AR75" i="54"/>
  <c r="AO75" i="54"/>
  <c r="AJ75" i="54"/>
  <c r="X75" i="54"/>
  <c r="AK75" i="54" s="1"/>
  <c r="AH75" i="54" s="1"/>
  <c r="AR74" i="54"/>
  <c r="AO74" i="54"/>
  <c r="AJ74" i="54"/>
  <c r="X74" i="54"/>
  <c r="AK74" i="54" s="1"/>
  <c r="AH74" i="54" s="1"/>
  <c r="AR73" i="54"/>
  <c r="AO73" i="54"/>
  <c r="AJ73" i="54"/>
  <c r="X73" i="54"/>
  <c r="AK73" i="54" s="1"/>
  <c r="AH73" i="54" s="1"/>
  <c r="AR72" i="54"/>
  <c r="AO72" i="54"/>
  <c r="AJ72" i="54"/>
  <c r="X72" i="54"/>
  <c r="AK72" i="54" s="1"/>
  <c r="AH72" i="54" s="1"/>
  <c r="AR71" i="54"/>
  <c r="AO71" i="54"/>
  <c r="AJ71" i="54"/>
  <c r="X71" i="54"/>
  <c r="AK71" i="54" s="1"/>
  <c r="AH71" i="54" s="1"/>
  <c r="AR70" i="54"/>
  <c r="AO70" i="54"/>
  <c r="AJ70" i="54"/>
  <c r="X70" i="54"/>
  <c r="AK70" i="54" s="1"/>
  <c r="AH70" i="54" s="1"/>
  <c r="AR69" i="54"/>
  <c r="AO69" i="54"/>
  <c r="AN69" i="54"/>
  <c r="AI69" i="54"/>
  <c r="AJ69" i="54" s="1"/>
  <c r="X69" i="54"/>
  <c r="AK69" i="54" s="1"/>
  <c r="AH69" i="54" s="1"/>
  <c r="AM69" i="54" s="1"/>
  <c r="AR68" i="54"/>
  <c r="AO68" i="54"/>
  <c r="AJ68" i="54"/>
  <c r="X68" i="54"/>
  <c r="AK68" i="54" s="1"/>
  <c r="AH68" i="54" s="1"/>
  <c r="AN68" i="54" s="1"/>
  <c r="AR67" i="54"/>
  <c r="AO67" i="54"/>
  <c r="AN67" i="54"/>
  <c r="AI67" i="54"/>
  <c r="AJ67" i="54" s="1"/>
  <c r="X67" i="54"/>
  <c r="AK67" i="54" s="1"/>
  <c r="AH67" i="54" s="1"/>
  <c r="AM67" i="54" s="1"/>
  <c r="AR66" i="54"/>
  <c r="AO66" i="54"/>
  <c r="AN66" i="54"/>
  <c r="AI66" i="54"/>
  <c r="AJ66" i="54" s="1"/>
  <c r="X66" i="54"/>
  <c r="AK66" i="54" s="1"/>
  <c r="AH66" i="54" s="1"/>
  <c r="AM66" i="54" s="1"/>
  <c r="AR65" i="54"/>
  <c r="AO65" i="54"/>
  <c r="AN65" i="54"/>
  <c r="AI65" i="54"/>
  <c r="AJ65" i="54" s="1"/>
  <c r="X65" i="54"/>
  <c r="AK65" i="54" s="1"/>
  <c r="AH65" i="54" s="1"/>
  <c r="AM65" i="54" s="1"/>
  <c r="AR64" i="54"/>
  <c r="AO64" i="54"/>
  <c r="AN64" i="54"/>
  <c r="AI64" i="54"/>
  <c r="AJ64" i="54" s="1"/>
  <c r="X64" i="54"/>
  <c r="AK64" i="54" s="1"/>
  <c r="AH64" i="54" s="1"/>
  <c r="AM64" i="54" s="1"/>
  <c r="AR63" i="54"/>
  <c r="AO63" i="54"/>
  <c r="AN63" i="54"/>
  <c r="AI63" i="54"/>
  <c r="AJ63" i="54" s="1"/>
  <c r="X63" i="54"/>
  <c r="AK63" i="54" s="1"/>
  <c r="AH63" i="54" s="1"/>
  <c r="AM63" i="54" s="1"/>
  <c r="AR62" i="54"/>
  <c r="AO62" i="54"/>
  <c r="AN62" i="54"/>
  <c r="AI62" i="54"/>
  <c r="AJ62" i="54" s="1"/>
  <c r="X62" i="54"/>
  <c r="AK62" i="54" s="1"/>
  <c r="AH62" i="54" s="1"/>
  <c r="AM62" i="54" s="1"/>
  <c r="AR61" i="54"/>
  <c r="AO61" i="54"/>
  <c r="AN61" i="54"/>
  <c r="AI61" i="54"/>
  <c r="AJ61" i="54" s="1"/>
  <c r="X61" i="54"/>
  <c r="AK61" i="54" s="1"/>
  <c r="AH61" i="54" s="1"/>
  <c r="AM61" i="54" s="1"/>
  <c r="AR60" i="54"/>
  <c r="AO60" i="54"/>
  <c r="AN60" i="54"/>
  <c r="AI60" i="54"/>
  <c r="AJ60" i="54" s="1"/>
  <c r="X60" i="54"/>
  <c r="AK60" i="54" s="1"/>
  <c r="AH60" i="54" s="1"/>
  <c r="AM60" i="54" s="1"/>
  <c r="AR59" i="54"/>
  <c r="AO59" i="54"/>
  <c r="AN59" i="54"/>
  <c r="AI59" i="54"/>
  <c r="AJ59" i="54" s="1"/>
  <c r="X59" i="54"/>
  <c r="AK59" i="54" s="1"/>
  <c r="AH59" i="54" s="1"/>
  <c r="AM59" i="54" s="1"/>
  <c r="AR58" i="54"/>
  <c r="AO58" i="54"/>
  <c r="AN58" i="54"/>
  <c r="AI58" i="54"/>
  <c r="AJ58" i="54" s="1"/>
  <c r="X58" i="54"/>
  <c r="AK58" i="54" s="1"/>
  <c r="AH58" i="54" s="1"/>
  <c r="AM58" i="54" s="1"/>
  <c r="AR57" i="54"/>
  <c r="AO57" i="54"/>
  <c r="AJ57" i="54"/>
  <c r="X57" i="54"/>
  <c r="AK57" i="54" s="1"/>
  <c r="AH57" i="54" s="1"/>
  <c r="AR56" i="54"/>
  <c r="AO56" i="54"/>
  <c r="AJ56" i="54"/>
  <c r="X56" i="54"/>
  <c r="AK56" i="54" s="1"/>
  <c r="AH56" i="54" s="1"/>
  <c r="AR55" i="54"/>
  <c r="AO55" i="54"/>
  <c r="AJ55" i="54"/>
  <c r="X55" i="54"/>
  <c r="AK55" i="54" s="1"/>
  <c r="AH55" i="54" s="1"/>
  <c r="AR54" i="54"/>
  <c r="AO54" i="54"/>
  <c r="AJ54" i="54"/>
  <c r="X54" i="54"/>
  <c r="AK54" i="54" s="1"/>
  <c r="AH54" i="54" s="1"/>
  <c r="AR53" i="54"/>
  <c r="AO53" i="54"/>
  <c r="AJ53" i="54"/>
  <c r="X53" i="54"/>
  <c r="AK53" i="54" s="1"/>
  <c r="AH53" i="54" s="1"/>
  <c r="AR52" i="54"/>
  <c r="AO52" i="54"/>
  <c r="AN52" i="54"/>
  <c r="AI52" i="54"/>
  <c r="AJ52" i="54" s="1"/>
  <c r="X52" i="54"/>
  <c r="AK52" i="54" s="1"/>
  <c r="AH52" i="54" s="1"/>
  <c r="AM52" i="54" s="1"/>
  <c r="AR51" i="54"/>
  <c r="AO51" i="54"/>
  <c r="AN51" i="54"/>
  <c r="AI51" i="54"/>
  <c r="AJ51" i="54" s="1"/>
  <c r="X51" i="54"/>
  <c r="AK51" i="54" s="1"/>
  <c r="AH51" i="54" s="1"/>
  <c r="AM51" i="54" s="1"/>
  <c r="AR50" i="54"/>
  <c r="AO50" i="54"/>
  <c r="AN50" i="54"/>
  <c r="AI50" i="54"/>
  <c r="AJ50" i="54" s="1"/>
  <c r="X50" i="54"/>
  <c r="AK50" i="54" s="1"/>
  <c r="AH50" i="54" s="1"/>
  <c r="AM50" i="54" s="1"/>
  <c r="AR49" i="54"/>
  <c r="AO49" i="54"/>
  <c r="AN49" i="54"/>
  <c r="AI49" i="54"/>
  <c r="AJ49" i="54" s="1"/>
  <c r="X49" i="54"/>
  <c r="AK49" i="54" s="1"/>
  <c r="AH49" i="54" s="1"/>
  <c r="AM49" i="54" s="1"/>
  <c r="AR48" i="54"/>
  <c r="AO48" i="54"/>
  <c r="AN48" i="54"/>
  <c r="AI48" i="54"/>
  <c r="AJ48" i="54" s="1"/>
  <c r="X48" i="54"/>
  <c r="AK48" i="54" s="1"/>
  <c r="AH48" i="54" s="1"/>
  <c r="AM48" i="54" s="1"/>
  <c r="AR47" i="54"/>
  <c r="AO47" i="54"/>
  <c r="AN47" i="54"/>
  <c r="AI47" i="54"/>
  <c r="AJ47" i="54" s="1"/>
  <c r="X47" i="54"/>
  <c r="AK47" i="54" s="1"/>
  <c r="AH47" i="54" s="1"/>
  <c r="AM47" i="54" s="1"/>
  <c r="AR46" i="54"/>
  <c r="AO46" i="54"/>
  <c r="AN46" i="54"/>
  <c r="AI46" i="54"/>
  <c r="AJ46" i="54" s="1"/>
  <c r="X46" i="54"/>
  <c r="AK46" i="54" s="1"/>
  <c r="AH46" i="54" s="1"/>
  <c r="AM46" i="54" s="1"/>
  <c r="AR45" i="54"/>
  <c r="AO45" i="54"/>
  <c r="AN45" i="54"/>
  <c r="AI45" i="54"/>
  <c r="AJ45" i="54" s="1"/>
  <c r="X45" i="54"/>
  <c r="AK45" i="54" s="1"/>
  <c r="AH45" i="54" s="1"/>
  <c r="AM45" i="54" s="1"/>
  <c r="AR44" i="54"/>
  <c r="AO44" i="54"/>
  <c r="AN44" i="54"/>
  <c r="AI44" i="54"/>
  <c r="AJ44" i="54" s="1"/>
  <c r="X44" i="54"/>
  <c r="AK44" i="54" s="1"/>
  <c r="AH44" i="54" s="1"/>
  <c r="AM44" i="54" s="1"/>
  <c r="AR43" i="54"/>
  <c r="AO43" i="54"/>
  <c r="AN43" i="54"/>
  <c r="AI43" i="54"/>
  <c r="AJ43" i="54" s="1"/>
  <c r="X43" i="54"/>
  <c r="AK43" i="54" s="1"/>
  <c r="AH43" i="54" s="1"/>
  <c r="AM43" i="54" s="1"/>
  <c r="AR42" i="54"/>
  <c r="AO42" i="54"/>
  <c r="AN42" i="54"/>
  <c r="AI42" i="54"/>
  <c r="AJ42" i="54" s="1"/>
  <c r="X42" i="54"/>
  <c r="AK42" i="54" s="1"/>
  <c r="AH42" i="54" s="1"/>
  <c r="AM42" i="54" s="1"/>
  <c r="AR41" i="54"/>
  <c r="AO41" i="54"/>
  <c r="AN41" i="54"/>
  <c r="AI41" i="54"/>
  <c r="AJ41" i="54" s="1"/>
  <c r="X41" i="54"/>
  <c r="AK41" i="54" s="1"/>
  <c r="AH41" i="54" s="1"/>
  <c r="AM41" i="54" s="1"/>
  <c r="AR40" i="54"/>
  <c r="AO40" i="54"/>
  <c r="AN40" i="54"/>
  <c r="AI40" i="54"/>
  <c r="AJ40" i="54" s="1"/>
  <c r="X40" i="54"/>
  <c r="AK40" i="54" s="1"/>
  <c r="AH40" i="54" s="1"/>
  <c r="AM40" i="54" s="1"/>
  <c r="AR39" i="54"/>
  <c r="AO39" i="54"/>
  <c r="AN39" i="54"/>
  <c r="AI39" i="54"/>
  <c r="AJ39" i="54" s="1"/>
  <c r="X39" i="54"/>
  <c r="AK39" i="54" s="1"/>
  <c r="AH39" i="54" s="1"/>
  <c r="AM39" i="54" s="1"/>
  <c r="AR38" i="54"/>
  <c r="AO38" i="54"/>
  <c r="AN38" i="54"/>
  <c r="AI38" i="54"/>
  <c r="AJ38" i="54" s="1"/>
  <c r="X38" i="54"/>
  <c r="AK38" i="54" s="1"/>
  <c r="AH38" i="54" s="1"/>
  <c r="AM38" i="54" s="1"/>
  <c r="AR37" i="54"/>
  <c r="AO37" i="54"/>
  <c r="AN37" i="54"/>
  <c r="AI37" i="54"/>
  <c r="AJ37" i="54" s="1"/>
  <c r="X37" i="54"/>
  <c r="AK37" i="54" s="1"/>
  <c r="AH37" i="54" s="1"/>
  <c r="AM37" i="54" s="1"/>
  <c r="AR36" i="54"/>
  <c r="AO36" i="54"/>
  <c r="AJ36" i="54"/>
  <c r="X36" i="54"/>
  <c r="AK36" i="54" s="1"/>
  <c r="AH36" i="54" s="1"/>
  <c r="AR35" i="54"/>
  <c r="AO35" i="54"/>
  <c r="AN35" i="54"/>
  <c r="AI35" i="54"/>
  <c r="AJ35" i="54" s="1"/>
  <c r="X35" i="54"/>
  <c r="AK35" i="54" s="1"/>
  <c r="AH35" i="54" s="1"/>
  <c r="AM35" i="54" s="1"/>
  <c r="AR34" i="54"/>
  <c r="AO34" i="54"/>
  <c r="AN34" i="54"/>
  <c r="AI34" i="54"/>
  <c r="AJ34" i="54" s="1"/>
  <c r="X34" i="54"/>
  <c r="AK34" i="54" s="1"/>
  <c r="AH34" i="54" s="1"/>
  <c r="AM34" i="54" s="1"/>
  <c r="AR33" i="54"/>
  <c r="AO33" i="54"/>
  <c r="AN33" i="54"/>
  <c r="AI33" i="54"/>
  <c r="AJ33" i="54" s="1"/>
  <c r="X33" i="54"/>
  <c r="AK33" i="54" s="1"/>
  <c r="AH33" i="54" s="1"/>
  <c r="AM33" i="54" s="1"/>
  <c r="AR32" i="54"/>
  <c r="AO32" i="54"/>
  <c r="AN32" i="54"/>
  <c r="AI32" i="54"/>
  <c r="AJ32" i="54" s="1"/>
  <c r="X32" i="54"/>
  <c r="AK32" i="54" s="1"/>
  <c r="AH32" i="54" s="1"/>
  <c r="AM32" i="54" s="1"/>
  <c r="AR31" i="54"/>
  <c r="AO31" i="54"/>
  <c r="AN31" i="54"/>
  <c r="AI31" i="54"/>
  <c r="AJ31" i="54" s="1"/>
  <c r="X31" i="54"/>
  <c r="AK31" i="54" s="1"/>
  <c r="AH31" i="54" s="1"/>
  <c r="AM31" i="54" s="1"/>
  <c r="AR30" i="54"/>
  <c r="AO30" i="54"/>
  <c r="AN30" i="54"/>
  <c r="AI30" i="54"/>
  <c r="AJ30" i="54" s="1"/>
  <c r="X30" i="54"/>
  <c r="AK30" i="54" s="1"/>
  <c r="AH30" i="54" s="1"/>
  <c r="AM30" i="54" s="1"/>
  <c r="AR29" i="54"/>
  <c r="AO29" i="54"/>
  <c r="AN29" i="54"/>
  <c r="AI29" i="54"/>
  <c r="AJ29" i="54" s="1"/>
  <c r="X29" i="54"/>
  <c r="AK29" i="54" s="1"/>
  <c r="AH29" i="54" s="1"/>
  <c r="AM29" i="54" s="1"/>
  <c r="AR28" i="54"/>
  <c r="AO28" i="54"/>
  <c r="AJ28" i="54"/>
  <c r="X28" i="54"/>
  <c r="AK28" i="54" s="1"/>
  <c r="AH28" i="54" s="1"/>
  <c r="AR27" i="54"/>
  <c r="AO27" i="54"/>
  <c r="AJ27" i="54"/>
  <c r="X27" i="54"/>
  <c r="AK27" i="54" s="1"/>
  <c r="AH27" i="54" s="1"/>
  <c r="AR26" i="54"/>
  <c r="AO26" i="54"/>
  <c r="AJ26" i="54"/>
  <c r="X26" i="54"/>
  <c r="AK26" i="54" s="1"/>
  <c r="AH26" i="54" s="1"/>
  <c r="AN26" i="54" s="1"/>
  <c r="AR25" i="54"/>
  <c r="AO25" i="54"/>
  <c r="AJ25" i="54"/>
  <c r="X25" i="54"/>
  <c r="AK25" i="54" s="1"/>
  <c r="AH25" i="54" s="1"/>
  <c r="AM25" i="54" s="1"/>
  <c r="AR24" i="54"/>
  <c r="AO24" i="54"/>
  <c r="AJ24" i="54"/>
  <c r="X24" i="54"/>
  <c r="AK24" i="54" s="1"/>
  <c r="AH24" i="54" s="1"/>
  <c r="AR23" i="54"/>
  <c r="AO23" i="54"/>
  <c r="AJ23" i="54"/>
  <c r="X23" i="54"/>
  <c r="AK23" i="54" s="1"/>
  <c r="AH23" i="54" s="1"/>
  <c r="AR22" i="54"/>
  <c r="AO22" i="54"/>
  <c r="AN22" i="54"/>
  <c r="AI22" i="54"/>
  <c r="AJ22" i="54" s="1"/>
  <c r="X22" i="54"/>
  <c r="AK22" i="54" s="1"/>
  <c r="AH22" i="54" s="1"/>
  <c r="AM22" i="54" s="1"/>
  <c r="AR21" i="54"/>
  <c r="AO21" i="54"/>
  <c r="AN21" i="54"/>
  <c r="AI21" i="54"/>
  <c r="AJ21" i="54" s="1"/>
  <c r="X21" i="54"/>
  <c r="AK21" i="54" s="1"/>
  <c r="AH21" i="54" s="1"/>
  <c r="AM21" i="54" s="1"/>
  <c r="AR20" i="54"/>
  <c r="AO20" i="54"/>
  <c r="AN20" i="54"/>
  <c r="AI20" i="54"/>
  <c r="AJ20" i="54" s="1"/>
  <c r="X20" i="54"/>
  <c r="AK20" i="54" s="1"/>
  <c r="AH20" i="54" s="1"/>
  <c r="AM20" i="54" s="1"/>
  <c r="AR19" i="54"/>
  <c r="AO19" i="54"/>
  <c r="AN19" i="54"/>
  <c r="AI19" i="54"/>
  <c r="AJ19" i="54" s="1"/>
  <c r="X19" i="54"/>
  <c r="AK19" i="54" s="1"/>
  <c r="AH19" i="54" s="1"/>
  <c r="AM19" i="54" s="1"/>
  <c r="AR18" i="54"/>
  <c r="AO18" i="54"/>
  <c r="AN18" i="54"/>
  <c r="AI18" i="54"/>
  <c r="AJ18" i="54" s="1"/>
  <c r="X18" i="54"/>
  <c r="AK18" i="54" s="1"/>
  <c r="AH18" i="54" s="1"/>
  <c r="AM18" i="54" s="1"/>
  <c r="AR17" i="54"/>
  <c r="AO17" i="54"/>
  <c r="AN17" i="54"/>
  <c r="AJ17" i="54"/>
  <c r="X17" i="54"/>
  <c r="AK17" i="54" s="1"/>
  <c r="AH17" i="54" s="1"/>
  <c r="AM17" i="54" s="1"/>
  <c r="AR16" i="54"/>
  <c r="AO16" i="54"/>
  <c r="AN16" i="54"/>
  <c r="AI16" i="54"/>
  <c r="AJ16" i="54" s="1"/>
  <c r="X16" i="54"/>
  <c r="AK16" i="54" s="1"/>
  <c r="AH16" i="54" s="1"/>
  <c r="AM16" i="54" s="1"/>
  <c r="AR15" i="54"/>
  <c r="AO15" i="54"/>
  <c r="AJ15" i="54"/>
  <c r="X15" i="54"/>
  <c r="AK15" i="54" s="1"/>
  <c r="AH15" i="54" s="1"/>
  <c r="AR14" i="54"/>
  <c r="AO14" i="54"/>
  <c r="AJ14" i="54"/>
  <c r="X14" i="54"/>
  <c r="AK14" i="54" s="1"/>
  <c r="AH14" i="54" s="1"/>
  <c r="AR13" i="54"/>
  <c r="AO13" i="54"/>
  <c r="AJ13" i="54"/>
  <c r="X13" i="54"/>
  <c r="AR12" i="54"/>
  <c r="AO12" i="54"/>
  <c r="AJ12" i="54"/>
  <c r="X12" i="54"/>
  <c r="AK12" i="54" s="1"/>
  <c r="AH12" i="54" s="1"/>
  <c r="AR11" i="54"/>
  <c r="AO11" i="54"/>
  <c r="AJ11" i="54"/>
  <c r="X11" i="54"/>
  <c r="AK11" i="54" s="1"/>
  <c r="AH11" i="54" s="1"/>
  <c r="AN11" i="54" s="1"/>
  <c r="AR10" i="54"/>
  <c r="AO10" i="54"/>
  <c r="AJ10" i="54"/>
  <c r="X10" i="54"/>
  <c r="AK10" i="54" s="1"/>
  <c r="AH10" i="54" s="1"/>
  <c r="AR9" i="54"/>
  <c r="AO9" i="54"/>
  <c r="AJ9" i="54"/>
  <c r="X9" i="54"/>
  <c r="AK9" i="54" s="1"/>
  <c r="AH9" i="54" s="1"/>
  <c r="AN9" i="54" s="1"/>
  <c r="AR8" i="54"/>
  <c r="AO8" i="54"/>
  <c r="AJ8" i="54"/>
  <c r="X8" i="54"/>
  <c r="AK8" i="54" s="1"/>
  <c r="AH8" i="54" s="1"/>
  <c r="AM8" i="54" s="1"/>
  <c r="AR7" i="54"/>
  <c r="AO7" i="54"/>
  <c r="AJ7" i="54"/>
  <c r="X7" i="54"/>
  <c r="AK7" i="54" s="1"/>
  <c r="AH7" i="54" s="1"/>
  <c r="AR6" i="54"/>
  <c r="AO6" i="54"/>
  <c r="AJ6" i="54"/>
  <c r="X6" i="54"/>
  <c r="AK6" i="54" s="1"/>
  <c r="AH6" i="54" s="1"/>
  <c r="AR5" i="54"/>
  <c r="AO5" i="54"/>
  <c r="AJ5" i="54"/>
  <c r="X5" i="54"/>
  <c r="AK5" i="54" s="1"/>
  <c r="AH5" i="54" s="1"/>
  <c r="AM5" i="54" s="1"/>
  <c r="AR4" i="54"/>
  <c r="AO4" i="54"/>
  <c r="AJ4" i="54"/>
  <c r="X4" i="54"/>
  <c r="AK4" i="54" s="1"/>
  <c r="AH4" i="54" s="1"/>
  <c r="AR3" i="54"/>
  <c r="AO3" i="54"/>
  <c r="AJ3" i="54"/>
  <c r="X3" i="54"/>
  <c r="AK3" i="54" s="1"/>
  <c r="AH3" i="54" s="1"/>
  <c r="AN3" i="54" s="1"/>
  <c r="AR2" i="54"/>
  <c r="AO2" i="54"/>
  <c r="AJ2" i="54"/>
  <c r="X2" i="54"/>
  <c r="AK2" i="54" s="1"/>
  <c r="AH2" i="54" s="1"/>
  <c r="AM2" i="54" s="1"/>
  <c r="CE46" i="48" l="1"/>
  <c r="BW46" i="48"/>
  <c r="CD46" i="48"/>
  <c r="CC46" i="48"/>
  <c r="CB46" i="48"/>
  <c r="CA46" i="48"/>
  <c r="BZ46" i="48"/>
  <c r="BY46" i="48"/>
  <c r="CF46" i="48"/>
  <c r="BX46" i="48"/>
  <c r="CD44" i="48"/>
  <c r="BY44" i="48"/>
  <c r="CC44" i="48"/>
  <c r="CB44" i="48"/>
  <c r="BZ44" i="48"/>
  <c r="CA44" i="48"/>
  <c r="CF44" i="48"/>
  <c r="BX44" i="48"/>
  <c r="CE44" i="48"/>
  <c r="BW44" i="48"/>
  <c r="CC42" i="48"/>
  <c r="CF42" i="48"/>
  <c r="CB42" i="48"/>
  <c r="CA42" i="48"/>
  <c r="BX42" i="48"/>
  <c r="BZ42" i="48"/>
  <c r="BY42" i="48"/>
  <c r="CE42" i="48"/>
  <c r="BW42" i="48"/>
  <c r="CD42" i="48"/>
  <c r="CB40" i="48"/>
  <c r="CA40" i="48"/>
  <c r="CE40" i="48"/>
  <c r="BZ40" i="48"/>
  <c r="BX40" i="48"/>
  <c r="BY40" i="48"/>
  <c r="BW40" i="48"/>
  <c r="CF40" i="48"/>
  <c r="CC40" i="48"/>
  <c r="CD40" i="48"/>
  <c r="CA38" i="48"/>
  <c r="BW38" i="48"/>
  <c r="BZ38" i="48"/>
  <c r="BY38" i="48"/>
  <c r="CF38" i="48"/>
  <c r="BX38" i="48"/>
  <c r="CD38" i="48"/>
  <c r="CE38" i="48"/>
  <c r="CC38" i="48"/>
  <c r="CB38" i="48"/>
  <c r="BZ36" i="48"/>
  <c r="CC36" i="48"/>
  <c r="BY36" i="48"/>
  <c r="CF36" i="48"/>
  <c r="BX36" i="48"/>
  <c r="BW36" i="48"/>
  <c r="CD36" i="48"/>
  <c r="CE36" i="48"/>
  <c r="CA36" i="48"/>
  <c r="CB36" i="48"/>
  <c r="BY34" i="48"/>
  <c r="CF34" i="48"/>
  <c r="BX34" i="48"/>
  <c r="CC34" i="48"/>
  <c r="CB34" i="48"/>
  <c r="CE34" i="48"/>
  <c r="BW34" i="48"/>
  <c r="CD34" i="48"/>
  <c r="CA34" i="48"/>
  <c r="BZ34" i="48"/>
  <c r="CF32" i="48"/>
  <c r="BX32" i="48"/>
  <c r="CE32" i="48"/>
  <c r="BW32" i="48"/>
  <c r="CD32" i="48"/>
  <c r="CC32" i="48"/>
  <c r="CA32" i="48"/>
  <c r="CB32" i="48"/>
  <c r="BZ32" i="48"/>
  <c r="BY32" i="48"/>
  <c r="CE30" i="48"/>
  <c r="BW30" i="48"/>
  <c r="CD30" i="48"/>
  <c r="CC30" i="48"/>
  <c r="CA30" i="48"/>
  <c r="BZ30" i="48"/>
  <c r="CB30" i="48"/>
  <c r="BX30" i="48"/>
  <c r="BY30" i="48"/>
  <c r="CF30" i="48"/>
  <c r="CD28" i="48"/>
  <c r="CC28" i="48"/>
  <c r="BZ28" i="48"/>
  <c r="CB28" i="48"/>
  <c r="CA28" i="48"/>
  <c r="BY28" i="48"/>
  <c r="BW28" i="48"/>
  <c r="CE28" i="48"/>
  <c r="CF28" i="48"/>
  <c r="BX28" i="48"/>
  <c r="CC26" i="48"/>
  <c r="CB26" i="48"/>
  <c r="CA26" i="48"/>
  <c r="BZ26" i="48"/>
  <c r="BY26" i="48"/>
  <c r="CF26" i="48"/>
  <c r="BX26" i="48"/>
  <c r="CE26" i="48"/>
  <c r="BW26" i="48"/>
  <c r="CD26" i="48"/>
  <c r="CB24" i="48"/>
  <c r="CA24" i="48"/>
  <c r="BW24" i="48"/>
  <c r="BZ24" i="48"/>
  <c r="BY24" i="48"/>
  <c r="BX24" i="48"/>
  <c r="CE24" i="48"/>
  <c r="CF24" i="48"/>
  <c r="CD24" i="48"/>
  <c r="CC24" i="48"/>
  <c r="CA22" i="48"/>
  <c r="BZ22" i="48"/>
  <c r="BY22" i="48"/>
  <c r="CF22" i="48"/>
  <c r="BX22" i="48"/>
  <c r="BW22" i="48"/>
  <c r="CD22" i="48"/>
  <c r="CE22" i="48"/>
  <c r="CB22" i="48"/>
  <c r="CC22" i="48"/>
  <c r="BZ20" i="48"/>
  <c r="BY20" i="48"/>
  <c r="CF20" i="48"/>
  <c r="BX20" i="48"/>
  <c r="CD20" i="48"/>
  <c r="CE20" i="48"/>
  <c r="BW20" i="48"/>
  <c r="CC20" i="48"/>
  <c r="CB20" i="48"/>
  <c r="CA20" i="48"/>
  <c r="BY18" i="48"/>
  <c r="CC18" i="48"/>
  <c r="CF18" i="48"/>
  <c r="BX18" i="48"/>
  <c r="CE18" i="48"/>
  <c r="BW18" i="48"/>
  <c r="CD18" i="48"/>
  <c r="CB18" i="48"/>
  <c r="BZ18" i="48"/>
  <c r="CA18" i="48"/>
  <c r="CF16" i="48"/>
  <c r="BX16" i="48"/>
  <c r="CB16" i="48"/>
  <c r="CE16" i="48"/>
  <c r="BW16" i="48"/>
  <c r="CD16" i="48"/>
  <c r="CC16" i="48"/>
  <c r="CA16" i="48"/>
  <c r="BZ16" i="48"/>
  <c r="BY16" i="48"/>
  <c r="CE14" i="48"/>
  <c r="BW14" i="48"/>
  <c r="CD14" i="48"/>
  <c r="CC14" i="48"/>
  <c r="BZ14" i="48"/>
  <c r="CB14" i="48"/>
  <c r="CA14" i="48"/>
  <c r="CF14" i="48"/>
  <c r="BY14" i="48"/>
  <c r="BX14" i="48"/>
  <c r="CD12" i="48"/>
  <c r="CC12" i="48"/>
  <c r="BY12" i="48"/>
  <c r="CB12" i="48"/>
  <c r="CA12" i="48"/>
  <c r="BZ12" i="48"/>
  <c r="BW12" i="48"/>
  <c r="CF12" i="48"/>
  <c r="BX12" i="48"/>
  <c r="CE12" i="48"/>
  <c r="CC10" i="48"/>
  <c r="BY10" i="48"/>
  <c r="CB10" i="48"/>
  <c r="CA10" i="48"/>
  <c r="BZ10" i="48"/>
  <c r="CF10" i="48"/>
  <c r="BX10" i="48"/>
  <c r="CD10" i="48"/>
  <c r="CE10" i="48"/>
  <c r="BW10" i="48"/>
  <c r="CB8" i="48"/>
  <c r="CA8" i="48"/>
  <c r="BZ8" i="48"/>
  <c r="BX8" i="48"/>
  <c r="BY8" i="48"/>
  <c r="CE8" i="48"/>
  <c r="BW8" i="48"/>
  <c r="CF8" i="48"/>
  <c r="CC8" i="48"/>
  <c r="CD8" i="48"/>
  <c r="CA6" i="48"/>
  <c r="BZ6" i="48"/>
  <c r="BW6" i="48"/>
  <c r="CD6" i="48"/>
  <c r="BY6" i="48"/>
  <c r="CF6" i="48"/>
  <c r="BX6" i="48"/>
  <c r="CE6" i="48"/>
  <c r="CC6" i="48"/>
  <c r="CB6" i="48"/>
  <c r="BZ4" i="48"/>
  <c r="BY4" i="48"/>
  <c r="CF4" i="48"/>
  <c r="BX4" i="48"/>
  <c r="CC4" i="48"/>
  <c r="CE4" i="48"/>
  <c r="BW4" i="48"/>
  <c r="CD4" i="48"/>
  <c r="CA4" i="48"/>
  <c r="CB4" i="48"/>
  <c r="CF48" i="48"/>
  <c r="BX48" i="48"/>
  <c r="CA48" i="48"/>
  <c r="CE48" i="48"/>
  <c r="BW48" i="48"/>
  <c r="CD48" i="48"/>
  <c r="CB48" i="48"/>
  <c r="CC48" i="48"/>
  <c r="BY48" i="48"/>
  <c r="BZ48" i="48"/>
  <c r="BX47" i="48"/>
  <c r="CE47" i="48"/>
  <c r="BW47" i="48"/>
  <c r="CD47" i="48"/>
  <c r="CF47" i="48"/>
  <c r="CC47" i="48"/>
  <c r="CA47" i="48"/>
  <c r="CB47" i="48"/>
  <c r="BZ47" i="48"/>
  <c r="BY47" i="48"/>
  <c r="CG45" i="48"/>
  <c r="CD45" i="48"/>
  <c r="BW45" i="48"/>
  <c r="CC45" i="48"/>
  <c r="CB45" i="48"/>
  <c r="CA45" i="48"/>
  <c r="BZ45" i="48"/>
  <c r="BY45" i="48"/>
  <c r="BX45" i="48"/>
  <c r="CE45" i="48"/>
  <c r="CF45" i="48"/>
  <c r="CC43" i="48"/>
  <c r="CB43" i="48"/>
  <c r="CD43" i="48"/>
  <c r="CA43" i="48"/>
  <c r="BY43" i="48"/>
  <c r="BZ43" i="48"/>
  <c r="CF43" i="48"/>
  <c r="BX43" i="48"/>
  <c r="BW43" i="48"/>
  <c r="CE43" i="48"/>
  <c r="CB41" i="48"/>
  <c r="CF41" i="48"/>
  <c r="CA41" i="48"/>
  <c r="BZ41" i="48"/>
  <c r="BY41" i="48"/>
  <c r="BX41" i="48"/>
  <c r="CE41" i="48"/>
  <c r="BW41" i="48"/>
  <c r="CD41" i="48"/>
  <c r="CC41" i="48"/>
  <c r="CA39" i="48"/>
  <c r="BZ39" i="48"/>
  <c r="BW39" i="48"/>
  <c r="CE39" i="48"/>
  <c r="BY39" i="48"/>
  <c r="CB39" i="48"/>
  <c r="CF39" i="48"/>
  <c r="BX39" i="48"/>
  <c r="CD39" i="48"/>
  <c r="CC39" i="48"/>
  <c r="BZ37" i="48"/>
  <c r="BY37" i="48"/>
  <c r="CD37" i="48"/>
  <c r="CA37" i="48"/>
  <c r="CF37" i="48"/>
  <c r="BX37" i="48"/>
  <c r="CE37" i="48"/>
  <c r="BW37" i="48"/>
  <c r="CC37" i="48"/>
  <c r="CB37" i="48"/>
  <c r="CH35" i="48"/>
  <c r="BY35" i="48"/>
  <c r="BZ35" i="48"/>
  <c r="BX35" i="48"/>
  <c r="CF35" i="48"/>
  <c r="CE35" i="48"/>
  <c r="BW35" i="48"/>
  <c r="CC35" i="48"/>
  <c r="CD35" i="48"/>
  <c r="CB35" i="48"/>
  <c r="CA35" i="48"/>
  <c r="CB33" i="48"/>
  <c r="CF33" i="48"/>
  <c r="BX33" i="48"/>
  <c r="BW33" i="48"/>
  <c r="CE33" i="48"/>
  <c r="CD33" i="48"/>
  <c r="CC33" i="48"/>
  <c r="CA33" i="48"/>
  <c r="BZ33" i="48"/>
  <c r="BY33" i="48"/>
  <c r="CF31" i="48"/>
  <c r="CE31" i="48"/>
  <c r="BW31" i="48"/>
  <c r="CA31" i="48"/>
  <c r="CD31" i="48"/>
  <c r="CC31" i="48"/>
  <c r="BX31" i="48"/>
  <c r="CB31" i="48"/>
  <c r="BZ31" i="48"/>
  <c r="BY31" i="48"/>
  <c r="CD29" i="48"/>
  <c r="CE29" i="48"/>
  <c r="CC29" i="48"/>
  <c r="BZ29" i="48"/>
  <c r="CB29" i="48"/>
  <c r="CA29" i="48"/>
  <c r="BY29" i="48"/>
  <c r="CF29" i="48"/>
  <c r="BX29" i="48"/>
  <c r="BW29" i="48"/>
  <c r="BY27" i="48"/>
  <c r="CC27" i="48"/>
  <c r="CD27" i="48"/>
  <c r="CB27" i="48"/>
  <c r="CA27" i="48"/>
  <c r="BZ27" i="48"/>
  <c r="CF27" i="48"/>
  <c r="BX27" i="48"/>
  <c r="CE27" i="48"/>
  <c r="BW27" i="48"/>
  <c r="BX25" i="48"/>
  <c r="CB25" i="48"/>
  <c r="CA25" i="48"/>
  <c r="CC25" i="48"/>
  <c r="BZ25" i="48"/>
  <c r="BY25" i="48"/>
  <c r="CF25" i="48"/>
  <c r="CE25" i="48"/>
  <c r="BW25" i="48"/>
  <c r="CD25" i="48"/>
  <c r="CE23" i="48"/>
  <c r="CA23" i="48"/>
  <c r="BZ23" i="48"/>
  <c r="BY23" i="48"/>
  <c r="BW23" i="48"/>
  <c r="CF23" i="48"/>
  <c r="BX23" i="48"/>
  <c r="CD23" i="48"/>
  <c r="CB23" i="48"/>
  <c r="CC23" i="48"/>
  <c r="BZ21" i="48"/>
  <c r="BY21" i="48"/>
  <c r="CF21" i="48"/>
  <c r="BX21" i="48"/>
  <c r="CD21" i="48"/>
  <c r="CE21" i="48"/>
  <c r="BW21" i="48"/>
  <c r="CC21" i="48"/>
  <c r="CA21" i="48"/>
  <c r="CB21" i="48"/>
  <c r="BX19" i="48"/>
  <c r="CC19" i="48"/>
  <c r="BY19" i="48"/>
  <c r="CF19" i="48"/>
  <c r="CE19" i="48"/>
  <c r="BW19" i="48"/>
  <c r="BZ19" i="48"/>
  <c r="CD19" i="48"/>
  <c r="CB19" i="48"/>
  <c r="CA19" i="48"/>
  <c r="BW17" i="48"/>
  <c r="CF17" i="48"/>
  <c r="BX17" i="48"/>
  <c r="BY17" i="48"/>
  <c r="CE17" i="48"/>
  <c r="CD17" i="48"/>
  <c r="CB17" i="48"/>
  <c r="CC17" i="48"/>
  <c r="CA17" i="48"/>
  <c r="BZ17" i="48"/>
  <c r="CE15" i="48"/>
  <c r="BW15" i="48"/>
  <c r="CD15" i="48"/>
  <c r="BX15" i="48"/>
  <c r="CC15" i="48"/>
  <c r="CF15" i="48"/>
  <c r="CB15" i="48"/>
  <c r="CA15" i="48"/>
  <c r="BZ15" i="48"/>
  <c r="BY15" i="48"/>
  <c r="BZ13" i="48"/>
  <c r="CD13" i="48"/>
  <c r="CC13" i="48"/>
  <c r="CB13" i="48"/>
  <c r="BW13" i="48"/>
  <c r="CA13" i="48"/>
  <c r="BY13" i="48"/>
  <c r="CF13" i="48"/>
  <c r="BX13" i="48"/>
  <c r="CE13" i="48"/>
  <c r="CC11" i="48"/>
  <c r="CB11" i="48"/>
  <c r="CA11" i="48"/>
  <c r="BY11" i="48"/>
  <c r="CD11" i="48"/>
  <c r="BZ11" i="48"/>
  <c r="CF11" i="48"/>
  <c r="BX11" i="48"/>
  <c r="CE11" i="48"/>
  <c r="BW11" i="48"/>
  <c r="CB9" i="48"/>
  <c r="CA9" i="48"/>
  <c r="BZ9" i="48"/>
  <c r="CF9" i="48"/>
  <c r="BX9" i="48"/>
  <c r="CC9" i="48"/>
  <c r="BY9" i="48"/>
  <c r="CE9" i="48"/>
  <c r="BW9" i="48"/>
  <c r="CD9" i="48"/>
  <c r="CA7" i="48"/>
  <c r="BW7" i="48"/>
  <c r="BZ7" i="48"/>
  <c r="CB7" i="48"/>
  <c r="BY7" i="48"/>
  <c r="CE7" i="48"/>
  <c r="CF7" i="48"/>
  <c r="BX7" i="48"/>
  <c r="CD7" i="48"/>
  <c r="CC7" i="48"/>
  <c r="CH5" i="48"/>
  <c r="BY5" i="48"/>
  <c r="BZ5" i="48"/>
  <c r="CD5" i="48"/>
  <c r="CF5" i="48"/>
  <c r="BX5" i="48"/>
  <c r="CE5" i="48"/>
  <c r="BW5" i="48"/>
  <c r="CC5" i="48"/>
  <c r="CB5" i="48"/>
  <c r="CA5" i="48"/>
  <c r="BY3" i="48"/>
  <c r="BX3" i="48"/>
  <c r="CF3" i="48"/>
  <c r="CE3" i="48"/>
  <c r="BW3" i="48"/>
  <c r="CD3" i="48"/>
  <c r="CC3" i="48"/>
  <c r="BZ3" i="48"/>
  <c r="CB3" i="48"/>
  <c r="CA3" i="48"/>
  <c r="BW49" i="48"/>
  <c r="CF49" i="48"/>
  <c r="BX49" i="48"/>
  <c r="CE49" i="48"/>
  <c r="CD49" i="48"/>
  <c r="CB49" i="48"/>
  <c r="CC49" i="48"/>
  <c r="CA49" i="48"/>
  <c r="BY49" i="48"/>
  <c r="BZ49" i="48"/>
  <c r="AL214" i="53"/>
  <c r="AL156" i="53"/>
  <c r="AL23" i="53"/>
  <c r="AL27" i="53"/>
  <c r="AL32" i="53"/>
  <c r="AL205" i="53"/>
  <c r="AO87" i="53"/>
  <c r="AL87" i="53"/>
  <c r="AL20" i="53"/>
  <c r="AL200" i="53"/>
  <c r="AL35" i="53"/>
  <c r="AL135" i="53"/>
  <c r="AJ48" i="53"/>
  <c r="AL48" i="53"/>
  <c r="AL227" i="53"/>
  <c r="AL67" i="53"/>
  <c r="AL164" i="53"/>
  <c r="AL173" i="53"/>
  <c r="AL195" i="53"/>
  <c r="AL150" i="53"/>
  <c r="AL197" i="53"/>
  <c r="AL128" i="53"/>
  <c r="AL212" i="53"/>
  <c r="AL70" i="53"/>
  <c r="AL76" i="53"/>
  <c r="AO182" i="53"/>
  <c r="AL182" i="53"/>
  <c r="AJ106" i="53"/>
  <c r="AL106" i="53"/>
  <c r="AL107" i="53"/>
  <c r="AL170" i="53"/>
  <c r="AL112" i="53"/>
  <c r="AL171" i="53"/>
  <c r="AL125" i="53"/>
  <c r="AL210" i="53"/>
  <c r="AL45" i="53"/>
  <c r="AJ52" i="53"/>
  <c r="AL52" i="53"/>
  <c r="AL55" i="53"/>
  <c r="AL151" i="53"/>
  <c r="AL157" i="53"/>
  <c r="AL283" i="53"/>
  <c r="AL233" i="53"/>
  <c r="AL169" i="53"/>
  <c r="AL198" i="53"/>
  <c r="AL124" i="53"/>
  <c r="AL134" i="53"/>
  <c r="AJ44" i="53"/>
  <c r="AL44" i="53"/>
  <c r="AL51" i="53"/>
  <c r="AL109" i="53"/>
  <c r="AJ6" i="53"/>
  <c r="AL6" i="53"/>
  <c r="AO10" i="53"/>
  <c r="AL10" i="53"/>
  <c r="AL119" i="53"/>
  <c r="AL206" i="53"/>
  <c r="AL132" i="53"/>
  <c r="AL42" i="53"/>
  <c r="AL218" i="53"/>
  <c r="AL279" i="53"/>
  <c r="AL230" i="53"/>
  <c r="AL82" i="53"/>
  <c r="AL203" i="53"/>
  <c r="AL130" i="53"/>
  <c r="AJ140" i="53"/>
  <c r="AL140" i="53"/>
  <c r="AL122" i="53"/>
  <c r="AL37" i="53"/>
  <c r="AL39" i="53"/>
  <c r="AL143" i="53"/>
  <c r="AO146" i="53"/>
  <c r="AL146" i="53"/>
  <c r="AL225" i="53"/>
  <c r="AL281" i="53"/>
  <c r="AL73" i="53"/>
  <c r="AL79" i="53"/>
  <c r="AL194" i="53"/>
  <c r="AL29" i="53"/>
  <c r="AL117" i="53"/>
  <c r="AL114" i="53"/>
  <c r="AL34" i="53"/>
  <c r="AL129" i="53"/>
  <c r="AL207" i="53"/>
  <c r="AL276" i="53"/>
  <c r="AJ141" i="53"/>
  <c r="AL141" i="53"/>
  <c r="AL145" i="53"/>
  <c r="AJ222" i="53"/>
  <c r="AL222" i="53"/>
  <c r="AL71" i="53"/>
  <c r="AL166" i="53"/>
  <c r="AL149" i="53"/>
  <c r="AL221" i="53"/>
  <c r="AL21" i="53"/>
  <c r="AL274" i="53"/>
  <c r="AL108" i="53"/>
  <c r="AL113" i="53"/>
  <c r="AL201" i="53"/>
  <c r="AL126" i="53"/>
  <c r="AL136" i="53"/>
  <c r="AL139" i="53"/>
  <c r="AL215" i="53"/>
  <c r="AL228" i="53"/>
  <c r="AL68" i="53"/>
  <c r="AL165" i="53"/>
  <c r="AL174" i="53"/>
  <c r="AL18" i="53"/>
  <c r="AL275" i="53"/>
  <c r="AL46" i="53"/>
  <c r="AL53" i="53"/>
  <c r="AJ152" i="53"/>
  <c r="AL152" i="53"/>
  <c r="AL158" i="53"/>
  <c r="AL65" i="53"/>
  <c r="AJ162" i="53"/>
  <c r="AL162" i="53"/>
  <c r="AL234" i="53"/>
  <c r="AL25" i="53"/>
  <c r="AL33" i="53"/>
  <c r="AL19" i="53"/>
  <c r="AL110" i="53"/>
  <c r="AL17" i="53"/>
  <c r="AL123" i="53"/>
  <c r="AL133" i="53"/>
  <c r="AL43" i="53"/>
  <c r="AJ147" i="53"/>
  <c r="AL147" i="53"/>
  <c r="AJ219" i="53"/>
  <c r="AL219" i="53"/>
  <c r="AL280" i="53"/>
  <c r="AL231" i="53"/>
  <c r="AJ167" i="53"/>
  <c r="AL167" i="53"/>
  <c r="AL83" i="53"/>
  <c r="AL38" i="53"/>
  <c r="AJ40" i="53"/>
  <c r="AL40" i="53"/>
  <c r="AL216" i="53"/>
  <c r="AL226" i="53"/>
  <c r="AL74" i="53"/>
  <c r="AL80" i="53"/>
  <c r="AL47" i="53"/>
  <c r="AL144" i="53"/>
  <c r="AL159" i="53"/>
  <c r="AL111" i="53"/>
  <c r="AL24" i="53"/>
  <c r="AJ11" i="53"/>
  <c r="AL11" i="53"/>
  <c r="AJ102" i="53"/>
  <c r="AL102" i="53"/>
  <c r="AL31" i="53"/>
  <c r="AL199" i="53"/>
  <c r="AL22" i="53"/>
  <c r="AL26" i="53"/>
  <c r="AL118" i="53"/>
  <c r="AL115" i="53"/>
  <c r="AL120" i="53"/>
  <c r="AL208" i="53"/>
  <c r="AL213" i="53"/>
  <c r="AL49" i="53"/>
  <c r="AL277" i="53"/>
  <c r="AL223" i="53"/>
  <c r="AL155" i="53"/>
  <c r="AL72" i="53"/>
  <c r="AL77" i="53"/>
  <c r="AL204" i="53"/>
  <c r="AO190" i="53"/>
  <c r="AL190" i="53"/>
  <c r="AO192" i="53"/>
  <c r="AL192" i="53"/>
  <c r="AL95" i="53"/>
  <c r="AO99" i="53"/>
  <c r="AL99" i="53"/>
  <c r="AL196" i="53"/>
  <c r="AL202" i="53"/>
  <c r="AL127" i="53"/>
  <c r="AL36" i="53"/>
  <c r="AL137" i="53"/>
  <c r="AL172" i="53"/>
  <c r="AL148" i="53"/>
  <c r="AL220" i="53"/>
  <c r="AL69" i="53"/>
  <c r="AL75" i="53"/>
  <c r="AL175" i="53"/>
  <c r="AL211" i="53"/>
  <c r="AL66" i="53"/>
  <c r="AL163" i="53"/>
  <c r="AL235" i="53"/>
  <c r="AL239" i="53"/>
  <c r="AJ242" i="53"/>
  <c r="AL242" i="53"/>
  <c r="AL246" i="53"/>
  <c r="AJ250" i="53"/>
  <c r="AL250" i="53"/>
  <c r="AL282" i="53"/>
  <c r="AL232" i="53"/>
  <c r="AL168" i="53"/>
  <c r="AL209" i="53"/>
  <c r="AL41" i="53"/>
  <c r="AL217" i="53"/>
  <c r="AL229" i="53"/>
  <c r="AL81" i="53"/>
  <c r="AL273" i="53"/>
  <c r="AJ100" i="53"/>
  <c r="AL100" i="53"/>
  <c r="AL28" i="53"/>
  <c r="AL116" i="53"/>
  <c r="AL121" i="53"/>
  <c r="AL131" i="53"/>
  <c r="AL138" i="53"/>
  <c r="AL142" i="53"/>
  <c r="AL278" i="53"/>
  <c r="AL224" i="53"/>
  <c r="AO62" i="53"/>
  <c r="AL62" i="53"/>
  <c r="AL160" i="53"/>
  <c r="AL161" i="53"/>
  <c r="AJ78" i="53"/>
  <c r="AL78" i="53"/>
  <c r="CQ51" i="48"/>
  <c r="CQ50" i="48"/>
  <c r="CG29" i="48"/>
  <c r="CG13" i="48"/>
  <c r="CH34" i="48"/>
  <c r="CH8" i="48"/>
  <c r="CH6" i="48"/>
  <c r="AJ148" i="53"/>
  <c r="AJ57" i="53"/>
  <c r="AJ212" i="53"/>
  <c r="AJ208" i="53"/>
  <c r="AJ203" i="53"/>
  <c r="AJ198" i="53"/>
  <c r="AJ92" i="53"/>
  <c r="AJ112" i="53"/>
  <c r="AJ161" i="53"/>
  <c r="AJ107" i="53"/>
  <c r="AJ155" i="53"/>
  <c r="AJ177" i="53"/>
  <c r="CJ33" i="48"/>
  <c r="AJ249" i="53"/>
  <c r="AJ175" i="53"/>
  <c r="AJ77" i="53"/>
  <c r="AJ72" i="53"/>
  <c r="AJ61" i="53"/>
  <c r="AJ221" i="53"/>
  <c r="AJ215" i="53"/>
  <c r="AJ51" i="53"/>
  <c r="CJ42" i="48"/>
  <c r="AJ137" i="53"/>
  <c r="AJ207" i="53"/>
  <c r="AJ124" i="53"/>
  <c r="AJ202" i="53"/>
  <c r="AJ113" i="53"/>
  <c r="AJ16" i="53"/>
  <c r="AJ111" i="53"/>
  <c r="AJ23" i="53"/>
  <c r="CJ19" i="48"/>
  <c r="AJ248" i="53"/>
  <c r="AJ174" i="53"/>
  <c r="AJ166" i="53"/>
  <c r="AJ71" i="53"/>
  <c r="AJ281" i="53"/>
  <c r="AJ60" i="53"/>
  <c r="AJ220" i="53"/>
  <c r="AJ55" i="53"/>
  <c r="AJ50" i="53"/>
  <c r="AJ136" i="53"/>
  <c r="AJ130" i="53"/>
  <c r="AJ201" i="53"/>
  <c r="AJ17" i="53"/>
  <c r="AJ170" i="53"/>
  <c r="AJ15" i="53"/>
  <c r="AJ110" i="53"/>
  <c r="AJ25" i="53"/>
  <c r="AJ22" i="53"/>
  <c r="AJ247" i="53"/>
  <c r="AJ173" i="53"/>
  <c r="AJ76" i="53"/>
  <c r="AJ70" i="53"/>
  <c r="AJ160" i="53"/>
  <c r="AJ154" i="53"/>
  <c r="AJ214" i="53"/>
  <c r="CJ22" i="48"/>
  <c r="AJ135" i="53"/>
  <c r="AJ36" i="53"/>
  <c r="AJ123" i="53"/>
  <c r="AJ119" i="53"/>
  <c r="AJ14" i="53"/>
  <c r="AJ109" i="53"/>
  <c r="AJ24" i="53"/>
  <c r="AJ246" i="53"/>
  <c r="AJ235" i="53"/>
  <c r="AJ75" i="53"/>
  <c r="AJ69" i="53"/>
  <c r="AJ226" i="53"/>
  <c r="AJ47" i="53"/>
  <c r="AJ206" i="53"/>
  <c r="AJ200" i="53"/>
  <c r="AJ32" i="53"/>
  <c r="AJ28" i="53"/>
  <c r="AJ13" i="53"/>
  <c r="AJ21" i="53"/>
  <c r="AJ86" i="53"/>
  <c r="CJ6" i="48"/>
  <c r="AJ245" i="53"/>
  <c r="AJ234" i="53"/>
  <c r="AJ165" i="53"/>
  <c r="AJ63" i="53"/>
  <c r="AJ151" i="53"/>
  <c r="AJ146" i="53"/>
  <c r="AJ143" i="53"/>
  <c r="AJ46" i="53"/>
  <c r="AJ211" i="53"/>
  <c r="CJ50" i="48"/>
  <c r="CP50" i="48" s="1"/>
  <c r="AJ205" i="53"/>
  <c r="AJ33" i="53"/>
  <c r="AJ118" i="53"/>
  <c r="AJ103" i="53"/>
  <c r="AJ12" i="53"/>
  <c r="AJ27" i="53"/>
  <c r="AJ85" i="53"/>
  <c r="AJ244" i="53"/>
  <c r="AJ169" i="53"/>
  <c r="AJ164" i="53"/>
  <c r="AJ68" i="53"/>
  <c r="AJ228" i="53"/>
  <c r="AJ225" i="53"/>
  <c r="AJ150" i="53"/>
  <c r="AJ142" i="53"/>
  <c r="AJ45" i="53"/>
  <c r="AJ275" i="53"/>
  <c r="AJ204" i="53"/>
  <c r="AJ199" i="53"/>
  <c r="AJ117" i="53"/>
  <c r="AJ26" i="53"/>
  <c r="AJ20" i="53"/>
  <c r="AJ84" i="53"/>
  <c r="AJ176" i="53"/>
  <c r="AJ243" i="53"/>
  <c r="AJ168" i="53"/>
  <c r="AJ163" i="53"/>
  <c r="AJ67" i="53"/>
  <c r="AJ227" i="53"/>
  <c r="AJ210" i="53"/>
  <c r="AJ101" i="53"/>
  <c r="AJ10" i="53"/>
  <c r="AJ90" i="53"/>
  <c r="AJ5" i="53"/>
  <c r="AJ66" i="53"/>
  <c r="AJ224" i="53"/>
  <c r="AJ218" i="53"/>
  <c r="AJ278" i="53"/>
  <c r="AJ43" i="53"/>
  <c r="AJ134" i="53"/>
  <c r="AJ129" i="53"/>
  <c r="AJ195" i="53"/>
  <c r="AJ9" i="53"/>
  <c r="AJ274" i="53"/>
  <c r="AJ89" i="53"/>
  <c r="AJ4" i="53"/>
  <c r="AJ241" i="53"/>
  <c r="AJ233" i="53"/>
  <c r="AJ65" i="53"/>
  <c r="AJ159" i="53"/>
  <c r="AJ223" i="53"/>
  <c r="AJ277" i="53"/>
  <c r="AJ49" i="53"/>
  <c r="AJ139" i="53"/>
  <c r="AJ42" i="53"/>
  <c r="AJ133" i="53"/>
  <c r="AJ128" i="53"/>
  <c r="AJ122" i="53"/>
  <c r="AJ31" i="53"/>
  <c r="AJ99" i="53"/>
  <c r="AJ8" i="53"/>
  <c r="AJ273" i="53"/>
  <c r="AJ88" i="53"/>
  <c r="AJ3" i="53"/>
  <c r="AJ104" i="53"/>
  <c r="AJ82" i="53"/>
  <c r="AJ232" i="53"/>
  <c r="AJ158" i="53"/>
  <c r="AJ217" i="53"/>
  <c r="AJ145" i="53"/>
  <c r="AJ41" i="53"/>
  <c r="AJ132" i="53"/>
  <c r="AJ127" i="53"/>
  <c r="AJ121" i="53"/>
  <c r="AJ171" i="53"/>
  <c r="AJ98" i="53"/>
  <c r="AJ7" i="53"/>
  <c r="AJ190" i="53"/>
  <c r="AJ87" i="53"/>
  <c r="AJ183" i="53"/>
  <c r="AJ240" i="53"/>
  <c r="AJ81" i="53"/>
  <c r="AJ231" i="53"/>
  <c r="AJ157" i="53"/>
  <c r="AJ216" i="53"/>
  <c r="AJ209" i="53"/>
  <c r="AJ126" i="53"/>
  <c r="AJ120" i="53"/>
  <c r="AJ116" i="53"/>
  <c r="AJ97" i="53"/>
  <c r="AJ189" i="53"/>
  <c r="CJ11" i="48"/>
  <c r="AJ185" i="53"/>
  <c r="AJ182" i="53"/>
  <c r="AJ29" i="53"/>
  <c r="AJ239" i="53"/>
  <c r="AJ80" i="53"/>
  <c r="AJ230" i="53"/>
  <c r="AJ283" i="53"/>
  <c r="AJ156" i="53"/>
  <c r="AJ54" i="53"/>
  <c r="AJ39" i="53"/>
  <c r="AJ38" i="53"/>
  <c r="AJ35" i="53"/>
  <c r="AJ115" i="53"/>
  <c r="AJ194" i="53"/>
  <c r="AJ96" i="53"/>
  <c r="AJ193" i="53"/>
  <c r="AJ188" i="53"/>
  <c r="CJ10" i="48"/>
  <c r="AJ184" i="53"/>
  <c r="AJ181" i="53"/>
  <c r="AJ83" i="53"/>
  <c r="AJ238" i="53"/>
  <c r="AJ79" i="53"/>
  <c r="AJ229" i="53"/>
  <c r="AJ280" i="53"/>
  <c r="AJ59" i="53"/>
  <c r="AJ138" i="53"/>
  <c r="AJ19" i="53"/>
  <c r="AJ34" i="53"/>
  <c r="AJ114" i="53"/>
  <c r="AJ30" i="53"/>
  <c r="AJ95" i="53"/>
  <c r="AJ192" i="53"/>
  <c r="AJ187" i="53"/>
  <c r="AJ180" i="53"/>
  <c r="AJ105" i="53"/>
  <c r="AJ237" i="53"/>
  <c r="AJ74" i="53"/>
  <c r="AJ282" i="53"/>
  <c r="AJ279" i="53"/>
  <c r="AJ153" i="53"/>
  <c r="AJ56" i="53"/>
  <c r="AJ144" i="53"/>
  <c r="AJ213" i="53"/>
  <c r="AJ37" i="53"/>
  <c r="AJ18" i="53"/>
  <c r="AJ197" i="53"/>
  <c r="AJ94" i="53"/>
  <c r="AJ91" i="53"/>
  <c r="AJ179" i="53"/>
  <c r="AJ251" i="53"/>
  <c r="AJ236" i="53"/>
  <c r="AJ73" i="53"/>
  <c r="AJ64" i="53"/>
  <c r="AJ62" i="53"/>
  <c r="AJ58" i="53"/>
  <c r="AJ149" i="53"/>
  <c r="AJ53" i="53"/>
  <c r="AJ172" i="53"/>
  <c r="AJ276" i="53"/>
  <c r="AJ131" i="53"/>
  <c r="AJ125" i="53"/>
  <c r="AJ2" i="53"/>
  <c r="AJ196" i="53"/>
  <c r="AJ93" i="53"/>
  <c r="AJ191" i="53"/>
  <c r="AJ108" i="53"/>
  <c r="AJ186" i="53"/>
  <c r="AJ178" i="53"/>
  <c r="CI49" i="48"/>
  <c r="CI47" i="48"/>
  <c r="CI33" i="48"/>
  <c r="CI31" i="48"/>
  <c r="CI17" i="48"/>
  <c r="CI15" i="48"/>
  <c r="CI18" i="48"/>
  <c r="CI48" i="48"/>
  <c r="CI32" i="48"/>
  <c r="CI16" i="48"/>
  <c r="CI46" i="48"/>
  <c r="CI30" i="48"/>
  <c r="CI14" i="48"/>
  <c r="CI29" i="48"/>
  <c r="CI13" i="48"/>
  <c r="CI44" i="48"/>
  <c r="CI28" i="48"/>
  <c r="CI12" i="48"/>
  <c r="CI43" i="48"/>
  <c r="CI27" i="48"/>
  <c r="CI11" i="48"/>
  <c r="CI42" i="48"/>
  <c r="CI26" i="48"/>
  <c r="CI10" i="48"/>
  <c r="CI25" i="48"/>
  <c r="CI9" i="48"/>
  <c r="CI40" i="48"/>
  <c r="CI24" i="48"/>
  <c r="CI8" i="48"/>
  <c r="CI39" i="48"/>
  <c r="CI23" i="48"/>
  <c r="CI7" i="48"/>
  <c r="CI38" i="48"/>
  <c r="CI22" i="48"/>
  <c r="CI6" i="48"/>
  <c r="CI37" i="48"/>
  <c r="CI21" i="48"/>
  <c r="CI5" i="48"/>
  <c r="CI36" i="48"/>
  <c r="CI4" i="48"/>
  <c r="CI35" i="48"/>
  <c r="CI19" i="48"/>
  <c r="CI3" i="48"/>
  <c r="CG43" i="48"/>
  <c r="CG27" i="48"/>
  <c r="CG11" i="48"/>
  <c r="CH33" i="48"/>
  <c r="CH31" i="48"/>
  <c r="CG42" i="48"/>
  <c r="CG26" i="48"/>
  <c r="CG10" i="48"/>
  <c r="CH30" i="48"/>
  <c r="CG41" i="48"/>
  <c r="CG25" i="48"/>
  <c r="CH27" i="48"/>
  <c r="CG40" i="48"/>
  <c r="CG24" i="48"/>
  <c r="CH49" i="48"/>
  <c r="CH26" i="48"/>
  <c r="CG39" i="48"/>
  <c r="CG23" i="48"/>
  <c r="CH48" i="48"/>
  <c r="CH25" i="48"/>
  <c r="CG38" i="48"/>
  <c r="CG22" i="48"/>
  <c r="CH46" i="48"/>
  <c r="CH22" i="48"/>
  <c r="CG37" i="48"/>
  <c r="CG21" i="48"/>
  <c r="CH45" i="48"/>
  <c r="CH21" i="48"/>
  <c r="CG36" i="48"/>
  <c r="CG20" i="48"/>
  <c r="CH44" i="48"/>
  <c r="CH20" i="48"/>
  <c r="CG12" i="48"/>
  <c r="CG35" i="48"/>
  <c r="CG19" i="48"/>
  <c r="CH43" i="48"/>
  <c r="CH19" i="48"/>
  <c r="CG44" i="48"/>
  <c r="CG9" i="48"/>
  <c r="CG34" i="48"/>
  <c r="CG18" i="48"/>
  <c r="CH42" i="48"/>
  <c r="CH18" i="48"/>
  <c r="CG49" i="48"/>
  <c r="CG33" i="48"/>
  <c r="CG17" i="48"/>
  <c r="CH41" i="48"/>
  <c r="CH16" i="48"/>
  <c r="CG48" i="48"/>
  <c r="CG32" i="48"/>
  <c r="CG16" i="48"/>
  <c r="CH40" i="48"/>
  <c r="CH13" i="48"/>
  <c r="CG47" i="48"/>
  <c r="CG31" i="48"/>
  <c r="CG15" i="48"/>
  <c r="CH38" i="48"/>
  <c r="CG46" i="48"/>
  <c r="CG30" i="48"/>
  <c r="CG14" i="48"/>
  <c r="CG28" i="48"/>
  <c r="AQ42" i="53"/>
  <c r="AT42" i="53" s="1"/>
  <c r="CH17" i="48"/>
  <c r="CH32" i="48"/>
  <c r="CH47" i="48"/>
  <c r="CH15" i="48"/>
  <c r="CH14" i="48"/>
  <c r="CH29" i="48"/>
  <c r="CH28" i="48"/>
  <c r="CH12" i="48"/>
  <c r="CH11" i="48"/>
  <c r="CH10" i="48"/>
  <c r="CH9" i="48"/>
  <c r="CH24" i="48"/>
  <c r="CH39" i="48"/>
  <c r="CH23" i="48"/>
  <c r="CH7" i="48"/>
  <c r="CH37" i="48"/>
  <c r="CH36" i="48"/>
  <c r="CH4" i="48"/>
  <c r="CH3" i="48"/>
  <c r="AQ63" i="53"/>
  <c r="AQ223" i="53"/>
  <c r="AT223" i="53" s="1"/>
  <c r="AQ282" i="53"/>
  <c r="AT282" i="53" s="1"/>
  <c r="AQ228" i="53"/>
  <c r="AT228" i="53" s="1"/>
  <c r="AQ152" i="53"/>
  <c r="AQ69" i="53"/>
  <c r="AQ235" i="53"/>
  <c r="AQ133" i="53"/>
  <c r="AQ275" i="53"/>
  <c r="AT275" i="53" s="1"/>
  <c r="AQ280" i="53"/>
  <c r="AT280" i="53" s="1"/>
  <c r="AQ193" i="53"/>
  <c r="AQ9" i="53"/>
  <c r="AQ92" i="53"/>
  <c r="AQ96" i="53"/>
  <c r="AQ28" i="53"/>
  <c r="AT28" i="53" s="1"/>
  <c r="AQ138" i="53"/>
  <c r="AT138" i="53" s="1"/>
  <c r="AQ39" i="53"/>
  <c r="AT39" i="53" s="1"/>
  <c r="AQ201" i="53"/>
  <c r="AT201" i="53" s="1"/>
  <c r="AQ50" i="53"/>
  <c r="AQ3" i="53"/>
  <c r="AQ224" i="53"/>
  <c r="AT224" i="53" s="1"/>
  <c r="AQ277" i="53"/>
  <c r="AQ30" i="53"/>
  <c r="AQ114" i="53"/>
  <c r="AQ209" i="53"/>
  <c r="AQ136" i="53"/>
  <c r="AT136" i="53" s="1"/>
  <c r="AQ53" i="53"/>
  <c r="AT53" i="53" s="1"/>
  <c r="AQ54" i="53"/>
  <c r="AQ218" i="53"/>
  <c r="AT218" i="53" s="1"/>
  <c r="AQ200" i="53"/>
  <c r="AT200" i="53" s="1"/>
  <c r="AQ46" i="53"/>
  <c r="AT46" i="53" s="1"/>
  <c r="AQ198" i="53"/>
  <c r="AQ144" i="53"/>
  <c r="AQ51" i="53"/>
  <c r="AT51" i="53" s="1"/>
  <c r="AQ208" i="53"/>
  <c r="AT208" i="53" s="1"/>
  <c r="AQ192" i="53"/>
  <c r="AQ41" i="53"/>
  <c r="AQ150" i="53"/>
  <c r="AT150" i="53" s="1"/>
  <c r="AQ190" i="53"/>
  <c r="AQ199" i="53"/>
  <c r="AT199" i="53" s="1"/>
  <c r="AQ210" i="53"/>
  <c r="AQ216" i="53"/>
  <c r="AT216" i="53" s="1"/>
  <c r="AQ226" i="53"/>
  <c r="AT226" i="53" s="1"/>
  <c r="AQ163" i="53"/>
  <c r="AT163" i="53" s="1"/>
  <c r="AQ238" i="53"/>
  <c r="AQ83" i="53"/>
  <c r="AQ229" i="53"/>
  <c r="AT229" i="53" s="1"/>
  <c r="AQ219" i="53"/>
  <c r="AQ281" i="53"/>
  <c r="AT281" i="53" s="1"/>
  <c r="AQ64" i="53"/>
  <c r="AQ283" i="53"/>
  <c r="AT283" i="53" s="1"/>
  <c r="AQ205" i="53"/>
  <c r="AQ11" i="53"/>
  <c r="AQ279" i="53"/>
  <c r="AT279" i="53" s="1"/>
  <c r="AQ157" i="53"/>
  <c r="AT157" i="53" s="1"/>
  <c r="AQ22" i="53"/>
  <c r="AQ170" i="53"/>
  <c r="AT170" i="53" s="1"/>
  <c r="AQ196" i="53"/>
  <c r="AQ124" i="53"/>
  <c r="AT124" i="53" s="1"/>
  <c r="AQ142" i="53"/>
  <c r="AT142" i="53" s="1"/>
  <c r="AQ105" i="53"/>
  <c r="AQ111" i="53"/>
  <c r="AQ7" i="53"/>
  <c r="AQ98" i="53"/>
  <c r="AQ48" i="53"/>
  <c r="AQ122" i="53"/>
  <c r="AT122" i="53" s="1"/>
  <c r="AQ55" i="53"/>
  <c r="AQ58" i="53"/>
  <c r="AQ19" i="53"/>
  <c r="AT19" i="53" s="1"/>
  <c r="AQ45" i="53"/>
  <c r="AQ146" i="53"/>
  <c r="AQ68" i="53"/>
  <c r="AT68" i="53" s="1"/>
  <c r="AQ20" i="53"/>
  <c r="AQ278" i="53"/>
  <c r="AT278" i="53" s="1"/>
  <c r="AQ169" i="53"/>
  <c r="AQ239" i="53"/>
  <c r="AQ222" i="53"/>
  <c r="AO239" i="53"/>
  <c r="AQ230" i="53"/>
  <c r="AQ80" i="53"/>
  <c r="AT80" i="53" s="1"/>
  <c r="AQ35" i="53"/>
  <c r="AT35" i="53" s="1"/>
  <c r="AQ221" i="53"/>
  <c r="AT221" i="53" s="1"/>
  <c r="AQ24" i="53"/>
  <c r="AT24" i="53" s="1"/>
  <c r="AQ191" i="53"/>
  <c r="AQ195" i="53"/>
  <c r="AT195" i="53" s="1"/>
  <c r="AQ6" i="53"/>
  <c r="AQ125" i="53"/>
  <c r="AQ165" i="53"/>
  <c r="AQ240" i="53"/>
  <c r="AQ186" i="53"/>
  <c r="AQ145" i="53"/>
  <c r="AT145" i="53" s="1"/>
  <c r="AQ194" i="53"/>
  <c r="AT194" i="53" s="1"/>
  <c r="AQ72" i="53"/>
  <c r="AT72" i="53" s="1"/>
  <c r="AQ126" i="53"/>
  <c r="AQ129" i="53"/>
  <c r="AT129" i="53" s="1"/>
  <c r="AQ206" i="53"/>
  <c r="AT206" i="53" s="1"/>
  <c r="AQ18" i="53"/>
  <c r="AQ25" i="53"/>
  <c r="AT25" i="53" s="1"/>
  <c r="AQ189" i="53"/>
  <c r="AQ8" i="53"/>
  <c r="AQ94" i="53"/>
  <c r="AQ101" i="53"/>
  <c r="AQ242" i="53"/>
  <c r="AQ16" i="53"/>
  <c r="AQ123" i="53"/>
  <c r="AQ215" i="53"/>
  <c r="AT215" i="53" s="1"/>
  <c r="AQ56" i="53"/>
  <c r="AQ154" i="53"/>
  <c r="AQ162" i="53"/>
  <c r="AQ166" i="53"/>
  <c r="AQ246" i="53"/>
  <c r="AT270" i="53"/>
  <c r="AQ5" i="53"/>
  <c r="AQ187" i="53"/>
  <c r="AQ102" i="53"/>
  <c r="AQ212" i="53"/>
  <c r="AT212" i="53" s="1"/>
  <c r="AT261" i="53"/>
  <c r="AT264" i="53"/>
  <c r="AT267" i="53"/>
  <c r="AQ95" i="53"/>
  <c r="AQ17" i="53"/>
  <c r="AT17" i="53" s="1"/>
  <c r="AQ120" i="53"/>
  <c r="AT120" i="53" s="1"/>
  <c r="AQ141" i="53"/>
  <c r="AQ62" i="53"/>
  <c r="AQ159" i="53"/>
  <c r="AQ26" i="53"/>
  <c r="AT26" i="53" s="1"/>
  <c r="AQ183" i="53"/>
  <c r="AQ88" i="53"/>
  <c r="AQ81" i="53"/>
  <c r="AT81" i="53" s="1"/>
  <c r="AQ251" i="53"/>
  <c r="AQ34" i="53"/>
  <c r="AQ148" i="53"/>
  <c r="AT148" i="53" s="1"/>
  <c r="AQ77" i="53"/>
  <c r="AT77" i="53" s="1"/>
  <c r="AQ188" i="53"/>
  <c r="AQ27" i="53"/>
  <c r="AT27" i="53" s="1"/>
  <c r="AQ176" i="53"/>
  <c r="AQ89" i="53"/>
  <c r="AQ32" i="53"/>
  <c r="AT32" i="53" s="1"/>
  <c r="AQ75" i="53"/>
  <c r="AT75" i="53" s="1"/>
  <c r="AQ274" i="53"/>
  <c r="AT274" i="53" s="1"/>
  <c r="AQ103" i="53"/>
  <c r="AQ14" i="53"/>
  <c r="AQ59" i="53"/>
  <c r="AQ232" i="53"/>
  <c r="AT232" i="53" s="1"/>
  <c r="AQ244" i="53"/>
  <c r="AQ121" i="53"/>
  <c r="AT121" i="53" s="1"/>
  <c r="AQ175" i="53"/>
  <c r="AT175" i="53" s="1"/>
  <c r="AQ21" i="53"/>
  <c r="AT21" i="53" s="1"/>
  <c r="AQ23" i="53"/>
  <c r="AT23" i="53" s="1"/>
  <c r="AQ70" i="53"/>
  <c r="AQ79" i="53"/>
  <c r="AT79" i="53" s="1"/>
  <c r="AQ82" i="53"/>
  <c r="AQ168" i="53"/>
  <c r="AT168" i="53" s="1"/>
  <c r="AQ276" i="53"/>
  <c r="AT276" i="53" s="1"/>
  <c r="AQ97" i="53"/>
  <c r="AQ149" i="53"/>
  <c r="AT149" i="53" s="1"/>
  <c r="AQ76" i="53"/>
  <c r="AQ241" i="53"/>
  <c r="AQ119" i="53"/>
  <c r="AQ130" i="53"/>
  <c r="AT130" i="53" s="1"/>
  <c r="AQ131" i="53"/>
  <c r="AQ137" i="53"/>
  <c r="AT137" i="53" s="1"/>
  <c r="AQ233" i="53"/>
  <c r="AQ245" i="53"/>
  <c r="AQ249" i="53"/>
  <c r="AQ213" i="53"/>
  <c r="AT213" i="53" s="1"/>
  <c r="AQ172" i="53"/>
  <c r="AT172" i="53" s="1"/>
  <c r="AO60" i="53"/>
  <c r="AO59" i="53"/>
  <c r="AO57" i="53"/>
  <c r="AO56" i="53"/>
  <c r="AO8" i="53"/>
  <c r="AQ91" i="53"/>
  <c r="AQ109" i="53"/>
  <c r="AT109" i="53" s="1"/>
  <c r="AQ13" i="53"/>
  <c r="AQ31" i="53"/>
  <c r="AT31" i="53" s="1"/>
  <c r="AQ211" i="53"/>
  <c r="AT211" i="53" s="1"/>
  <c r="AQ47" i="53"/>
  <c r="AT47" i="53" s="1"/>
  <c r="AQ217" i="53"/>
  <c r="AQ61" i="53"/>
  <c r="AQ156" i="53"/>
  <c r="AT156" i="53" s="1"/>
  <c r="AQ227" i="53"/>
  <c r="AT227" i="53" s="1"/>
  <c r="AQ71" i="53"/>
  <c r="AT71" i="53" s="1"/>
  <c r="AQ73" i="53"/>
  <c r="AT73" i="53" s="1"/>
  <c r="AQ248" i="53"/>
  <c r="AQ204" i="53"/>
  <c r="AT204" i="53" s="1"/>
  <c r="AQ134" i="53"/>
  <c r="AT134" i="53" s="1"/>
  <c r="AQ151" i="53"/>
  <c r="AT151" i="53" s="1"/>
  <c r="AQ225" i="53"/>
  <c r="AQ167" i="53"/>
  <c r="AT256" i="53"/>
  <c r="AQ127" i="53"/>
  <c r="AT127" i="53" s="1"/>
  <c r="AQ10" i="53"/>
  <c r="AQ90" i="53"/>
  <c r="AQ115" i="53"/>
  <c r="AT115" i="53" s="1"/>
  <c r="AQ57" i="53"/>
  <c r="AQ87" i="53"/>
  <c r="AQ112" i="53"/>
  <c r="AT112" i="53" s="1"/>
  <c r="AO95" i="53"/>
  <c r="AQ33" i="53"/>
  <c r="AT33" i="53" s="1"/>
  <c r="AQ139" i="53"/>
  <c r="AT139" i="53" s="1"/>
  <c r="AQ67" i="53"/>
  <c r="AT67" i="53" s="1"/>
  <c r="AQ164" i="53"/>
  <c r="AT164" i="53" s="1"/>
  <c r="AQ234" i="53"/>
  <c r="AQ174" i="53"/>
  <c r="AQ236" i="53"/>
  <c r="AT259" i="53"/>
  <c r="AQ78" i="53"/>
  <c r="AQ180" i="53"/>
  <c r="AQ128" i="53"/>
  <c r="AT128" i="53" s="1"/>
  <c r="AQ49" i="53"/>
  <c r="AT49" i="53" s="1"/>
  <c r="AQ177" i="53"/>
  <c r="AQ110" i="53"/>
  <c r="AT110" i="53" s="1"/>
  <c r="AQ197" i="53"/>
  <c r="AT197" i="53" s="1"/>
  <c r="AQ84" i="53"/>
  <c r="AQ107" i="53"/>
  <c r="AT107" i="53" s="1"/>
  <c r="AQ2" i="53"/>
  <c r="AT2" i="53" s="1"/>
  <c r="AQ160" i="53"/>
  <c r="AQ74" i="53"/>
  <c r="AT74" i="53" s="1"/>
  <c r="AT254" i="53"/>
  <c r="AQ207" i="53"/>
  <c r="AT207" i="53" s="1"/>
  <c r="AQ38" i="53"/>
  <c r="AQ43" i="53"/>
  <c r="AQ214" i="53"/>
  <c r="AT214" i="53" s="1"/>
  <c r="AT257" i="53"/>
  <c r="AT260" i="53"/>
  <c r="AT263" i="53"/>
  <c r="AQ66" i="53"/>
  <c r="AT66" i="53" s="1"/>
  <c r="AQ173" i="53"/>
  <c r="AO11" i="53"/>
  <c r="AQ106" i="53"/>
  <c r="AQ15" i="53"/>
  <c r="AQ93" i="53"/>
  <c r="AQ99" i="53"/>
  <c r="AQ29" i="53"/>
  <c r="AT29" i="53" s="1"/>
  <c r="AQ116" i="53"/>
  <c r="AQ231" i="53"/>
  <c r="AT231" i="53" s="1"/>
  <c r="AQ237" i="53"/>
  <c r="AQ243" i="53"/>
  <c r="AQ250" i="53"/>
  <c r="AT269" i="53"/>
  <c r="AT272" i="53"/>
  <c r="AQ117" i="53"/>
  <c r="AQ60" i="53"/>
  <c r="AQ179" i="53"/>
  <c r="AQ85" i="53"/>
  <c r="AQ108" i="53"/>
  <c r="AT108" i="53" s="1"/>
  <c r="AQ171" i="53"/>
  <c r="AT171" i="53" s="1"/>
  <c r="AQ36" i="53"/>
  <c r="AT36" i="53" s="1"/>
  <c r="AQ37" i="53"/>
  <c r="AT37" i="53" s="1"/>
  <c r="AQ65" i="53"/>
  <c r="AQ161" i="53"/>
  <c r="AT161" i="53" s="1"/>
  <c r="AQ104" i="53"/>
  <c r="AQ247" i="53"/>
  <c r="AQ178" i="53"/>
  <c r="AQ184" i="53"/>
  <c r="AQ273" i="53"/>
  <c r="AT273" i="53" s="1"/>
  <c r="AQ182" i="53"/>
  <c r="AQ4" i="53"/>
  <c r="AQ12" i="53"/>
  <c r="AQ100" i="53"/>
  <c r="AQ118" i="53"/>
  <c r="AQ44" i="53"/>
  <c r="AQ158" i="53"/>
  <c r="AT158" i="53" s="1"/>
  <c r="AT258" i="53"/>
  <c r="AO4" i="53"/>
  <c r="AO86" i="53"/>
  <c r="AO185" i="53"/>
  <c r="AO179" i="53"/>
  <c r="AO189" i="53"/>
  <c r="AO7" i="53"/>
  <c r="AO13" i="53"/>
  <c r="AO16" i="53"/>
  <c r="AO91" i="53"/>
  <c r="AO101" i="53"/>
  <c r="AO180" i="53"/>
  <c r="AO5" i="53"/>
  <c r="AO98" i="53"/>
  <c r="AO90" i="53"/>
  <c r="AO14" i="53"/>
  <c r="AO92" i="53"/>
  <c r="AO84" i="53"/>
  <c r="AO186" i="53"/>
  <c r="AO191" i="53"/>
  <c r="AO176" i="53"/>
  <c r="AO177" i="53"/>
  <c r="AO181" i="53"/>
  <c r="AO193" i="53"/>
  <c r="AO187" i="53"/>
  <c r="AO3" i="53"/>
  <c r="AO88" i="53"/>
  <c r="AO93" i="53"/>
  <c r="AO96" i="53"/>
  <c r="AO30" i="53"/>
  <c r="AO103" i="53"/>
  <c r="AO85" i="53"/>
  <c r="AO188" i="53"/>
  <c r="AO9" i="53"/>
  <c r="AO15" i="53"/>
  <c r="AO183" i="53"/>
  <c r="AO178" i="53"/>
  <c r="AO12" i="53"/>
  <c r="AO94" i="53"/>
  <c r="AO184" i="53"/>
  <c r="AO89" i="53"/>
  <c r="AO97" i="53"/>
  <c r="AQ181" i="53"/>
  <c r="AQ86" i="53"/>
  <c r="AQ185" i="53"/>
  <c r="AQ40" i="53"/>
  <c r="AQ52" i="53"/>
  <c r="AO153" i="53"/>
  <c r="AQ140" i="53"/>
  <c r="AQ143" i="53"/>
  <c r="AT143" i="53" s="1"/>
  <c r="AO54" i="53"/>
  <c r="AQ147" i="53"/>
  <c r="AO50" i="53"/>
  <c r="AO154" i="53"/>
  <c r="AO245" i="53"/>
  <c r="AQ153" i="53"/>
  <c r="AQ155" i="53"/>
  <c r="AO236" i="53"/>
  <c r="AQ202" i="53"/>
  <c r="AT202" i="53" s="1"/>
  <c r="AQ113" i="53"/>
  <c r="AO104" i="53"/>
  <c r="AQ203" i="53"/>
  <c r="AQ132" i="53"/>
  <c r="AT132" i="53" s="1"/>
  <c r="AO63" i="53"/>
  <c r="AO248" i="53"/>
  <c r="AT252" i="53"/>
  <c r="AO240" i="53"/>
  <c r="AO249" i="53"/>
  <c r="AO105" i="53"/>
  <c r="AT253" i="53"/>
  <c r="AQ220" i="53"/>
  <c r="AT265" i="53"/>
  <c r="AO64" i="53"/>
  <c r="AO237" i="53"/>
  <c r="AT262" i="53"/>
  <c r="AT271" i="53"/>
  <c r="AO246" i="53"/>
  <c r="AT268" i="53"/>
  <c r="AO243" i="53"/>
  <c r="AO55" i="53"/>
  <c r="AQ135" i="53"/>
  <c r="AT135" i="53" s="1"/>
  <c r="AO238" i="53"/>
  <c r="AT266" i="53"/>
  <c r="AO247" i="53"/>
  <c r="AO58" i="53"/>
  <c r="AO61" i="53"/>
  <c r="AO241" i="53"/>
  <c r="AO244" i="53"/>
  <c r="AO251" i="53"/>
  <c r="AT255" i="53"/>
  <c r="AP348" i="54"/>
  <c r="AP374" i="54"/>
  <c r="AS374" i="54" s="1"/>
  <c r="AP105" i="54"/>
  <c r="AS105" i="54" s="1"/>
  <c r="AP146" i="54"/>
  <c r="AP186" i="54"/>
  <c r="AS186" i="54" s="1"/>
  <c r="AP275" i="54"/>
  <c r="AP257" i="54"/>
  <c r="AP111" i="54"/>
  <c r="AS111" i="54" s="1"/>
  <c r="AP153" i="54"/>
  <c r="AP185" i="54"/>
  <c r="AS393" i="54"/>
  <c r="AP368" i="54"/>
  <c r="AP289" i="54"/>
  <c r="AP109" i="54"/>
  <c r="AP263" i="54"/>
  <c r="AS263" i="54" s="1"/>
  <c r="AP286" i="54"/>
  <c r="AS286" i="54" s="1"/>
  <c r="AP303" i="54"/>
  <c r="AS303" i="54" s="1"/>
  <c r="AP310" i="54"/>
  <c r="AS310" i="54" s="1"/>
  <c r="AP313" i="54"/>
  <c r="AP77" i="54"/>
  <c r="AP287" i="54"/>
  <c r="AS287" i="54" s="1"/>
  <c r="AP285" i="54"/>
  <c r="AS285" i="54" s="1"/>
  <c r="AP328" i="54"/>
  <c r="AS328" i="54" s="1"/>
  <c r="AP39" i="54"/>
  <c r="AS39" i="54" s="1"/>
  <c r="AP119" i="54"/>
  <c r="AS119" i="54" s="1"/>
  <c r="AP135" i="54"/>
  <c r="AP260" i="54"/>
  <c r="AS260" i="54" s="1"/>
  <c r="AP290" i="54"/>
  <c r="AP300" i="54"/>
  <c r="AS300" i="54" s="1"/>
  <c r="AP316" i="54"/>
  <c r="AS316" i="54" s="1"/>
  <c r="AP241" i="54"/>
  <c r="AP16" i="54"/>
  <c r="AS16" i="54" s="1"/>
  <c r="AP278" i="54"/>
  <c r="AP236" i="54"/>
  <c r="AP156" i="54"/>
  <c r="AS156" i="54" s="1"/>
  <c r="AP28" i="54"/>
  <c r="AP91" i="54"/>
  <c r="AP152" i="54"/>
  <c r="AS152" i="54" s="1"/>
  <c r="AP222" i="54"/>
  <c r="AS222" i="54" s="1"/>
  <c r="AP291" i="54"/>
  <c r="AS291" i="54" s="1"/>
  <c r="AP232" i="54"/>
  <c r="AP304" i="54"/>
  <c r="AS304" i="54" s="1"/>
  <c r="AP118" i="54"/>
  <c r="AS118" i="54" s="1"/>
  <c r="AP140" i="54"/>
  <c r="AS140" i="54" s="1"/>
  <c r="AP255" i="54"/>
  <c r="AS255" i="54" s="1"/>
  <c r="AP45" i="54"/>
  <c r="AS45" i="54" s="1"/>
  <c r="AP52" i="54"/>
  <c r="AS52" i="54" s="1"/>
  <c r="AP85" i="54"/>
  <c r="AP172" i="54"/>
  <c r="AS172" i="54" s="1"/>
  <c r="AP246" i="54"/>
  <c r="AP340" i="54"/>
  <c r="AS340" i="54" s="1"/>
  <c r="AP343" i="54"/>
  <c r="AS343" i="54" s="1"/>
  <c r="AP43" i="54"/>
  <c r="AS43" i="54" s="1"/>
  <c r="AP283" i="54"/>
  <c r="AS283" i="54" s="1"/>
  <c r="AP372" i="54"/>
  <c r="AP37" i="54"/>
  <c r="AS37" i="54" s="1"/>
  <c r="AP123" i="54"/>
  <c r="AS123" i="54" s="1"/>
  <c r="AP151" i="54"/>
  <c r="AS151" i="54" s="1"/>
  <c r="AP157" i="54"/>
  <c r="AS157" i="54" s="1"/>
  <c r="AP10" i="54"/>
  <c r="AP193" i="54"/>
  <c r="AS193" i="54" s="1"/>
  <c r="AP218" i="54"/>
  <c r="AS218" i="54" s="1"/>
  <c r="AP13" i="54"/>
  <c r="AP46" i="54"/>
  <c r="AS46" i="54" s="1"/>
  <c r="AP128" i="54"/>
  <c r="AS128" i="54" s="1"/>
  <c r="AP168" i="54"/>
  <c r="AS168" i="54" s="1"/>
  <c r="AP190" i="54"/>
  <c r="AS190" i="54" s="1"/>
  <c r="AP209" i="54"/>
  <c r="AS209" i="54" s="1"/>
  <c r="AP212" i="54"/>
  <c r="AS212" i="54" s="1"/>
  <c r="AP237" i="54"/>
  <c r="AS237" i="54" s="1"/>
  <c r="AP269" i="54"/>
  <c r="AS269" i="54" s="1"/>
  <c r="AP351" i="54"/>
  <c r="AS351" i="54" s="1"/>
  <c r="AP131" i="54"/>
  <c r="AS131" i="54" s="1"/>
  <c r="AP99" i="54"/>
  <c r="AS99" i="54" s="1"/>
  <c r="AP27" i="54"/>
  <c r="AP40" i="54"/>
  <c r="AS40" i="54" s="1"/>
  <c r="AP89" i="54"/>
  <c r="AP122" i="54"/>
  <c r="AS122" i="54" s="1"/>
  <c r="AP138" i="54"/>
  <c r="AS138" i="54" s="1"/>
  <c r="AP162" i="54"/>
  <c r="AS162" i="54" s="1"/>
  <c r="AP333" i="54"/>
  <c r="AS333" i="54" s="1"/>
  <c r="AP49" i="54"/>
  <c r="AS49" i="54" s="1"/>
  <c r="AP50" i="54"/>
  <c r="AS50" i="54" s="1"/>
  <c r="AP178" i="54"/>
  <c r="AS178" i="54" s="1"/>
  <c r="AP216" i="54"/>
  <c r="AP305" i="54"/>
  <c r="AS305" i="54" s="1"/>
  <c r="AP327" i="54"/>
  <c r="AS327" i="54" s="1"/>
  <c r="AP352" i="54"/>
  <c r="AS352" i="54" s="1"/>
  <c r="AP359" i="54"/>
  <c r="AP367" i="54"/>
  <c r="AP82" i="54"/>
  <c r="AP321" i="54"/>
  <c r="AS321" i="54" s="1"/>
  <c r="AP18" i="54"/>
  <c r="AS18" i="54" s="1"/>
  <c r="AP145" i="54"/>
  <c r="AS145" i="54" s="1"/>
  <c r="AP182" i="54"/>
  <c r="AS182" i="54" s="1"/>
  <c r="AP251" i="54"/>
  <c r="AS251" i="54" s="1"/>
  <c r="AP261" i="54"/>
  <c r="AP35" i="54"/>
  <c r="AS35" i="54" s="1"/>
  <c r="AP68" i="54"/>
  <c r="AP98" i="54"/>
  <c r="AS98" i="54" s="1"/>
  <c r="AP130" i="54"/>
  <c r="AS130" i="54" s="1"/>
  <c r="AP170" i="54"/>
  <c r="AS170" i="54" s="1"/>
  <c r="AP176" i="54"/>
  <c r="AS176" i="54" s="1"/>
  <c r="AP245" i="54"/>
  <c r="AS245" i="54" s="1"/>
  <c r="AP271" i="54"/>
  <c r="AP281" i="54"/>
  <c r="AP189" i="54"/>
  <c r="AS189" i="54" s="1"/>
  <c r="AP347" i="54"/>
  <c r="AP25" i="54"/>
  <c r="AP80" i="54"/>
  <c r="AP183" i="54"/>
  <c r="AS183" i="54" s="1"/>
  <c r="AP344" i="54"/>
  <c r="AS344" i="54" s="1"/>
  <c r="AP72" i="54"/>
  <c r="AP136" i="54"/>
  <c r="AS136" i="54" s="1"/>
  <c r="AP76" i="54"/>
  <c r="AP124" i="54"/>
  <c r="AP133" i="54"/>
  <c r="AS133" i="54" s="1"/>
  <c r="AP139" i="54"/>
  <c r="AS139" i="54" s="1"/>
  <c r="AP159" i="54"/>
  <c r="AS159" i="54" s="1"/>
  <c r="AP165" i="54"/>
  <c r="AP171" i="54"/>
  <c r="AS171" i="54" s="1"/>
  <c r="AP192" i="54"/>
  <c r="AS192" i="54" s="1"/>
  <c r="AP240" i="54"/>
  <c r="AS240" i="54" s="1"/>
  <c r="AP243" i="54"/>
  <c r="AS243" i="54" s="1"/>
  <c r="AP249" i="54"/>
  <c r="AS249" i="54" s="1"/>
  <c r="AP270" i="54"/>
  <c r="AS270" i="54" s="1"/>
  <c r="AS307" i="54"/>
  <c r="AP4" i="54"/>
  <c r="AP319" i="54"/>
  <c r="AS319" i="54" s="1"/>
  <c r="AP103" i="54"/>
  <c r="AS103" i="54" s="1"/>
  <c r="AP19" i="54"/>
  <c r="AS19" i="54" s="1"/>
  <c r="AP22" i="54"/>
  <c r="AS22" i="54" s="1"/>
  <c r="AP38" i="54"/>
  <c r="AS38" i="54" s="1"/>
  <c r="AP44" i="54"/>
  <c r="AS44" i="54" s="1"/>
  <c r="AP57" i="54"/>
  <c r="AP87" i="54"/>
  <c r="AP94" i="54"/>
  <c r="AP137" i="54"/>
  <c r="AS137" i="54" s="1"/>
  <c r="AP154" i="54"/>
  <c r="AS154" i="54" s="1"/>
  <c r="AP169" i="54"/>
  <c r="AS169" i="54" s="1"/>
  <c r="AP199" i="54"/>
  <c r="AS199" i="54" s="1"/>
  <c r="AP205" i="54"/>
  <c r="AS205" i="54" s="1"/>
  <c r="AP220" i="54"/>
  <c r="AS220" i="54" s="1"/>
  <c r="AP259" i="54"/>
  <c r="AS259" i="54" s="1"/>
  <c r="AP356" i="54"/>
  <c r="AP115" i="54"/>
  <c r="AS115" i="54" s="1"/>
  <c r="AP180" i="54"/>
  <c r="AS180" i="54" s="1"/>
  <c r="AP292" i="54"/>
  <c r="AK80" i="54"/>
  <c r="AH80" i="54" s="1"/>
  <c r="AM80" i="54" s="1"/>
  <c r="AP163" i="54"/>
  <c r="AS163" i="54" s="1"/>
  <c r="AP196" i="54"/>
  <c r="AS196" i="54" s="1"/>
  <c r="AP214" i="54"/>
  <c r="AS214" i="54" s="1"/>
  <c r="AP217" i="54"/>
  <c r="AS217" i="54" s="1"/>
  <c r="AP223" i="54"/>
  <c r="AS223" i="54" s="1"/>
  <c r="AP229" i="54"/>
  <c r="AP250" i="54"/>
  <c r="AS250" i="54" s="1"/>
  <c r="AP253" i="54"/>
  <c r="AS253" i="54" s="1"/>
  <c r="AP335" i="54"/>
  <c r="AS335" i="54" s="1"/>
  <c r="AP350" i="54"/>
  <c r="AS350" i="54" s="1"/>
  <c r="AP360" i="54"/>
  <c r="AP364" i="54"/>
  <c r="AS390" i="54"/>
  <c r="AP5" i="54"/>
  <c r="AP29" i="54"/>
  <c r="AS29" i="54" s="1"/>
  <c r="AP61" i="54"/>
  <c r="AS61" i="54" s="1"/>
  <c r="AP70" i="54"/>
  <c r="AM77" i="54"/>
  <c r="AP299" i="54"/>
  <c r="AS299" i="54" s="1"/>
  <c r="AP311" i="54"/>
  <c r="AS311" i="54" s="1"/>
  <c r="AP314" i="54"/>
  <c r="AS314" i="54" s="1"/>
  <c r="AP317" i="54"/>
  <c r="AS317" i="54" s="1"/>
  <c r="AP320" i="54"/>
  <c r="AS320" i="54" s="1"/>
  <c r="AP97" i="54"/>
  <c r="AS97" i="54" s="1"/>
  <c r="AP298" i="54"/>
  <c r="AS298" i="54" s="1"/>
  <c r="AP32" i="54"/>
  <c r="AS32" i="54" s="1"/>
  <c r="AP26" i="54"/>
  <c r="AP54" i="54"/>
  <c r="AP95" i="54"/>
  <c r="AS95" i="54" s="1"/>
  <c r="AP206" i="54"/>
  <c r="AP293" i="54"/>
  <c r="AS293" i="54" s="1"/>
  <c r="AP308" i="54"/>
  <c r="AP66" i="54"/>
  <c r="AS66" i="54" s="1"/>
  <c r="AP256" i="54"/>
  <c r="AS256" i="54" s="1"/>
  <c r="AP295" i="54"/>
  <c r="AS295" i="54" s="1"/>
  <c r="AS387" i="54"/>
  <c r="AP110" i="54"/>
  <c r="AS110" i="54" s="1"/>
  <c r="AP143" i="54"/>
  <c r="AS143" i="54" s="1"/>
  <c r="AP181" i="54"/>
  <c r="AS181" i="54" s="1"/>
  <c r="AP2" i="54"/>
  <c r="AP17" i="54"/>
  <c r="AS17" i="54" s="1"/>
  <c r="AP20" i="54"/>
  <c r="AS20" i="54" s="1"/>
  <c r="AP224" i="54"/>
  <c r="AS376" i="54"/>
  <c r="AS385" i="54"/>
  <c r="AP208" i="54"/>
  <c r="AS208" i="54" s="1"/>
  <c r="AP164" i="54"/>
  <c r="AS164" i="54" s="1"/>
  <c r="AP191" i="54"/>
  <c r="AS191" i="54" s="1"/>
  <c r="AP194" i="54"/>
  <c r="AS194" i="54" s="1"/>
  <c r="AP215" i="54"/>
  <c r="AS215" i="54" s="1"/>
  <c r="AP336" i="54"/>
  <c r="AS336" i="54" s="1"/>
  <c r="AP33" i="54"/>
  <c r="AS33" i="54" s="1"/>
  <c r="AP71" i="54"/>
  <c r="AP92" i="54"/>
  <c r="AP126" i="54"/>
  <c r="AS126" i="54" s="1"/>
  <c r="AP30" i="54"/>
  <c r="AS30" i="54" s="1"/>
  <c r="AP117" i="54"/>
  <c r="AS117" i="54" s="1"/>
  <c r="AP141" i="54"/>
  <c r="AS141" i="54" s="1"/>
  <c r="AP144" i="54"/>
  <c r="AS144" i="54" s="1"/>
  <c r="AP150" i="54"/>
  <c r="AS150" i="54" s="1"/>
  <c r="AP297" i="54"/>
  <c r="AS297" i="54" s="1"/>
  <c r="AP306" i="54"/>
  <c r="AS306" i="54" s="1"/>
  <c r="AP366" i="54"/>
  <c r="AP34" i="54"/>
  <c r="AS34" i="54" s="1"/>
  <c r="AP65" i="54"/>
  <c r="AS65" i="54" s="1"/>
  <c r="AP102" i="54"/>
  <c r="AP198" i="54"/>
  <c r="AS198" i="54" s="1"/>
  <c r="AP201" i="54"/>
  <c r="AS201" i="54" s="1"/>
  <c r="AP210" i="54"/>
  <c r="AS210" i="54" s="1"/>
  <c r="AP219" i="54"/>
  <c r="AS219" i="54" s="1"/>
  <c r="AP252" i="54"/>
  <c r="AS252" i="54" s="1"/>
  <c r="AP264" i="54"/>
  <c r="AS264" i="54" s="1"/>
  <c r="AP273" i="54"/>
  <c r="AS273" i="54" s="1"/>
  <c r="AP276" i="54"/>
  <c r="AP279" i="54"/>
  <c r="AS279" i="54" s="1"/>
  <c r="AP331" i="54"/>
  <c r="AS313" i="54"/>
  <c r="AM289" i="54"/>
  <c r="AN289" i="54"/>
  <c r="AN74" i="54"/>
  <c r="AM74" i="54"/>
  <c r="AN70" i="54"/>
  <c r="AM70" i="54"/>
  <c r="AM90" i="54"/>
  <c r="AN90" i="54"/>
  <c r="AN82" i="54"/>
  <c r="AM82" i="54"/>
  <c r="AN261" i="54"/>
  <c r="AM261" i="54"/>
  <c r="AP15" i="54"/>
  <c r="AP23" i="54"/>
  <c r="AP101" i="54"/>
  <c r="AS101" i="54" s="1"/>
  <c r="AP326" i="54"/>
  <c r="AS326" i="54" s="1"/>
  <c r="AP365" i="54"/>
  <c r="AS375" i="54"/>
  <c r="AS381" i="54"/>
  <c r="AP114" i="54"/>
  <c r="AS114" i="54" s="1"/>
  <c r="AP127" i="54"/>
  <c r="AS127" i="54" s="1"/>
  <c r="AP142" i="54"/>
  <c r="AS142" i="54" s="1"/>
  <c r="AP147" i="54"/>
  <c r="AS147" i="54" s="1"/>
  <c r="AP174" i="54"/>
  <c r="AS174" i="54" s="1"/>
  <c r="AP179" i="54"/>
  <c r="AS179" i="54" s="1"/>
  <c r="AP184" i="54"/>
  <c r="AS184" i="54" s="1"/>
  <c r="AP200" i="54"/>
  <c r="AS200" i="54" s="1"/>
  <c r="AP284" i="54"/>
  <c r="AS284" i="54" s="1"/>
  <c r="AP294" i="54"/>
  <c r="AS294" i="54" s="1"/>
  <c r="AP302" i="54"/>
  <c r="AP312" i="54"/>
  <c r="AS312" i="54" s="1"/>
  <c r="AP332" i="54"/>
  <c r="AS332" i="54" s="1"/>
  <c r="AP349" i="54"/>
  <c r="AP355" i="54"/>
  <c r="AP358" i="54"/>
  <c r="AP73" i="54"/>
  <c r="AP90" i="54"/>
  <c r="AP104" i="54"/>
  <c r="AS104" i="54" s="1"/>
  <c r="AP106" i="54"/>
  <c r="AS106" i="54" s="1"/>
  <c r="AP59" i="54"/>
  <c r="AS59" i="54" s="1"/>
  <c r="AP62" i="54"/>
  <c r="AS62" i="54" s="1"/>
  <c r="AP84" i="54"/>
  <c r="AP132" i="54"/>
  <c r="AS132" i="54" s="1"/>
  <c r="AS135" i="54"/>
  <c r="AS177" i="54"/>
  <c r="AP231" i="54"/>
  <c r="AS231" i="54" s="1"/>
  <c r="AP238" i="54"/>
  <c r="AS238" i="54" s="1"/>
  <c r="AP315" i="54"/>
  <c r="AP329" i="54"/>
  <c r="AS329" i="54" s="1"/>
  <c r="AS384" i="54"/>
  <c r="AK236" i="54"/>
  <c r="AH236" i="54" s="1"/>
  <c r="AM236" i="54" s="1"/>
  <c r="AS379" i="54"/>
  <c r="AP47" i="54"/>
  <c r="AS47" i="54" s="1"/>
  <c r="AP213" i="54"/>
  <c r="AS213" i="54" s="1"/>
  <c r="AP226" i="54"/>
  <c r="AS226" i="54" s="1"/>
  <c r="AP234" i="54"/>
  <c r="AS234" i="54" s="1"/>
  <c r="AP258" i="54"/>
  <c r="AS258" i="54" s="1"/>
  <c r="AP277" i="54"/>
  <c r="AP282" i="54"/>
  <c r="AS282" i="54" s="1"/>
  <c r="AP318" i="54"/>
  <c r="AS318" i="54" s="1"/>
  <c r="AP324" i="54"/>
  <c r="AS324" i="54" s="1"/>
  <c r="AP341" i="54"/>
  <c r="AS341" i="54" s="1"/>
  <c r="AP373" i="54"/>
  <c r="AS388" i="54"/>
  <c r="AP8" i="54"/>
  <c r="AP12" i="54"/>
  <c r="AP9" i="54"/>
  <c r="AP24" i="54"/>
  <c r="AP79" i="54"/>
  <c r="AP88" i="54"/>
  <c r="AP112" i="54"/>
  <c r="AS112" i="54" s="1"/>
  <c r="AP188" i="54"/>
  <c r="AS188" i="54" s="1"/>
  <c r="AP221" i="54"/>
  <c r="AS221" i="54" s="1"/>
  <c r="AP266" i="54"/>
  <c r="AS266" i="54" s="1"/>
  <c r="AP280" i="54"/>
  <c r="AS280" i="54" s="1"/>
  <c r="AS382" i="54"/>
  <c r="AP96" i="54"/>
  <c r="AS96" i="54" s="1"/>
  <c r="AP107" i="54"/>
  <c r="AS107" i="54" s="1"/>
  <c r="AK206" i="54"/>
  <c r="AH206" i="54" s="1"/>
  <c r="AM206" i="54" s="1"/>
  <c r="AK246" i="54"/>
  <c r="AH246" i="54" s="1"/>
  <c r="AM246" i="54" s="1"/>
  <c r="AP363" i="54"/>
  <c r="AP53" i="54"/>
  <c r="AP6" i="54"/>
  <c r="AS391" i="54"/>
  <c r="AP187" i="54"/>
  <c r="AS187" i="54" s="1"/>
  <c r="AM9" i="54"/>
  <c r="AS9" i="54" s="1"/>
  <c r="AP120" i="54"/>
  <c r="AS120" i="54" s="1"/>
  <c r="AP60" i="54"/>
  <c r="AS60" i="54" s="1"/>
  <c r="AK85" i="54"/>
  <c r="AH85" i="54" s="1"/>
  <c r="AN85" i="54" s="1"/>
  <c r="AP155" i="54"/>
  <c r="AS155" i="54" s="1"/>
  <c r="AP160" i="54"/>
  <c r="AS160" i="54" s="1"/>
  <c r="AP239" i="54"/>
  <c r="AS239" i="54" s="1"/>
  <c r="AM241" i="54"/>
  <c r="AP244" i="54"/>
  <c r="AS244" i="54" s="1"/>
  <c r="AP339" i="54"/>
  <c r="AS377" i="54"/>
  <c r="AP75" i="54"/>
  <c r="AP78" i="54"/>
  <c r="AP81" i="54"/>
  <c r="AP248" i="54"/>
  <c r="AS248" i="54" s="1"/>
  <c r="AP74" i="54"/>
  <c r="AP63" i="54"/>
  <c r="AS63" i="54" s="1"/>
  <c r="AP148" i="54"/>
  <c r="AS148" i="54" s="1"/>
  <c r="AP204" i="54"/>
  <c r="AK224" i="54"/>
  <c r="AH224" i="54" s="1"/>
  <c r="AM224" i="54" s="1"/>
  <c r="AP272" i="54"/>
  <c r="AS272" i="54" s="1"/>
  <c r="AS383" i="54"/>
  <c r="AS386" i="54"/>
  <c r="AS389" i="54"/>
  <c r="AP113" i="54"/>
  <c r="AS146" i="54"/>
  <c r="AP288" i="54"/>
  <c r="AP322" i="54"/>
  <c r="AS322" i="54" s="1"/>
  <c r="AP325" i="54"/>
  <c r="AS325" i="54" s="1"/>
  <c r="AP342" i="54"/>
  <c r="AS342" i="54" s="1"/>
  <c r="AP371" i="54"/>
  <c r="AS392" i="54"/>
  <c r="AS395" i="54"/>
  <c r="AP207" i="54"/>
  <c r="AP247" i="54"/>
  <c r="AP254" i="54"/>
  <c r="AP267" i="54"/>
  <c r="AS267" i="54" s="1"/>
  <c r="AS301" i="54"/>
  <c r="AP14" i="54"/>
  <c r="AP31" i="54"/>
  <c r="AS31" i="54" s="1"/>
  <c r="AP41" i="54"/>
  <c r="AS41" i="54" s="1"/>
  <c r="AP58" i="54"/>
  <c r="AS58" i="54" s="1"/>
  <c r="AP69" i="54"/>
  <c r="AS69" i="54" s="1"/>
  <c r="AS161" i="54"/>
  <c r="AP173" i="54"/>
  <c r="AS173" i="54" s="1"/>
  <c r="AP230" i="54"/>
  <c r="AS230" i="54" s="1"/>
  <c r="AP242" i="54"/>
  <c r="AS242" i="54" s="1"/>
  <c r="AN254" i="54"/>
  <c r="AP357" i="54"/>
  <c r="AP296" i="54"/>
  <c r="AS296" i="54" s="1"/>
  <c r="AS309" i="54"/>
  <c r="AP334" i="54"/>
  <c r="AS334" i="54" s="1"/>
  <c r="AP55" i="54"/>
  <c r="AP83" i="54"/>
  <c r="AP129" i="54"/>
  <c r="AS129" i="54" s="1"/>
  <c r="AP134" i="54"/>
  <c r="AS134" i="54" s="1"/>
  <c r="AP197" i="54"/>
  <c r="AS197" i="54" s="1"/>
  <c r="AP202" i="54"/>
  <c r="AS202" i="54" s="1"/>
  <c r="AK207" i="54"/>
  <c r="AH207" i="54" s="1"/>
  <c r="AM207" i="54" s="1"/>
  <c r="AP225" i="54"/>
  <c r="AS225" i="54" s="1"/>
  <c r="AP233" i="54"/>
  <c r="AS233" i="54" s="1"/>
  <c r="AP262" i="54"/>
  <c r="AS262" i="54" s="1"/>
  <c r="AP323" i="54"/>
  <c r="AM15" i="54"/>
  <c r="AN15" i="54"/>
  <c r="AN4" i="54"/>
  <c r="AM4" i="54"/>
  <c r="AN23" i="54"/>
  <c r="AM23" i="54"/>
  <c r="AN94" i="54"/>
  <c r="AM94" i="54"/>
  <c r="AM88" i="54"/>
  <c r="AN88" i="54"/>
  <c r="AM26" i="54"/>
  <c r="AP36" i="54"/>
  <c r="AN71" i="54"/>
  <c r="AM71" i="54"/>
  <c r="AN57" i="54"/>
  <c r="AM57" i="54"/>
  <c r="AN91" i="54"/>
  <c r="AM91" i="54"/>
  <c r="AM79" i="54"/>
  <c r="AN79" i="54"/>
  <c r="AN5" i="54"/>
  <c r="AN102" i="54"/>
  <c r="AM102" i="54"/>
  <c r="AM11" i="54"/>
  <c r="AP48" i="54"/>
  <c r="AS48" i="54" s="1"/>
  <c r="AP51" i="54"/>
  <c r="AS51" i="54" s="1"/>
  <c r="AP3" i="54"/>
  <c r="AN6" i="54"/>
  <c r="AM6" i="54"/>
  <c r="AP11" i="54"/>
  <c r="AN54" i="54"/>
  <c r="AM54" i="54"/>
  <c r="AN14" i="54"/>
  <c r="AM14" i="54"/>
  <c r="AM24" i="54"/>
  <c r="AN24" i="54"/>
  <c r="AM72" i="54"/>
  <c r="AN72" i="54"/>
  <c r="AK86" i="54"/>
  <c r="AH86" i="54" s="1"/>
  <c r="AP86" i="54"/>
  <c r="AN89" i="54"/>
  <c r="AM89" i="54"/>
  <c r="AM3" i="54"/>
  <c r="AN55" i="54"/>
  <c r="AM55" i="54"/>
  <c r="AN75" i="54"/>
  <c r="AM75" i="54"/>
  <c r="AN84" i="54"/>
  <c r="AM84" i="54"/>
  <c r="AN8" i="54"/>
  <c r="AP21" i="54"/>
  <c r="AS21" i="54" s="1"/>
  <c r="AM27" i="54"/>
  <c r="AN27" i="54"/>
  <c r="AN12" i="54"/>
  <c r="AM12" i="54"/>
  <c r="AP42" i="54"/>
  <c r="AS42" i="54" s="1"/>
  <c r="AP64" i="54"/>
  <c r="AS64" i="54" s="1"/>
  <c r="AN83" i="54"/>
  <c r="AM83" i="54"/>
  <c r="AM36" i="54"/>
  <c r="AN36" i="54"/>
  <c r="AN78" i="54"/>
  <c r="AM78" i="54"/>
  <c r="AN92" i="54"/>
  <c r="AM92" i="54"/>
  <c r="AM7" i="54"/>
  <c r="AN7" i="54"/>
  <c r="AM56" i="54"/>
  <c r="AN56" i="54"/>
  <c r="AN87" i="54"/>
  <c r="AM87" i="54"/>
  <c r="AP7" i="54"/>
  <c r="AM10" i="54"/>
  <c r="AN10" i="54"/>
  <c r="AM28" i="54"/>
  <c r="AN28" i="54"/>
  <c r="AP116" i="54"/>
  <c r="AS116" i="54" s="1"/>
  <c r="AN25" i="54"/>
  <c r="AN73" i="54"/>
  <c r="AM73" i="54"/>
  <c r="AN81" i="54"/>
  <c r="AM81" i="54"/>
  <c r="AK93" i="54"/>
  <c r="AH93" i="54" s="1"/>
  <c r="AP93" i="54"/>
  <c r="AP121" i="54"/>
  <c r="AS121" i="54" s="1"/>
  <c r="AS153" i="54"/>
  <c r="AP56" i="54"/>
  <c r="AN2" i="54"/>
  <c r="AK13" i="54"/>
  <c r="AH13" i="54" s="1"/>
  <c r="AN53" i="54"/>
  <c r="AM53" i="54"/>
  <c r="AS109" i="54"/>
  <c r="AN276" i="54"/>
  <c r="AM276" i="54"/>
  <c r="AN372" i="54"/>
  <c r="AM372" i="54"/>
  <c r="AP125" i="54"/>
  <c r="AS125" i="54" s="1"/>
  <c r="AN365" i="54"/>
  <c r="AM365" i="54"/>
  <c r="AM76" i="54"/>
  <c r="AP100" i="54"/>
  <c r="AS100" i="54" s="1"/>
  <c r="AK113" i="54"/>
  <c r="AH113" i="54" s="1"/>
  <c r="AM113" i="54" s="1"/>
  <c r="AP274" i="54"/>
  <c r="AS274" i="54" s="1"/>
  <c r="AP108" i="54"/>
  <c r="AS108" i="54" s="1"/>
  <c r="AM277" i="54"/>
  <c r="AN277" i="54"/>
  <c r="AP166" i="54"/>
  <c r="AS166" i="54" s="1"/>
  <c r="AP175" i="54"/>
  <c r="AS175" i="54" s="1"/>
  <c r="AM68" i="54"/>
  <c r="AP149" i="54"/>
  <c r="AS149" i="54" s="1"/>
  <c r="AS185" i="54"/>
  <c r="AP228" i="54"/>
  <c r="AK228" i="54"/>
  <c r="AH228" i="54" s="1"/>
  <c r="AM228" i="54" s="1"/>
  <c r="AN247" i="54"/>
  <c r="AM247" i="54"/>
  <c r="AP158" i="54"/>
  <c r="AS158" i="54" s="1"/>
  <c r="AK124" i="54"/>
  <c r="AH124" i="54" s="1"/>
  <c r="AM124" i="54" s="1"/>
  <c r="AP167" i="54"/>
  <c r="AS167" i="54" s="1"/>
  <c r="AN278" i="54"/>
  <c r="AM278" i="54"/>
  <c r="AP67" i="54"/>
  <c r="AS67" i="54" s="1"/>
  <c r="AS281" i="54"/>
  <c r="AS165" i="54"/>
  <c r="AN257" i="54"/>
  <c r="AM257" i="54"/>
  <c r="AS229" i="54"/>
  <c r="AP265" i="54"/>
  <c r="AS265" i="54" s="1"/>
  <c r="AP195" i="54"/>
  <c r="AS195" i="54" s="1"/>
  <c r="AP268" i="54"/>
  <c r="AS268" i="54" s="1"/>
  <c r="AN362" i="54"/>
  <c r="AM362" i="54"/>
  <c r="AN369" i="54"/>
  <c r="AM369" i="54"/>
  <c r="AN366" i="54"/>
  <c r="AM366" i="54"/>
  <c r="AP369" i="54"/>
  <c r="AM359" i="54"/>
  <c r="AN308" i="54"/>
  <c r="AM308" i="54"/>
  <c r="AN373" i="54"/>
  <c r="AM373" i="54"/>
  <c r="AK204" i="54"/>
  <c r="AH204" i="54" s="1"/>
  <c r="AM204" i="54" s="1"/>
  <c r="AK216" i="54"/>
  <c r="AH216" i="54" s="1"/>
  <c r="AM216" i="54" s="1"/>
  <c r="AP235" i="54"/>
  <c r="AS235" i="54" s="1"/>
  <c r="AP353" i="54"/>
  <c r="AS353" i="54" s="1"/>
  <c r="AN356" i="54"/>
  <c r="AM356" i="54"/>
  <c r="AN370" i="54"/>
  <c r="AM370" i="54"/>
  <c r="AS394" i="54"/>
  <c r="AP211" i="54"/>
  <c r="AS211" i="54" s="1"/>
  <c r="AN290" i="54"/>
  <c r="AM290" i="54"/>
  <c r="AN360" i="54"/>
  <c r="AM360" i="54"/>
  <c r="AN271" i="54"/>
  <c r="AP345" i="54"/>
  <c r="AS345" i="54" s="1"/>
  <c r="AS348" i="54"/>
  <c r="AM367" i="54"/>
  <c r="AS380" i="54"/>
  <c r="AK232" i="54"/>
  <c r="AH232" i="54" s="1"/>
  <c r="AM232" i="54" s="1"/>
  <c r="AM292" i="54"/>
  <c r="AN357" i="54"/>
  <c r="AM357" i="54"/>
  <c r="AN364" i="54"/>
  <c r="AM364" i="54"/>
  <c r="AP203" i="54"/>
  <c r="AS203" i="54" s="1"/>
  <c r="AP227" i="54"/>
  <c r="AS227" i="54" s="1"/>
  <c r="AM275" i="54"/>
  <c r="AS275" i="54" s="1"/>
  <c r="AK288" i="54"/>
  <c r="AH288" i="54" s="1"/>
  <c r="AN302" i="54"/>
  <c r="AM302" i="54"/>
  <c r="AP337" i="54"/>
  <c r="AS337" i="54" s="1"/>
  <c r="AN361" i="54"/>
  <c r="AM361" i="54"/>
  <c r="AN368" i="54"/>
  <c r="AM368" i="54"/>
  <c r="AS368" i="54" s="1"/>
  <c r="AN358" i="54"/>
  <c r="AM358" i="54"/>
  <c r="AP361" i="54"/>
  <c r="AS378" i="54"/>
  <c r="AS349" i="54"/>
  <c r="AP330" i="54"/>
  <c r="AS330" i="54" s="1"/>
  <c r="AP338" i="54"/>
  <c r="AS338" i="54" s="1"/>
  <c r="AP346" i="54"/>
  <c r="AS346" i="54" s="1"/>
  <c r="AP354" i="54"/>
  <c r="AS354" i="54" s="1"/>
  <c r="AP362" i="54"/>
  <c r="AP370" i="54"/>
  <c r="AK315" i="54"/>
  <c r="AH315" i="54" s="1"/>
  <c r="AM315" i="54" s="1"/>
  <c r="AK323" i="54"/>
  <c r="AH323" i="54" s="1"/>
  <c r="AM323" i="54" s="1"/>
  <c r="AK331" i="54"/>
  <c r="AH331" i="54" s="1"/>
  <c r="AM331" i="54" s="1"/>
  <c r="AK339" i="54"/>
  <c r="AH339" i="54" s="1"/>
  <c r="AM339" i="54" s="1"/>
  <c r="AK347" i="54"/>
  <c r="AH347" i="54" s="1"/>
  <c r="AM347" i="54" s="1"/>
  <c r="AK355" i="54"/>
  <c r="AH355" i="54" s="1"/>
  <c r="AM355" i="54" s="1"/>
  <c r="AS355" i="54" s="1"/>
  <c r="AK363" i="54"/>
  <c r="AH363" i="54" s="1"/>
  <c r="AK371" i="54"/>
  <c r="AH371" i="54" s="1"/>
  <c r="AT76" i="53" l="1"/>
  <c r="AT159" i="53"/>
  <c r="AT169" i="53"/>
  <c r="AT220" i="53"/>
  <c r="AT82" i="53"/>
  <c r="AT210" i="53"/>
  <c r="AT38" i="53"/>
  <c r="AT114" i="53"/>
  <c r="AT133" i="53"/>
  <c r="AT174" i="53"/>
  <c r="AT41" i="53"/>
  <c r="AT160" i="53"/>
  <c r="AT233" i="53"/>
  <c r="AT34" i="53"/>
  <c r="AT205" i="53"/>
  <c r="AT144" i="53"/>
  <c r="AT230" i="53"/>
  <c r="AT117" i="53"/>
  <c r="AT83" i="53"/>
  <c r="AT123" i="53"/>
  <c r="AT165" i="53"/>
  <c r="AT209" i="53"/>
  <c r="AT113" i="53"/>
  <c r="AT125" i="53"/>
  <c r="AT22" i="53"/>
  <c r="AT70" i="53"/>
  <c r="AT235" i="53"/>
  <c r="AT65" i="53"/>
  <c r="AT116" i="53"/>
  <c r="AT277" i="53"/>
  <c r="AT131" i="53"/>
  <c r="AT18" i="53"/>
  <c r="AT119" i="53"/>
  <c r="AT198" i="53"/>
  <c r="AT118" i="53"/>
  <c r="AT155" i="53"/>
  <c r="AT173" i="53"/>
  <c r="AT166" i="53"/>
  <c r="AT126" i="53"/>
  <c r="AT111" i="53"/>
  <c r="AT203" i="53"/>
  <c r="AT217" i="53"/>
  <c r="AT196" i="53"/>
  <c r="AT43" i="53"/>
  <c r="AT20" i="53"/>
  <c r="AT45" i="53"/>
  <c r="AT69" i="53"/>
  <c r="AT234" i="53"/>
  <c r="AT225" i="53"/>
  <c r="AT192" i="53"/>
  <c r="CJ28" i="48"/>
  <c r="CJ51" i="48"/>
  <c r="CP51" i="48" s="1"/>
  <c r="CX51" i="48" s="1"/>
  <c r="CX50" i="48"/>
  <c r="CJ48" i="48"/>
  <c r="CJ12" i="48"/>
  <c r="CJ39" i="48"/>
  <c r="CJ32" i="48"/>
  <c r="CJ17" i="48"/>
  <c r="CJ9" i="48"/>
  <c r="CJ36" i="48"/>
  <c r="CJ47" i="48"/>
  <c r="CJ15" i="48"/>
  <c r="CJ45" i="48"/>
  <c r="CJ41" i="48"/>
  <c r="CJ34" i="48"/>
  <c r="CJ20" i="48"/>
  <c r="CJ31" i="48"/>
  <c r="CJ13" i="48"/>
  <c r="CJ43" i="48"/>
  <c r="CJ26" i="48"/>
  <c r="CJ44" i="48"/>
  <c r="CJ40" i="48"/>
  <c r="CJ21" i="48"/>
  <c r="CJ35" i="48"/>
  <c r="CJ49" i="48"/>
  <c r="CJ16" i="48"/>
  <c r="CJ30" i="48"/>
  <c r="CJ27" i="48"/>
  <c r="CJ25" i="48"/>
  <c r="CJ8" i="48"/>
  <c r="CJ38" i="48"/>
  <c r="CJ5" i="48"/>
  <c r="CJ29" i="48"/>
  <c r="CJ23" i="48"/>
  <c r="CJ37" i="48"/>
  <c r="CJ7" i="48"/>
  <c r="CJ3" i="48"/>
  <c r="CJ14" i="48"/>
  <c r="CJ24" i="48"/>
  <c r="CJ4" i="48"/>
  <c r="CJ46" i="48"/>
  <c r="CJ18" i="48"/>
  <c r="CI20" i="48"/>
  <c r="CI41" i="48"/>
  <c r="CI45" i="48"/>
  <c r="CI34" i="48"/>
  <c r="AT219" i="53"/>
  <c r="AT239" i="53"/>
  <c r="AT190" i="53"/>
  <c r="AT106" i="53"/>
  <c r="AT167" i="53"/>
  <c r="AT99" i="53"/>
  <c r="AT8" i="53"/>
  <c r="AT55" i="53"/>
  <c r="AT48" i="53"/>
  <c r="AT98" i="53"/>
  <c r="AT62" i="53"/>
  <c r="AT146" i="53"/>
  <c r="AT61" i="53"/>
  <c r="AT50" i="53"/>
  <c r="AT94" i="53"/>
  <c r="AT78" i="53"/>
  <c r="AT162" i="53"/>
  <c r="AT141" i="53"/>
  <c r="AT95" i="53"/>
  <c r="AT222" i="53"/>
  <c r="AT5" i="53"/>
  <c r="AT10" i="53"/>
  <c r="AT87" i="53"/>
  <c r="AT183" i="53"/>
  <c r="AT182" i="53"/>
  <c r="AT140" i="53"/>
  <c r="AT101" i="53"/>
  <c r="AT64" i="53"/>
  <c r="AT57" i="53"/>
  <c r="AT59" i="53"/>
  <c r="AT245" i="53"/>
  <c r="AT246" i="53"/>
  <c r="AT56" i="53"/>
  <c r="AT186" i="53"/>
  <c r="AT84" i="53"/>
  <c r="AT15" i="53"/>
  <c r="AT248" i="53"/>
  <c r="AT238" i="53"/>
  <c r="AT243" i="53"/>
  <c r="AT236" i="53"/>
  <c r="AT104" i="53"/>
  <c r="AT178" i="53"/>
  <c r="AT93" i="53"/>
  <c r="AT92" i="53"/>
  <c r="AT60" i="53"/>
  <c r="AT44" i="53"/>
  <c r="AT184" i="53"/>
  <c r="AT11" i="53"/>
  <c r="AT180" i="53"/>
  <c r="AT249" i="53"/>
  <c r="AO152" i="53"/>
  <c r="AT85" i="53"/>
  <c r="AT91" i="53"/>
  <c r="AT12" i="53"/>
  <c r="AT244" i="53"/>
  <c r="AT54" i="53"/>
  <c r="AT189" i="53"/>
  <c r="AT3" i="53"/>
  <c r="AT7" i="53"/>
  <c r="AT251" i="53"/>
  <c r="AT58" i="53"/>
  <c r="AT237" i="53"/>
  <c r="AT105" i="53"/>
  <c r="AT63" i="53"/>
  <c r="AT154" i="53"/>
  <c r="AT103" i="53"/>
  <c r="AT187" i="53"/>
  <c r="AT191" i="53"/>
  <c r="AT90" i="53"/>
  <c r="AT97" i="53"/>
  <c r="AT179" i="53"/>
  <c r="AT247" i="53"/>
  <c r="AT240" i="53"/>
  <c r="AT153" i="53"/>
  <c r="AT30" i="53"/>
  <c r="AT193" i="53"/>
  <c r="AO6" i="53"/>
  <c r="AT16" i="53"/>
  <c r="AT52" i="53"/>
  <c r="AT89" i="53"/>
  <c r="AT96" i="53"/>
  <c r="AT13" i="53"/>
  <c r="AT9" i="53"/>
  <c r="AT185" i="53"/>
  <c r="AO242" i="53"/>
  <c r="AT241" i="53"/>
  <c r="AT147" i="53"/>
  <c r="AT40" i="53"/>
  <c r="AT181" i="53"/>
  <c r="AT86" i="53"/>
  <c r="AO102" i="53"/>
  <c r="AT177" i="53"/>
  <c r="AT14" i="53"/>
  <c r="AO250" i="53"/>
  <c r="AO100" i="53"/>
  <c r="AT188" i="53"/>
  <c r="AT88" i="53"/>
  <c r="AT176" i="53"/>
  <c r="AT4" i="53"/>
  <c r="AS124" i="54"/>
  <c r="AS216" i="54"/>
  <c r="AS236" i="54"/>
  <c r="AS68" i="54"/>
  <c r="AS25" i="54"/>
  <c r="AS224" i="54"/>
  <c r="AS331" i="54"/>
  <c r="AS232" i="54"/>
  <c r="AS241" i="54"/>
  <c r="AS271" i="54"/>
  <c r="AS77" i="54"/>
  <c r="AS367" i="54"/>
  <c r="AS246" i="54"/>
  <c r="AS359" i="54"/>
  <c r="AS204" i="54"/>
  <c r="AS315" i="54"/>
  <c r="AS2" i="54"/>
  <c r="AS55" i="54"/>
  <c r="AM85" i="54"/>
  <c r="AS85" i="54" s="1"/>
  <c r="AS113" i="54"/>
  <c r="AS8" i="54"/>
  <c r="AS206" i="54"/>
  <c r="AS360" i="54"/>
  <c r="AS76" i="54"/>
  <c r="AS26" i="54"/>
  <c r="AS290" i="54"/>
  <c r="AS347" i="54"/>
  <c r="AS78" i="54"/>
  <c r="AS358" i="54"/>
  <c r="AS364" i="54"/>
  <c r="AS254" i="54"/>
  <c r="AS357" i="54"/>
  <c r="AN80" i="54"/>
  <c r="AS80" i="54" s="1"/>
  <c r="AS92" i="54"/>
  <c r="AS71" i="54"/>
  <c r="AS91" i="54"/>
  <c r="AS308" i="54"/>
  <c r="AS228" i="54"/>
  <c r="AS53" i="54"/>
  <c r="AS70" i="54"/>
  <c r="AS4" i="54"/>
  <c r="AS366" i="54"/>
  <c r="AS11" i="54"/>
  <c r="AS292" i="54"/>
  <c r="AS289" i="54"/>
  <c r="AS14" i="54"/>
  <c r="AS5" i="54"/>
  <c r="AS362" i="54"/>
  <c r="AS54" i="54"/>
  <c r="AS90" i="54"/>
  <c r="AS302" i="54"/>
  <c r="AS356" i="54"/>
  <c r="AS365" i="54"/>
  <c r="AS81" i="54"/>
  <c r="AS102" i="54"/>
  <c r="AS82" i="54"/>
  <c r="AS73" i="54"/>
  <c r="AS12" i="54"/>
  <c r="AS89" i="54"/>
  <c r="AS323" i="54"/>
  <c r="AS373" i="54"/>
  <c r="AS257" i="54"/>
  <c r="AS94" i="54"/>
  <c r="AS6" i="54"/>
  <c r="AS207" i="54"/>
  <c r="AS74" i="54"/>
  <c r="AS372" i="54"/>
  <c r="AS28" i="54"/>
  <c r="AS72" i="54"/>
  <c r="AS57" i="54"/>
  <c r="AS261" i="54"/>
  <c r="AS339" i="54"/>
  <c r="AS369" i="54"/>
  <c r="AS23" i="54"/>
  <c r="AM93" i="54"/>
  <c r="AN93" i="54"/>
  <c r="AS87" i="54"/>
  <c r="AS83" i="54"/>
  <c r="AS75" i="54"/>
  <c r="AS56" i="54"/>
  <c r="AS24" i="54"/>
  <c r="AS7" i="54"/>
  <c r="AS3" i="54"/>
  <c r="AS36" i="54"/>
  <c r="AM13" i="54"/>
  <c r="AN13" i="54"/>
  <c r="AS88" i="54"/>
  <c r="AS247" i="54"/>
  <c r="AS27" i="54"/>
  <c r="AS15" i="54"/>
  <c r="AS370" i="54"/>
  <c r="AS79" i="54"/>
  <c r="AS361" i="54"/>
  <c r="AN371" i="54"/>
  <c r="AM371" i="54"/>
  <c r="AN363" i="54"/>
  <c r="AM363" i="54"/>
  <c r="AM86" i="54"/>
  <c r="AN86" i="54"/>
  <c r="AM288" i="54"/>
  <c r="AN288" i="54"/>
  <c r="AS278" i="54"/>
  <c r="AS277" i="54"/>
  <c r="AS276" i="54"/>
  <c r="AS10" i="54"/>
  <c r="AS84" i="54"/>
  <c r="DN51" i="48" l="1"/>
  <c r="DO51" i="48" s="1"/>
  <c r="DN50" i="48"/>
  <c r="DO50" i="48" s="1"/>
  <c r="DJ50" i="48"/>
  <c r="DK50" i="48" s="1"/>
  <c r="DJ51" i="48"/>
  <c r="DK51" i="48" s="1"/>
  <c r="DH51" i="48"/>
  <c r="DC51" i="48"/>
  <c r="DE51" i="48" s="1"/>
  <c r="CY51" i="48"/>
  <c r="DG51" i="48"/>
  <c r="DA51" i="48"/>
  <c r="DD51" i="48" s="1"/>
  <c r="CY50" i="48"/>
  <c r="DC50" i="48"/>
  <c r="DE50" i="48" s="1"/>
  <c r="DH50" i="48"/>
  <c r="DA50" i="48"/>
  <c r="DG50" i="48"/>
  <c r="DI50" i="48" s="1"/>
  <c r="AT242" i="53"/>
  <c r="AT250" i="53"/>
  <c r="AT102" i="53"/>
  <c r="AT152" i="53"/>
  <c r="AT100" i="53"/>
  <c r="AT6" i="53"/>
  <c r="AS363" i="54"/>
  <c r="AS371" i="54"/>
  <c r="AS86" i="54"/>
  <c r="AS13" i="54"/>
  <c r="AS288" i="54"/>
  <c r="AS93" i="54"/>
  <c r="DP50" i="48" l="1"/>
  <c r="DD50" i="48"/>
  <c r="DP51" i="48"/>
  <c r="DI51" i="48"/>
  <c r="H514" i="41"/>
  <c r="G513" i="41"/>
  <c r="H513" i="41" s="1"/>
  <c r="G512" i="41"/>
  <c r="H512" i="41" s="1"/>
  <c r="G511" i="41"/>
  <c r="H511" i="41" s="1"/>
  <c r="H510" i="41"/>
  <c r="G510" i="41"/>
  <c r="G509" i="41"/>
  <c r="H509" i="41" s="1"/>
  <c r="G508" i="41"/>
  <c r="H508" i="41" s="1"/>
  <c r="H507" i="41"/>
  <c r="G507" i="41"/>
  <c r="G506" i="41"/>
  <c r="H506" i="41" s="1"/>
  <c r="H505" i="41"/>
  <c r="G505" i="41"/>
  <c r="G504" i="41"/>
  <c r="H504" i="41" s="1"/>
  <c r="G503" i="41"/>
  <c r="H503" i="41" s="1"/>
  <c r="H502" i="41"/>
  <c r="G502" i="41"/>
  <c r="G501" i="41"/>
  <c r="H501" i="41" s="1"/>
  <c r="G500" i="41"/>
  <c r="H500" i="41" s="1"/>
  <c r="H499" i="41"/>
  <c r="G499" i="41"/>
  <c r="G498" i="41"/>
  <c r="H498" i="41" s="1"/>
  <c r="H497" i="41"/>
  <c r="G497" i="41"/>
  <c r="G496" i="41"/>
  <c r="H496" i="41" s="1"/>
  <c r="G495" i="41"/>
  <c r="H495" i="41" s="1"/>
  <c r="H494" i="41"/>
  <c r="G494" i="41"/>
  <c r="G493" i="41"/>
  <c r="H493" i="41" s="1"/>
  <c r="G492" i="41"/>
  <c r="H492" i="41" s="1"/>
  <c r="H491" i="41"/>
  <c r="G491" i="41"/>
  <c r="G490" i="41"/>
  <c r="H490" i="41" s="1"/>
  <c r="H489" i="41"/>
  <c r="G489" i="41"/>
  <c r="G488" i="41"/>
  <c r="H488" i="41" s="1"/>
  <c r="G487" i="41"/>
  <c r="H487" i="41" s="1"/>
  <c r="H486" i="41"/>
  <c r="G486" i="41"/>
  <c r="G485" i="41"/>
  <c r="H485" i="41" s="1"/>
  <c r="G484" i="41"/>
  <c r="H484" i="41" s="1"/>
  <c r="H483" i="41"/>
  <c r="G483" i="41"/>
  <c r="G482" i="41"/>
  <c r="H482" i="41" s="1"/>
  <c r="H481" i="41"/>
  <c r="G481" i="41"/>
  <c r="G480" i="41"/>
  <c r="H480" i="41" s="1"/>
  <c r="G479" i="41"/>
  <c r="H479" i="41" s="1"/>
  <c r="H478" i="41"/>
  <c r="G478" i="41"/>
  <c r="G477" i="41"/>
  <c r="H477" i="41" s="1"/>
  <c r="G476" i="41"/>
  <c r="H476" i="41" s="1"/>
  <c r="H475" i="41"/>
  <c r="G475" i="41"/>
  <c r="G474" i="41"/>
  <c r="H474" i="41" s="1"/>
  <c r="G473" i="41"/>
  <c r="H473" i="41" s="1"/>
  <c r="G472" i="41"/>
  <c r="H472" i="41" s="1"/>
  <c r="G471" i="41"/>
  <c r="H471" i="41" s="1"/>
  <c r="H470" i="41"/>
  <c r="G470" i="41"/>
  <c r="G469" i="41"/>
  <c r="H469" i="41" s="1"/>
  <c r="G468" i="41"/>
  <c r="H468" i="41" s="1"/>
  <c r="H467" i="41"/>
  <c r="G467" i="41"/>
  <c r="G466" i="41"/>
  <c r="H466" i="41" s="1"/>
  <c r="H465" i="41"/>
  <c r="G465" i="41"/>
  <c r="G464" i="41"/>
  <c r="H464" i="41" s="1"/>
  <c r="G463" i="41"/>
  <c r="H463" i="41" s="1"/>
  <c r="H462" i="41"/>
  <c r="G462" i="41"/>
  <c r="G461" i="41"/>
  <c r="H461" i="41" s="1"/>
  <c r="G460" i="41"/>
  <c r="H460" i="41" s="1"/>
  <c r="H459" i="41"/>
  <c r="G459" i="41"/>
  <c r="G458" i="41"/>
  <c r="H458" i="41" s="1"/>
  <c r="G457" i="41"/>
  <c r="H457" i="41" s="1"/>
  <c r="G456" i="41"/>
  <c r="H456" i="41" s="1"/>
  <c r="G455" i="41"/>
  <c r="H455" i="41" s="1"/>
  <c r="H454" i="41"/>
  <c r="G454" i="41"/>
  <c r="G453" i="41"/>
  <c r="H453" i="41" s="1"/>
  <c r="G452" i="41"/>
  <c r="H452" i="41" s="1"/>
  <c r="H451" i="41"/>
  <c r="G451" i="41"/>
  <c r="G450" i="41"/>
  <c r="H450" i="41" s="1"/>
  <c r="G449" i="41"/>
  <c r="H449" i="41" s="1"/>
  <c r="G448" i="41"/>
  <c r="H448" i="41" s="1"/>
  <c r="G447" i="41"/>
  <c r="H447" i="41" s="1"/>
  <c r="H446" i="41"/>
  <c r="G446" i="41"/>
  <c r="G445" i="41"/>
  <c r="H445" i="41" s="1"/>
  <c r="G444" i="41"/>
  <c r="H444" i="41" s="1"/>
  <c r="H443" i="41"/>
  <c r="G443" i="41"/>
  <c r="G442" i="41"/>
  <c r="H442" i="41" s="1"/>
  <c r="G441" i="41"/>
  <c r="H441" i="41" s="1"/>
  <c r="G440" i="41"/>
  <c r="H440" i="41" s="1"/>
  <c r="G439" i="41"/>
  <c r="H439" i="41" s="1"/>
  <c r="H438" i="41"/>
  <c r="G438" i="41"/>
  <c r="G437" i="41"/>
  <c r="H437" i="41" s="1"/>
  <c r="G436" i="41"/>
  <c r="H436" i="41" s="1"/>
  <c r="H435" i="41"/>
  <c r="G435" i="41"/>
  <c r="G434" i="41"/>
  <c r="H434" i="41" s="1"/>
  <c r="G433" i="41"/>
  <c r="H433" i="41" s="1"/>
  <c r="G432" i="41"/>
  <c r="H432" i="41" s="1"/>
  <c r="G431" i="41"/>
  <c r="H431" i="41" s="1"/>
  <c r="H430" i="41"/>
  <c r="G430" i="41"/>
  <c r="G429" i="41"/>
  <c r="H429" i="41" s="1"/>
  <c r="G428" i="41"/>
  <c r="H428" i="41" s="1"/>
  <c r="H427" i="41"/>
  <c r="G427" i="41"/>
  <c r="G426" i="41"/>
  <c r="H426" i="41" s="1"/>
  <c r="G425" i="41"/>
  <c r="H425" i="41" s="1"/>
  <c r="G424" i="41"/>
  <c r="H424" i="41" s="1"/>
  <c r="G423" i="41"/>
  <c r="H423" i="41" s="1"/>
  <c r="H422" i="41"/>
  <c r="G422" i="41"/>
  <c r="G421" i="41"/>
  <c r="H421" i="41" s="1"/>
  <c r="G420" i="41"/>
  <c r="H420" i="41" s="1"/>
  <c r="H419" i="41"/>
  <c r="G419" i="41"/>
  <c r="G418" i="41"/>
  <c r="H418" i="41" s="1"/>
  <c r="G417" i="41"/>
  <c r="H417" i="41" s="1"/>
  <c r="G416" i="41"/>
  <c r="H416" i="41" s="1"/>
  <c r="G415" i="41"/>
  <c r="H415" i="41" s="1"/>
  <c r="H414" i="41"/>
  <c r="G414" i="41"/>
  <c r="G413" i="41"/>
  <c r="H413" i="41" s="1"/>
  <c r="G412" i="41"/>
  <c r="H412" i="41" s="1"/>
  <c r="H411" i="41"/>
  <c r="G411" i="41"/>
  <c r="G410" i="41"/>
  <c r="H410" i="41" s="1"/>
  <c r="G409" i="41"/>
  <c r="H409" i="41" s="1"/>
  <c r="H408" i="41"/>
  <c r="G408" i="41"/>
  <c r="G407" i="41"/>
  <c r="H407" i="41" s="1"/>
  <c r="H406" i="41"/>
  <c r="G406" i="41"/>
  <c r="G405" i="41"/>
  <c r="H405" i="41" s="1"/>
  <c r="G404" i="41"/>
  <c r="H404" i="41" s="1"/>
  <c r="H403" i="41"/>
  <c r="G403" i="41"/>
  <c r="G402" i="41"/>
  <c r="H402" i="41" s="1"/>
  <c r="G401" i="41"/>
  <c r="H401" i="41" s="1"/>
  <c r="H400" i="41"/>
  <c r="G400" i="41"/>
  <c r="G399" i="41"/>
  <c r="H399" i="41" s="1"/>
  <c r="H398" i="41"/>
  <c r="G398" i="41"/>
  <c r="G397" i="41"/>
  <c r="H397" i="41" s="1"/>
  <c r="G396" i="41"/>
  <c r="H396" i="41" s="1"/>
  <c r="H395" i="41"/>
  <c r="G395" i="41"/>
  <c r="G394" i="41"/>
  <c r="H394" i="41" s="1"/>
  <c r="G393" i="41"/>
  <c r="H393" i="41" s="1"/>
  <c r="G392" i="41"/>
  <c r="H392" i="41" s="1"/>
  <c r="G391" i="41"/>
  <c r="H391" i="41" s="1"/>
  <c r="H390" i="41"/>
  <c r="G390" i="41"/>
  <c r="G389" i="41"/>
  <c r="H389" i="41" s="1"/>
  <c r="G388" i="41"/>
  <c r="H388" i="41" s="1"/>
  <c r="H387" i="41"/>
  <c r="G387" i="41"/>
  <c r="G386" i="41"/>
  <c r="H386" i="41" s="1"/>
  <c r="H385" i="41"/>
  <c r="G385" i="41"/>
  <c r="G384" i="41"/>
  <c r="H384" i="41" s="1"/>
  <c r="G383" i="41"/>
  <c r="H383" i="41" s="1"/>
  <c r="H382" i="41"/>
  <c r="G382" i="41"/>
  <c r="G381" i="41"/>
  <c r="H381" i="41" s="1"/>
  <c r="G380" i="41"/>
  <c r="H380" i="41" s="1"/>
  <c r="H379" i="41"/>
  <c r="G379" i="41"/>
  <c r="G378" i="41"/>
  <c r="H378" i="41" s="1"/>
  <c r="H377" i="41"/>
  <c r="G377" i="41"/>
  <c r="G376" i="41"/>
  <c r="H376" i="41" s="1"/>
  <c r="G375" i="41"/>
  <c r="H375" i="41" s="1"/>
  <c r="H374" i="41"/>
  <c r="G374" i="41"/>
  <c r="G373" i="41"/>
  <c r="H373" i="41" s="1"/>
  <c r="G372" i="41"/>
  <c r="H372" i="41" s="1"/>
  <c r="H371" i="41"/>
  <c r="G371" i="41"/>
  <c r="G370" i="41"/>
  <c r="H370" i="41" s="1"/>
  <c r="H369" i="41"/>
  <c r="G369" i="41"/>
  <c r="G368" i="41"/>
  <c r="H368" i="41" s="1"/>
  <c r="G367" i="41"/>
  <c r="H367" i="41" s="1"/>
  <c r="H366" i="41"/>
  <c r="G366" i="41"/>
  <c r="G365" i="41"/>
  <c r="H365" i="41" s="1"/>
  <c r="G364" i="41"/>
  <c r="H364" i="41" s="1"/>
  <c r="H363" i="41"/>
  <c r="G363" i="41"/>
  <c r="G362" i="41"/>
  <c r="H362" i="41" s="1"/>
  <c r="H361" i="41"/>
  <c r="G361" i="41"/>
  <c r="G360" i="41"/>
  <c r="H360" i="41" s="1"/>
  <c r="G359" i="41"/>
  <c r="H359" i="41" s="1"/>
  <c r="H358" i="41"/>
  <c r="G358" i="41"/>
  <c r="G357" i="41"/>
  <c r="H357" i="41" s="1"/>
  <c r="G356" i="41"/>
  <c r="H356" i="41" s="1"/>
  <c r="H355" i="41"/>
  <c r="G355" i="41"/>
  <c r="G354" i="41"/>
  <c r="H354" i="41" s="1"/>
  <c r="G353" i="41"/>
  <c r="H353" i="41" s="1"/>
  <c r="G352" i="41"/>
  <c r="H352" i="41" s="1"/>
  <c r="G351" i="41"/>
  <c r="H351" i="41" s="1"/>
  <c r="H350" i="41"/>
  <c r="G350" i="41"/>
  <c r="G349" i="41"/>
  <c r="H349" i="41" s="1"/>
  <c r="G348" i="41"/>
  <c r="H348" i="41" s="1"/>
  <c r="H347" i="41"/>
  <c r="G347" i="41"/>
  <c r="G346" i="41"/>
  <c r="H346" i="41" s="1"/>
  <c r="G345" i="41"/>
  <c r="H345" i="41" s="1"/>
  <c r="G344" i="41"/>
  <c r="H344" i="41" s="1"/>
  <c r="G343" i="41"/>
  <c r="H343" i="41" s="1"/>
  <c r="H342" i="41"/>
  <c r="G342" i="41"/>
  <c r="G341" i="41"/>
  <c r="H341" i="41" s="1"/>
  <c r="G340" i="41"/>
  <c r="H340" i="41" s="1"/>
  <c r="H339" i="41"/>
  <c r="G339" i="41"/>
  <c r="G338" i="41"/>
  <c r="H338" i="41" s="1"/>
  <c r="G337" i="41"/>
  <c r="H337" i="41" s="1"/>
  <c r="G336" i="41"/>
  <c r="H336" i="41" s="1"/>
  <c r="G335" i="41"/>
  <c r="H335" i="41" s="1"/>
  <c r="H334" i="41"/>
  <c r="G334" i="41"/>
  <c r="G333" i="41"/>
  <c r="H333" i="41" s="1"/>
  <c r="G332" i="41"/>
  <c r="H332" i="41" s="1"/>
  <c r="H331" i="41"/>
  <c r="G331" i="41"/>
  <c r="G330" i="41"/>
  <c r="H330" i="41" s="1"/>
  <c r="G329" i="41"/>
  <c r="H329" i="41" s="1"/>
  <c r="G328" i="41"/>
  <c r="H328" i="41" s="1"/>
  <c r="G327" i="41"/>
  <c r="H327" i="41" s="1"/>
  <c r="H326" i="41"/>
  <c r="G326" i="41"/>
  <c r="G325" i="41"/>
  <c r="H325" i="41" s="1"/>
  <c r="G324" i="41"/>
  <c r="H324" i="41" s="1"/>
  <c r="H323" i="41"/>
  <c r="G323" i="41"/>
  <c r="G322" i="41"/>
  <c r="H322" i="41" s="1"/>
  <c r="G321" i="41"/>
  <c r="H321" i="41" s="1"/>
  <c r="G320" i="41"/>
  <c r="H320" i="41" s="1"/>
  <c r="G319" i="41"/>
  <c r="H319" i="41" s="1"/>
  <c r="H318" i="41"/>
  <c r="G318" i="41"/>
  <c r="G317" i="41"/>
  <c r="H317" i="41" s="1"/>
  <c r="G316" i="41"/>
  <c r="H316" i="41" s="1"/>
  <c r="H315" i="41"/>
  <c r="G315" i="41"/>
  <c r="G314" i="41"/>
  <c r="H314" i="41" s="1"/>
  <c r="G313" i="41"/>
  <c r="H313" i="41" s="1"/>
  <c r="G312" i="41"/>
  <c r="H312" i="41" s="1"/>
  <c r="G311" i="41"/>
  <c r="H311" i="41" s="1"/>
  <c r="H310" i="41"/>
  <c r="G310" i="41"/>
  <c r="G309" i="41"/>
  <c r="H309" i="41" s="1"/>
  <c r="G308" i="41"/>
  <c r="H308" i="41" s="1"/>
  <c r="H307" i="41"/>
  <c r="G307" i="41"/>
  <c r="G306" i="41"/>
  <c r="H306" i="41" s="1"/>
  <c r="G305" i="41"/>
  <c r="H305" i="41" s="1"/>
  <c r="G304" i="41"/>
  <c r="H304" i="41" s="1"/>
  <c r="G303" i="41"/>
  <c r="H303" i="41" s="1"/>
  <c r="H302" i="41"/>
  <c r="G302" i="41"/>
  <c r="G301" i="41"/>
  <c r="H301" i="41" s="1"/>
  <c r="G300" i="41"/>
  <c r="H300" i="41" s="1"/>
  <c r="H299" i="41"/>
  <c r="G299" i="41"/>
  <c r="G298" i="41"/>
  <c r="H298" i="41" s="1"/>
  <c r="G297" i="41"/>
  <c r="H297" i="41" s="1"/>
  <c r="H296" i="41"/>
  <c r="G296" i="41"/>
  <c r="G295" i="41"/>
  <c r="H295" i="41" s="1"/>
  <c r="H294" i="41"/>
  <c r="G294" i="41"/>
  <c r="G293" i="41"/>
  <c r="H293" i="41" s="1"/>
  <c r="G292" i="41"/>
  <c r="H292" i="41" s="1"/>
  <c r="H291" i="41"/>
  <c r="G291" i="41"/>
  <c r="G290" i="41"/>
  <c r="H290" i="41" s="1"/>
  <c r="G289" i="41"/>
  <c r="H289" i="41" s="1"/>
  <c r="H288" i="41"/>
  <c r="G288" i="41"/>
  <c r="G287" i="41"/>
  <c r="H287" i="41" s="1"/>
  <c r="H286" i="41"/>
  <c r="G286" i="41"/>
  <c r="G285" i="41"/>
  <c r="H285" i="41" s="1"/>
  <c r="G284" i="41"/>
  <c r="H284" i="41" s="1"/>
  <c r="H283" i="41"/>
  <c r="G283" i="41"/>
  <c r="G282" i="41"/>
  <c r="H282" i="41" s="1"/>
  <c r="G281" i="41"/>
  <c r="H281" i="41" s="1"/>
  <c r="H280" i="41"/>
  <c r="G280" i="41"/>
  <c r="G279" i="41"/>
  <c r="H279" i="41" s="1"/>
  <c r="H278" i="41"/>
  <c r="G278" i="41"/>
  <c r="G277" i="41"/>
  <c r="H277" i="41" s="1"/>
  <c r="G276" i="41"/>
  <c r="H276" i="41" s="1"/>
  <c r="H275" i="41"/>
  <c r="G275" i="41"/>
  <c r="G274" i="41"/>
  <c r="H274" i="41" s="1"/>
  <c r="G273" i="41"/>
  <c r="H273" i="41" s="1"/>
  <c r="G272" i="41"/>
  <c r="H272" i="41" s="1"/>
  <c r="G271" i="41"/>
  <c r="H271" i="41" s="1"/>
  <c r="H270" i="41"/>
  <c r="G270" i="41"/>
  <c r="G269" i="41"/>
  <c r="H269" i="41" s="1"/>
  <c r="G268" i="41"/>
  <c r="H268" i="41" s="1"/>
  <c r="H267" i="41"/>
  <c r="G267" i="41"/>
  <c r="G266" i="41"/>
  <c r="H266" i="41" s="1"/>
  <c r="G265" i="41"/>
  <c r="H265" i="41" s="1"/>
  <c r="G264" i="41"/>
  <c r="H264" i="41" s="1"/>
  <c r="G263" i="41"/>
  <c r="H263" i="41" s="1"/>
  <c r="H262" i="41"/>
  <c r="G262" i="41"/>
  <c r="G261" i="41"/>
  <c r="H261" i="41" s="1"/>
  <c r="G260" i="41"/>
  <c r="H260" i="41" s="1"/>
  <c r="H259" i="41"/>
  <c r="G259" i="41"/>
  <c r="G258" i="41"/>
  <c r="H258" i="41" s="1"/>
  <c r="G257" i="41"/>
  <c r="H257" i="41" s="1"/>
  <c r="H256" i="41"/>
  <c r="G256" i="41"/>
  <c r="G255" i="41"/>
  <c r="H255" i="41" s="1"/>
  <c r="H254" i="41"/>
  <c r="G254" i="41"/>
  <c r="G253" i="41"/>
  <c r="H253" i="41" s="1"/>
  <c r="G252" i="41"/>
  <c r="H252" i="41" s="1"/>
  <c r="H251" i="41"/>
  <c r="G251" i="41"/>
  <c r="G250" i="41"/>
  <c r="H250" i="41" s="1"/>
  <c r="G249" i="41"/>
  <c r="H249" i="41" s="1"/>
  <c r="H248" i="41"/>
  <c r="G248" i="41"/>
  <c r="G247" i="41"/>
  <c r="H247" i="41" s="1"/>
  <c r="H246" i="41"/>
  <c r="G246" i="41"/>
  <c r="G245" i="41"/>
  <c r="H245" i="41" s="1"/>
  <c r="G244" i="41"/>
  <c r="H244" i="41" s="1"/>
  <c r="H243" i="41"/>
  <c r="G243" i="41"/>
  <c r="G242" i="41"/>
  <c r="H242" i="41" s="1"/>
  <c r="G241" i="41"/>
  <c r="H241" i="41" s="1"/>
  <c r="G240" i="41"/>
  <c r="H240" i="41" s="1"/>
  <c r="G239" i="41"/>
  <c r="H239" i="41" s="1"/>
  <c r="H238" i="41"/>
  <c r="G238" i="41"/>
  <c r="G237" i="41"/>
  <c r="H237" i="41" s="1"/>
  <c r="H236" i="41"/>
  <c r="G236" i="41"/>
  <c r="H235" i="41"/>
  <c r="G235" i="41"/>
  <c r="G234" i="41"/>
  <c r="H234" i="41" s="1"/>
  <c r="G233" i="41"/>
  <c r="H233" i="41" s="1"/>
  <c r="G232" i="41"/>
  <c r="H232" i="41" s="1"/>
  <c r="G231" i="41"/>
  <c r="H231" i="41" s="1"/>
  <c r="H230" i="41"/>
  <c r="G230" i="41"/>
  <c r="G229" i="41"/>
  <c r="H229" i="41" s="1"/>
  <c r="H228" i="41"/>
  <c r="G228" i="41"/>
  <c r="H227" i="41"/>
  <c r="G227" i="41"/>
  <c r="G226" i="41"/>
  <c r="H226" i="41" s="1"/>
  <c r="G225" i="41"/>
  <c r="H225" i="41" s="1"/>
  <c r="G224" i="41"/>
  <c r="H224" i="41" s="1"/>
  <c r="G223" i="41"/>
  <c r="H223" i="41" s="1"/>
  <c r="H222" i="41"/>
  <c r="G222" i="41"/>
  <c r="G221" i="41"/>
  <c r="H221" i="41" s="1"/>
  <c r="H220" i="41"/>
  <c r="G220" i="41"/>
  <c r="H219" i="41"/>
  <c r="G219" i="41"/>
  <c r="G218" i="41"/>
  <c r="H218" i="41" s="1"/>
  <c r="G217" i="41"/>
  <c r="H217" i="41" s="1"/>
  <c r="G216" i="41"/>
  <c r="H216" i="41" s="1"/>
  <c r="G215" i="41"/>
  <c r="H215" i="41" s="1"/>
  <c r="H214" i="41"/>
  <c r="G214" i="41"/>
  <c r="G213" i="41"/>
  <c r="H213" i="41" s="1"/>
  <c r="H212" i="41"/>
  <c r="G212" i="41"/>
  <c r="H211" i="41"/>
  <c r="G211" i="41"/>
  <c r="G210" i="41"/>
  <c r="H210" i="41" s="1"/>
  <c r="G209" i="41"/>
  <c r="H209" i="41" s="1"/>
  <c r="G208" i="41"/>
  <c r="H208" i="41" s="1"/>
  <c r="G207" i="41"/>
  <c r="H207" i="41" s="1"/>
  <c r="H206" i="41"/>
  <c r="G206" i="41"/>
  <c r="G205" i="41"/>
  <c r="H205" i="41" s="1"/>
  <c r="H204" i="41"/>
  <c r="G204" i="41"/>
  <c r="H203" i="41"/>
  <c r="G203" i="41"/>
  <c r="G202" i="41"/>
  <c r="H202" i="41" s="1"/>
  <c r="G201" i="41"/>
  <c r="H201" i="41" s="1"/>
  <c r="G200" i="41"/>
  <c r="H200" i="41" s="1"/>
  <c r="G199" i="41"/>
  <c r="H199" i="41" s="1"/>
  <c r="H198" i="41"/>
  <c r="G198" i="41"/>
  <c r="G197" i="41"/>
  <c r="H197" i="41" s="1"/>
  <c r="H196" i="41"/>
  <c r="G196" i="41"/>
  <c r="H195" i="41"/>
  <c r="G195" i="41"/>
  <c r="G194" i="41"/>
  <c r="H194" i="41" s="1"/>
  <c r="G193" i="41"/>
  <c r="H193" i="41" s="1"/>
  <c r="G192" i="41"/>
  <c r="H192" i="41" s="1"/>
  <c r="G191" i="41"/>
  <c r="H191" i="41" s="1"/>
  <c r="H190" i="41"/>
  <c r="G190" i="41"/>
  <c r="G189" i="41"/>
  <c r="H189" i="41" s="1"/>
  <c r="H188" i="41"/>
  <c r="G188" i="41"/>
  <c r="H187" i="41"/>
  <c r="G187" i="41"/>
  <c r="G186" i="41"/>
  <c r="H186" i="41" s="1"/>
  <c r="G185" i="41"/>
  <c r="H185" i="41" s="1"/>
  <c r="G184" i="41"/>
  <c r="H184" i="41" s="1"/>
  <c r="G183" i="41"/>
  <c r="H183" i="41" s="1"/>
  <c r="H182" i="41"/>
  <c r="G182" i="41"/>
  <c r="G181" i="41"/>
  <c r="H181" i="41" s="1"/>
  <c r="H180" i="41"/>
  <c r="G180" i="41"/>
  <c r="H179" i="41"/>
  <c r="G179" i="41"/>
  <c r="G178" i="41"/>
  <c r="H178" i="41" s="1"/>
  <c r="G177" i="41"/>
  <c r="H177" i="41" s="1"/>
  <c r="G176" i="41"/>
  <c r="H176" i="41" s="1"/>
  <c r="G175" i="41"/>
  <c r="H175" i="41" s="1"/>
  <c r="H174" i="41"/>
  <c r="G174" i="41"/>
  <c r="G173" i="41"/>
  <c r="H173" i="41" s="1"/>
  <c r="H172" i="41"/>
  <c r="G172" i="41"/>
  <c r="E171" i="41"/>
  <c r="G171" i="41" s="1"/>
  <c r="H171" i="41" s="1"/>
  <c r="E170" i="41"/>
  <c r="G170" i="41" s="1"/>
  <c r="H170" i="41" s="1"/>
  <c r="E169" i="41"/>
  <c r="G169" i="41" s="1"/>
  <c r="H169" i="41" s="1"/>
  <c r="G168" i="41"/>
  <c r="H168" i="41" s="1"/>
  <c r="E168" i="41"/>
  <c r="E167" i="41"/>
  <c r="G167" i="41" s="1"/>
  <c r="H167" i="41" s="1"/>
  <c r="G166" i="41"/>
  <c r="H166" i="41" s="1"/>
  <c r="E166" i="41"/>
  <c r="E165" i="41"/>
  <c r="G165" i="41" s="1"/>
  <c r="H165" i="41" s="1"/>
  <c r="G164" i="41"/>
  <c r="H164" i="41" s="1"/>
  <c r="E164" i="41"/>
  <c r="E163" i="41"/>
  <c r="G163" i="41" s="1"/>
  <c r="H163" i="41" s="1"/>
  <c r="G162" i="41"/>
  <c r="H162" i="41" s="1"/>
  <c r="E162" i="41"/>
  <c r="E161" i="41"/>
  <c r="G161" i="41" s="1"/>
  <c r="H161" i="41" s="1"/>
  <c r="G160" i="41"/>
  <c r="H160" i="41" s="1"/>
  <c r="E160" i="41"/>
  <c r="E159" i="41"/>
  <c r="G159" i="41" s="1"/>
  <c r="H159" i="41" s="1"/>
  <c r="E158" i="41"/>
  <c r="G158" i="41" s="1"/>
  <c r="H158" i="41" s="1"/>
  <c r="E157" i="41"/>
  <c r="G157" i="41" s="1"/>
  <c r="H157" i="41" s="1"/>
  <c r="G156" i="41"/>
  <c r="H156" i="41" s="1"/>
  <c r="E156" i="41"/>
  <c r="E155" i="41"/>
  <c r="G155" i="41" s="1"/>
  <c r="H155" i="41" s="1"/>
  <c r="E154" i="41"/>
  <c r="G154" i="41" s="1"/>
  <c r="H154" i="41" s="1"/>
  <c r="E153" i="41"/>
  <c r="G153" i="41" s="1"/>
  <c r="H153" i="41" s="1"/>
  <c r="G152" i="41"/>
  <c r="H152" i="41" s="1"/>
  <c r="E152" i="41"/>
  <c r="E151" i="41"/>
  <c r="G151" i="41" s="1"/>
  <c r="H151" i="41" s="1"/>
  <c r="E150" i="41"/>
  <c r="G150" i="41" s="1"/>
  <c r="H150" i="41" s="1"/>
  <c r="E149" i="41"/>
  <c r="G149" i="41" s="1"/>
  <c r="H149" i="41" s="1"/>
  <c r="G148" i="41"/>
  <c r="H148" i="41" s="1"/>
  <c r="E148" i="41"/>
  <c r="E147" i="41"/>
  <c r="G147" i="41" s="1"/>
  <c r="H147" i="41" s="1"/>
  <c r="E146" i="41"/>
  <c r="G146" i="41" s="1"/>
  <c r="H146" i="41" s="1"/>
  <c r="E145" i="41"/>
  <c r="G145" i="41" s="1"/>
  <c r="H145" i="41" s="1"/>
  <c r="G144" i="41"/>
  <c r="H144" i="41" s="1"/>
  <c r="E144" i="41"/>
  <c r="E143" i="41"/>
  <c r="G143" i="41" s="1"/>
  <c r="H143" i="41" s="1"/>
  <c r="E142" i="41"/>
  <c r="G142" i="41" s="1"/>
  <c r="H142" i="41" s="1"/>
  <c r="E141" i="41"/>
  <c r="G141" i="41" s="1"/>
  <c r="H141" i="41" s="1"/>
  <c r="G140" i="41"/>
  <c r="H140" i="41" s="1"/>
  <c r="E140" i="41"/>
  <c r="E139" i="41"/>
  <c r="G139" i="41" s="1"/>
  <c r="H139" i="41" s="1"/>
  <c r="E138" i="41"/>
  <c r="G138" i="41" s="1"/>
  <c r="H138" i="41" s="1"/>
  <c r="E137" i="41"/>
  <c r="G137" i="41" s="1"/>
  <c r="H137" i="41" s="1"/>
  <c r="G136" i="41"/>
  <c r="H136" i="41" s="1"/>
  <c r="E136" i="41"/>
  <c r="E135" i="41"/>
  <c r="G135" i="41" s="1"/>
  <c r="H135" i="41" s="1"/>
  <c r="E134" i="41"/>
  <c r="G134" i="41" s="1"/>
  <c r="H134" i="41" s="1"/>
  <c r="E133" i="41"/>
  <c r="G133" i="41" s="1"/>
  <c r="H133" i="41" s="1"/>
  <c r="G132" i="41"/>
  <c r="H132" i="41" s="1"/>
  <c r="E132" i="41"/>
  <c r="E131" i="41"/>
  <c r="G131" i="41" s="1"/>
  <c r="H131" i="41" s="1"/>
  <c r="E130" i="41"/>
  <c r="G130" i="41" s="1"/>
  <c r="H130" i="41" s="1"/>
  <c r="E129" i="41"/>
  <c r="G129" i="41" s="1"/>
  <c r="H129" i="41" s="1"/>
  <c r="G128" i="41"/>
  <c r="H128" i="41" s="1"/>
  <c r="E128" i="41"/>
  <c r="E127" i="41"/>
  <c r="G127" i="41" s="1"/>
  <c r="H127" i="41" s="1"/>
  <c r="E126" i="41"/>
  <c r="G126" i="41" s="1"/>
  <c r="H126" i="41" s="1"/>
  <c r="E125" i="41"/>
  <c r="G125" i="41" s="1"/>
  <c r="H125" i="41" s="1"/>
  <c r="G124" i="41"/>
  <c r="H124" i="41" s="1"/>
  <c r="E124" i="41"/>
  <c r="E123" i="41"/>
  <c r="G123" i="41" s="1"/>
  <c r="H123" i="41" s="1"/>
  <c r="E122" i="41"/>
  <c r="G122" i="41" s="1"/>
  <c r="H122" i="41" s="1"/>
  <c r="E121" i="41"/>
  <c r="G121" i="41" s="1"/>
  <c r="H121" i="41" s="1"/>
  <c r="G120" i="41"/>
  <c r="H120" i="41" s="1"/>
  <c r="E120" i="41"/>
  <c r="E119" i="41"/>
  <c r="G119" i="41" s="1"/>
  <c r="H119" i="41" s="1"/>
  <c r="E118" i="41"/>
  <c r="G118" i="41" s="1"/>
  <c r="H118" i="41" s="1"/>
  <c r="E117" i="41"/>
  <c r="G117" i="41" s="1"/>
  <c r="H117" i="41" s="1"/>
  <c r="G116" i="41"/>
  <c r="H116" i="41" s="1"/>
  <c r="E116" i="41"/>
  <c r="E115" i="41"/>
  <c r="G115" i="41" s="1"/>
  <c r="H115" i="41" s="1"/>
  <c r="E114" i="41"/>
  <c r="G114" i="41" s="1"/>
  <c r="H114" i="41" s="1"/>
  <c r="E113" i="41"/>
  <c r="G113" i="41" s="1"/>
  <c r="H113" i="41" s="1"/>
  <c r="G112" i="41"/>
  <c r="H112" i="41" s="1"/>
  <c r="E112" i="41"/>
  <c r="E111" i="41"/>
  <c r="G111" i="41" s="1"/>
  <c r="H111" i="41" s="1"/>
  <c r="E110" i="41"/>
  <c r="G110" i="41" s="1"/>
  <c r="H110" i="41" s="1"/>
  <c r="E109" i="41"/>
  <c r="G109" i="41" s="1"/>
  <c r="H109" i="41" s="1"/>
  <c r="G108" i="41"/>
  <c r="H108" i="41" s="1"/>
  <c r="E108" i="41"/>
  <c r="E107" i="41"/>
  <c r="G107" i="41" s="1"/>
  <c r="H107" i="41" s="1"/>
  <c r="E106" i="41"/>
  <c r="G106" i="41" s="1"/>
  <c r="H106" i="41" s="1"/>
  <c r="E105" i="41"/>
  <c r="G105" i="41" s="1"/>
  <c r="H105" i="41" s="1"/>
  <c r="G104" i="41"/>
  <c r="H104" i="41" s="1"/>
  <c r="E104" i="41"/>
  <c r="E103" i="41"/>
  <c r="G103" i="41" s="1"/>
  <c r="H103" i="41" s="1"/>
  <c r="E102" i="41"/>
  <c r="G102" i="41" s="1"/>
  <c r="H102" i="41" s="1"/>
  <c r="E101" i="41"/>
  <c r="G101" i="41" s="1"/>
  <c r="H101" i="41" s="1"/>
  <c r="G100" i="41"/>
  <c r="H100" i="41" s="1"/>
  <c r="E100" i="41"/>
  <c r="E99" i="41"/>
  <c r="G99" i="41" s="1"/>
  <c r="H99" i="41" s="1"/>
  <c r="E98" i="41"/>
  <c r="G98" i="41" s="1"/>
  <c r="H98" i="41" s="1"/>
  <c r="E97" i="41"/>
  <c r="G97" i="41" s="1"/>
  <c r="H97" i="41" s="1"/>
  <c r="G96" i="41"/>
  <c r="H96" i="41" s="1"/>
  <c r="E96" i="41"/>
  <c r="E95" i="41"/>
  <c r="G95" i="41" s="1"/>
  <c r="H95" i="41" s="1"/>
  <c r="E94" i="41"/>
  <c r="G94" i="41" s="1"/>
  <c r="H94" i="41" s="1"/>
  <c r="E93" i="41"/>
  <c r="G93" i="41" s="1"/>
  <c r="H93" i="41" s="1"/>
  <c r="G92" i="41"/>
  <c r="H92" i="41" s="1"/>
  <c r="E92" i="41"/>
  <c r="E91" i="41"/>
  <c r="G91" i="41" s="1"/>
  <c r="H91" i="41" s="1"/>
  <c r="E90" i="41"/>
  <c r="G90" i="41" s="1"/>
  <c r="H90" i="41" s="1"/>
  <c r="E89" i="41"/>
  <c r="G89" i="41" s="1"/>
  <c r="H89" i="41" s="1"/>
  <c r="G88" i="41"/>
  <c r="H88" i="41" s="1"/>
  <c r="E88" i="41"/>
  <c r="E87" i="41"/>
  <c r="G87" i="41" s="1"/>
  <c r="H87" i="41" s="1"/>
  <c r="E86" i="41"/>
  <c r="G86" i="41" s="1"/>
  <c r="H86" i="41" s="1"/>
  <c r="E85" i="41"/>
  <c r="G85" i="41" s="1"/>
  <c r="H85" i="41" s="1"/>
  <c r="G84" i="41"/>
  <c r="H84" i="41" s="1"/>
  <c r="E84" i="41"/>
  <c r="E83" i="41"/>
  <c r="G83" i="41" s="1"/>
  <c r="H83" i="41" s="1"/>
  <c r="E82" i="41"/>
  <c r="G82" i="41" s="1"/>
  <c r="H82" i="41" s="1"/>
  <c r="E81" i="41"/>
  <c r="G81" i="41" s="1"/>
  <c r="H81" i="41" s="1"/>
  <c r="G80" i="41"/>
  <c r="H80" i="41" s="1"/>
  <c r="E80" i="41"/>
  <c r="E79" i="41"/>
  <c r="G79" i="41" s="1"/>
  <c r="H79" i="41" s="1"/>
  <c r="E78" i="41"/>
  <c r="G78" i="41" s="1"/>
  <c r="H78" i="41" s="1"/>
  <c r="E77" i="41"/>
  <c r="G77" i="41" s="1"/>
  <c r="H77" i="41" s="1"/>
  <c r="G76" i="41"/>
  <c r="H76" i="41" s="1"/>
  <c r="E76" i="41"/>
  <c r="E75" i="41"/>
  <c r="G75" i="41" s="1"/>
  <c r="H75" i="41" s="1"/>
  <c r="E74" i="41"/>
  <c r="G74" i="41" s="1"/>
  <c r="H74" i="41" s="1"/>
  <c r="E73" i="41"/>
  <c r="G73" i="41" s="1"/>
  <c r="H73" i="41" s="1"/>
  <c r="G72" i="41"/>
  <c r="H72" i="41" s="1"/>
  <c r="E72" i="41"/>
  <c r="E71" i="41"/>
  <c r="G71" i="41" s="1"/>
  <c r="H71" i="41" s="1"/>
  <c r="E70" i="41"/>
  <c r="G70" i="41" s="1"/>
  <c r="H70" i="41" s="1"/>
  <c r="E69" i="41"/>
  <c r="G69" i="41" s="1"/>
  <c r="H69" i="41" s="1"/>
  <c r="E68" i="41"/>
  <c r="G68" i="41" s="1"/>
  <c r="H68" i="41" s="1"/>
  <c r="E67" i="41"/>
  <c r="G67" i="41" s="1"/>
  <c r="H67" i="41" s="1"/>
  <c r="E66" i="41"/>
  <c r="G66" i="41" s="1"/>
  <c r="H66" i="41" s="1"/>
  <c r="E65" i="41"/>
  <c r="G65" i="41" s="1"/>
  <c r="H65" i="41" s="1"/>
  <c r="E64" i="41"/>
  <c r="G64" i="41" s="1"/>
  <c r="H64" i="41" s="1"/>
  <c r="E63" i="41"/>
  <c r="G63" i="41" s="1"/>
  <c r="H63" i="41" s="1"/>
  <c r="E62" i="41"/>
  <c r="G62" i="41" s="1"/>
  <c r="H62" i="41" s="1"/>
  <c r="E61" i="41"/>
  <c r="G61" i="41" s="1"/>
  <c r="H61" i="41" s="1"/>
  <c r="E60" i="41"/>
  <c r="G60" i="41" s="1"/>
  <c r="H60" i="41" s="1"/>
  <c r="E59" i="41"/>
  <c r="G59" i="41" s="1"/>
  <c r="H59" i="41" s="1"/>
  <c r="E58" i="41"/>
  <c r="G58" i="41" s="1"/>
  <c r="H58" i="41" s="1"/>
  <c r="E57" i="41"/>
  <c r="G57" i="41" s="1"/>
  <c r="H57" i="41" s="1"/>
  <c r="E56" i="41"/>
  <c r="G56" i="41" s="1"/>
  <c r="H56" i="41" s="1"/>
  <c r="E55" i="41"/>
  <c r="G55" i="41" s="1"/>
  <c r="H55" i="41" s="1"/>
  <c r="E54" i="41"/>
  <c r="G54" i="41" s="1"/>
  <c r="H54" i="41" s="1"/>
  <c r="E53" i="41"/>
  <c r="G53" i="41" s="1"/>
  <c r="H53" i="41" s="1"/>
  <c r="E52" i="41"/>
  <c r="G52" i="41" s="1"/>
  <c r="H52" i="41" s="1"/>
  <c r="E51" i="41"/>
  <c r="G51" i="41" s="1"/>
  <c r="H51" i="41" s="1"/>
  <c r="E50" i="41"/>
  <c r="G50" i="41" s="1"/>
  <c r="H50" i="41" s="1"/>
  <c r="E49" i="41"/>
  <c r="G49" i="41" s="1"/>
  <c r="H49" i="41" s="1"/>
  <c r="E48" i="41"/>
  <c r="G48" i="41" s="1"/>
  <c r="H48" i="41" s="1"/>
  <c r="E47" i="41"/>
  <c r="G47" i="41" s="1"/>
  <c r="H47" i="41" s="1"/>
  <c r="G46" i="41"/>
  <c r="H46" i="41" s="1"/>
  <c r="E46" i="41"/>
  <c r="E45" i="41"/>
  <c r="G45" i="41" s="1"/>
  <c r="H45" i="41" s="1"/>
  <c r="E44" i="41"/>
  <c r="G44" i="41" s="1"/>
  <c r="H44" i="41" s="1"/>
  <c r="E43" i="41"/>
  <c r="G43" i="41" s="1"/>
  <c r="H43" i="41" s="1"/>
  <c r="G42" i="41"/>
  <c r="H42" i="41" s="1"/>
  <c r="E42" i="41"/>
  <c r="E41" i="41"/>
  <c r="G41" i="41" s="1"/>
  <c r="H41" i="41" s="1"/>
  <c r="E40" i="41"/>
  <c r="G40" i="41" s="1"/>
  <c r="H40" i="41" s="1"/>
  <c r="E39" i="41"/>
  <c r="G39" i="41" s="1"/>
  <c r="H39" i="41" s="1"/>
  <c r="G38" i="41"/>
  <c r="H38" i="41" s="1"/>
  <c r="E38" i="41"/>
  <c r="E37" i="41"/>
  <c r="G37" i="41" s="1"/>
  <c r="H37" i="41" s="1"/>
  <c r="E36" i="41"/>
  <c r="G36" i="41" s="1"/>
  <c r="H36" i="41" s="1"/>
  <c r="E35" i="41"/>
  <c r="G35" i="41" s="1"/>
  <c r="H35" i="41" s="1"/>
  <c r="G34" i="41"/>
  <c r="H34" i="41" s="1"/>
  <c r="E34" i="41"/>
  <c r="E33" i="41"/>
  <c r="G33" i="41" s="1"/>
  <c r="H33" i="41" s="1"/>
  <c r="E32" i="41"/>
  <c r="G32" i="41" s="1"/>
  <c r="H32" i="41" s="1"/>
  <c r="E31" i="41"/>
  <c r="G31" i="41" s="1"/>
  <c r="H31" i="41" s="1"/>
  <c r="G30" i="41"/>
  <c r="H30" i="41" s="1"/>
  <c r="E30" i="41"/>
  <c r="E29" i="41"/>
  <c r="G29" i="41" s="1"/>
  <c r="H29" i="41" s="1"/>
  <c r="E28" i="41"/>
  <c r="G28" i="41" s="1"/>
  <c r="H28" i="41" s="1"/>
  <c r="E27" i="41"/>
  <c r="G27" i="41" s="1"/>
  <c r="H27" i="41" s="1"/>
  <c r="G26" i="41"/>
  <c r="H26" i="41" s="1"/>
  <c r="E26" i="41"/>
  <c r="E25" i="41"/>
  <c r="G25" i="41" s="1"/>
  <c r="H25" i="41" s="1"/>
  <c r="E24" i="41"/>
  <c r="G24" i="41" s="1"/>
  <c r="H24" i="41" s="1"/>
  <c r="E23" i="41"/>
  <c r="G23" i="41" s="1"/>
  <c r="H23" i="41" s="1"/>
  <c r="G22" i="41"/>
  <c r="H22" i="41" s="1"/>
  <c r="E22" i="41"/>
  <c r="E21" i="41"/>
  <c r="G21" i="41" s="1"/>
  <c r="H21" i="41" s="1"/>
  <c r="E20" i="41"/>
  <c r="G20" i="41" s="1"/>
  <c r="H20" i="41" s="1"/>
  <c r="E19" i="41"/>
  <c r="G19" i="41" s="1"/>
  <c r="H19" i="41" s="1"/>
  <c r="G18" i="41"/>
  <c r="H18" i="41" s="1"/>
  <c r="E18" i="41"/>
  <c r="E17" i="41"/>
  <c r="G17" i="41" s="1"/>
  <c r="H17" i="41" s="1"/>
  <c r="E16" i="41"/>
  <c r="G16" i="41" s="1"/>
  <c r="H16" i="41" s="1"/>
  <c r="E15" i="41"/>
  <c r="G15" i="41" s="1"/>
  <c r="H15" i="41" s="1"/>
  <c r="G14" i="41"/>
  <c r="H14" i="41" s="1"/>
  <c r="E14" i="41"/>
  <c r="E13" i="41"/>
  <c r="G13" i="41" s="1"/>
  <c r="H13" i="41" s="1"/>
  <c r="E12" i="41"/>
  <c r="G12" i="41" s="1"/>
  <c r="H12" i="41" s="1"/>
  <c r="E11" i="41"/>
  <c r="G11" i="41" s="1"/>
  <c r="H11" i="41" s="1"/>
  <c r="G10" i="41"/>
  <c r="H10" i="41" s="1"/>
  <c r="E10" i="41"/>
  <c r="E9" i="41"/>
  <c r="G9" i="41" s="1"/>
  <c r="H9" i="41" s="1"/>
  <c r="E8" i="41"/>
  <c r="G8" i="41" s="1"/>
  <c r="H8" i="41" s="1"/>
  <c r="E7" i="41"/>
  <c r="G7" i="41" s="1"/>
  <c r="H7" i="41" s="1"/>
  <c r="G6" i="41"/>
  <c r="H6" i="41" s="1"/>
  <c r="E6" i="41"/>
  <c r="E5" i="41"/>
  <c r="G5" i="41" s="1"/>
  <c r="H5" i="41" s="1"/>
  <c r="E4" i="41"/>
  <c r="G4" i="41" s="1"/>
  <c r="H4" i="41" s="1"/>
  <c r="E3" i="41"/>
  <c r="G3" i="41" s="1"/>
  <c r="H3" i="41" s="1"/>
  <c r="G2" i="41"/>
  <c r="H2" i="41" s="1"/>
  <c r="E2" i="41"/>
  <c r="DQ50" i="48" l="1"/>
  <c r="DR50" i="48" s="1"/>
  <c r="DT50" i="48" s="1"/>
  <c r="DU50" i="48" s="1"/>
  <c r="DV50" i="48" s="1"/>
  <c r="DW50" i="48" s="1"/>
  <c r="DX50" i="48" s="1"/>
  <c r="DY50" i="48" s="1"/>
  <c r="DZ50" i="48" s="1"/>
  <c r="EA50" i="48" s="1"/>
  <c r="EB50" i="48" s="1"/>
  <c r="DQ51" i="48"/>
  <c r="DR51" i="48" s="1"/>
  <c r="J5" i="50"/>
  <c r="J2" i="50"/>
  <c r="EC50" i="48" l="1"/>
  <c r="ED50" i="48" s="1"/>
  <c r="EF50" i="48" s="1"/>
  <c r="DT51" i="48"/>
  <c r="DU51" i="48" s="1"/>
  <c r="DV51" i="48" s="1"/>
  <c r="DW51" i="48" s="1"/>
  <c r="DX51" i="48" s="1"/>
  <c r="DY51" i="48" s="1"/>
  <c r="DZ51" i="48" s="1"/>
  <c r="EA51" i="48" s="1"/>
  <c r="F14" i="24"/>
  <c r="F13" i="24"/>
  <c r="F12" i="24"/>
  <c r="E118" i="45"/>
  <c r="EK49" i="48"/>
  <c r="DS49" i="48"/>
  <c r="DL49" i="48"/>
  <c r="DB49" i="48"/>
  <c r="CO49" i="48"/>
  <c r="CL49" i="48"/>
  <c r="EK48" i="48"/>
  <c r="DS48" i="48"/>
  <c r="DL48" i="48"/>
  <c r="EK47" i="48"/>
  <c r="DS47" i="48"/>
  <c r="DL47" i="48"/>
  <c r="CZ47" i="48"/>
  <c r="CL47" i="48"/>
  <c r="EK46" i="48"/>
  <c r="DS46" i="48"/>
  <c r="DL46" i="48"/>
  <c r="DB46" i="48"/>
  <c r="EK45" i="48"/>
  <c r="DS45" i="48"/>
  <c r="DL45" i="48"/>
  <c r="CZ45" i="48"/>
  <c r="CL45" i="48"/>
  <c r="EK44" i="48"/>
  <c r="DS44" i="48"/>
  <c r="DL44" i="48"/>
  <c r="EK43" i="48"/>
  <c r="DS43" i="48"/>
  <c r="DL43" i="48"/>
  <c r="CL43" i="48"/>
  <c r="EK42" i="48"/>
  <c r="DS42" i="48"/>
  <c r="DL42" i="48"/>
  <c r="CZ42" i="48"/>
  <c r="CL42" i="48"/>
  <c r="EK41" i="48"/>
  <c r="DS41" i="48"/>
  <c r="DL41" i="48"/>
  <c r="CZ41" i="48"/>
  <c r="EK40" i="48"/>
  <c r="DS40" i="48"/>
  <c r="DL40" i="48"/>
  <c r="CZ40" i="48"/>
  <c r="CL40" i="48"/>
  <c r="EK39" i="48"/>
  <c r="DS39" i="48"/>
  <c r="DL39" i="48"/>
  <c r="CZ39" i="48"/>
  <c r="EK38" i="48"/>
  <c r="DS38" i="48"/>
  <c r="DL38" i="48"/>
  <c r="CZ38" i="48"/>
  <c r="CL38" i="48"/>
  <c r="EK37" i="48"/>
  <c r="DS37" i="48"/>
  <c r="DL37" i="48"/>
  <c r="DB37" i="48"/>
  <c r="EK36" i="48"/>
  <c r="DS36" i="48"/>
  <c r="DL36" i="48"/>
  <c r="DB36" i="48"/>
  <c r="CL36" i="48"/>
  <c r="EK35" i="48"/>
  <c r="DS35" i="48"/>
  <c r="DL35" i="48"/>
  <c r="CL35" i="48"/>
  <c r="EK34" i="48"/>
  <c r="DS34" i="48"/>
  <c r="DL34" i="48"/>
  <c r="EK33" i="48"/>
  <c r="DS33" i="48"/>
  <c r="DL33" i="48"/>
  <c r="DB33" i="48"/>
  <c r="CL33" i="48"/>
  <c r="EK32" i="48"/>
  <c r="DS32" i="48"/>
  <c r="DL32" i="48"/>
  <c r="CL32" i="48"/>
  <c r="EK31" i="48"/>
  <c r="DS31" i="48"/>
  <c r="DL31" i="48"/>
  <c r="DB31" i="48"/>
  <c r="CL31" i="48"/>
  <c r="EK30" i="48"/>
  <c r="DS30" i="48"/>
  <c r="DL30" i="48"/>
  <c r="DB30" i="48"/>
  <c r="EK29" i="48"/>
  <c r="DS29" i="48"/>
  <c r="DL29" i="48"/>
  <c r="CL29" i="48"/>
  <c r="EK28" i="48"/>
  <c r="DS28" i="48"/>
  <c r="DL28" i="48"/>
  <c r="EK27" i="48"/>
  <c r="DS27" i="48"/>
  <c r="DL27" i="48"/>
  <c r="CZ27" i="48"/>
  <c r="CL27" i="48"/>
  <c r="EK26" i="48"/>
  <c r="DS26" i="48"/>
  <c r="DL26" i="48"/>
  <c r="EK25" i="48"/>
  <c r="DS25" i="48"/>
  <c r="DL25" i="48"/>
  <c r="CZ25" i="48"/>
  <c r="EK24" i="48"/>
  <c r="DS24" i="48"/>
  <c r="DL24" i="48"/>
  <c r="CZ24" i="48"/>
  <c r="EK23" i="48"/>
  <c r="DS23" i="48"/>
  <c r="DL23" i="48"/>
  <c r="DB23" i="48"/>
  <c r="EK22" i="48"/>
  <c r="DS22" i="48"/>
  <c r="DL22" i="48"/>
  <c r="DB22" i="48"/>
  <c r="CL22" i="48"/>
  <c r="EK21" i="48"/>
  <c r="DS21" i="48"/>
  <c r="DL21" i="48"/>
  <c r="DB21" i="48"/>
  <c r="CL21" i="48"/>
  <c r="EK20" i="48"/>
  <c r="DS20" i="48"/>
  <c r="DL20" i="48"/>
  <c r="DB20" i="48"/>
  <c r="EK19" i="48"/>
  <c r="DS19" i="48"/>
  <c r="DL19" i="48"/>
  <c r="EK18" i="48"/>
  <c r="DS18" i="48"/>
  <c r="DL18" i="48"/>
  <c r="DB18" i="48"/>
  <c r="CL18" i="48"/>
  <c r="EK17" i="48"/>
  <c r="DS17" i="48"/>
  <c r="DL17" i="48"/>
  <c r="DB17" i="48"/>
  <c r="EK16" i="48"/>
  <c r="DS16" i="48"/>
  <c r="DL16" i="48"/>
  <c r="DB16" i="48"/>
  <c r="CL16" i="48"/>
  <c r="EK15" i="48"/>
  <c r="DS15" i="48"/>
  <c r="DL15" i="48"/>
  <c r="DB15" i="48"/>
  <c r="EK14" i="48"/>
  <c r="DS14" i="48"/>
  <c r="DL14" i="48"/>
  <c r="CZ14" i="48"/>
  <c r="EK13" i="48"/>
  <c r="DS13" i="48"/>
  <c r="DL13" i="48"/>
  <c r="CZ13" i="48"/>
  <c r="CL13" i="48"/>
  <c r="EK12" i="48"/>
  <c r="DS12" i="48"/>
  <c r="DL12" i="48"/>
  <c r="CL12" i="48"/>
  <c r="EK11" i="48"/>
  <c r="DS11" i="48"/>
  <c r="DL11" i="48"/>
  <c r="CZ11" i="48"/>
  <c r="CL11" i="48"/>
  <c r="EK10" i="48"/>
  <c r="DS10" i="48"/>
  <c r="DL10" i="48"/>
  <c r="CZ10" i="48"/>
  <c r="CL10" i="48"/>
  <c r="EK9" i="48"/>
  <c r="DS9" i="48"/>
  <c r="DL9" i="48"/>
  <c r="CL9" i="48"/>
  <c r="EK8" i="48"/>
  <c r="DS8" i="48"/>
  <c r="DL8" i="48"/>
  <c r="CZ8" i="48"/>
  <c r="CL8" i="48"/>
  <c r="EK7" i="48"/>
  <c r="DS7" i="48"/>
  <c r="DL7" i="48"/>
  <c r="CZ7" i="48"/>
  <c r="EK6" i="48"/>
  <c r="DS6" i="48"/>
  <c r="DL6" i="48"/>
  <c r="DB6" i="48"/>
  <c r="CL6" i="48"/>
  <c r="EK5" i="48"/>
  <c r="DS5" i="48"/>
  <c r="DL5" i="48"/>
  <c r="CZ5" i="48"/>
  <c r="EK4" i="48"/>
  <c r="DS4" i="48"/>
  <c r="DL4" i="48"/>
  <c r="DB4" i="48"/>
  <c r="CL4" i="48"/>
  <c r="EK3" i="48"/>
  <c r="DS3" i="48"/>
  <c r="DL3" i="48"/>
  <c r="DB3" i="48"/>
  <c r="CL3" i="48"/>
  <c r="EK2" i="48"/>
  <c r="DS2" i="48"/>
  <c r="BT2" i="48"/>
  <c r="BS2" i="48"/>
  <c r="BR2" i="48"/>
  <c r="BQ2" i="48"/>
  <c r="BP2" i="48"/>
  <c r="BO2" i="48"/>
  <c r="BN2" i="48"/>
  <c r="BM2" i="48"/>
  <c r="BL2" i="48"/>
  <c r="BK2" i="48"/>
  <c r="BJ2" i="48"/>
  <c r="BI2" i="48"/>
  <c r="BH2" i="48"/>
  <c r="BG2" i="48"/>
  <c r="BF2" i="48"/>
  <c r="BE2" i="48"/>
  <c r="BD2" i="48"/>
  <c r="BC2" i="48"/>
  <c r="BB2" i="48"/>
  <c r="BA2" i="48"/>
  <c r="AZ2" i="48"/>
  <c r="AY2" i="48"/>
  <c r="AX2" i="48"/>
  <c r="AW2" i="48"/>
  <c r="AV2" i="48"/>
  <c r="AU2" i="48"/>
  <c r="AT2" i="48"/>
  <c r="AS2" i="48"/>
  <c r="AR2" i="48"/>
  <c r="AQ2" i="48"/>
  <c r="AP2" i="48"/>
  <c r="AO2" i="48"/>
  <c r="AN2" i="48"/>
  <c r="AM2" i="48"/>
  <c r="DL2" i="48" s="1"/>
  <c r="AL2" i="48"/>
  <c r="AK2" i="48"/>
  <c r="AJ2" i="48"/>
  <c r="AI2" i="48"/>
  <c r="DB2" i="48" s="1"/>
  <c r="AH2" i="48"/>
  <c r="AF2" i="48"/>
  <c r="AE2" i="48"/>
  <c r="AD2" i="48"/>
  <c r="AC2" i="48"/>
  <c r="AB2" i="48"/>
  <c r="AA2" i="48"/>
  <c r="Z2" i="48"/>
  <c r="Y2" i="48"/>
  <c r="X2" i="48"/>
  <c r="W2" i="48"/>
  <c r="V2" i="48"/>
  <c r="U2" i="48"/>
  <c r="T2" i="48"/>
  <c r="S2" i="48"/>
  <c r="R2" i="48"/>
  <c r="Q2" i="48"/>
  <c r="P2" i="48"/>
  <c r="O2" i="48"/>
  <c r="N2" i="48"/>
  <c r="M2" i="48"/>
  <c r="L2" i="48"/>
  <c r="K2" i="48"/>
  <c r="J2" i="48"/>
  <c r="DF2" i="48" s="1"/>
  <c r="I2" i="48"/>
  <c r="H2" i="48"/>
  <c r="G2" i="48"/>
  <c r="F2" i="48"/>
  <c r="E2" i="48"/>
  <c r="D2" i="48"/>
  <c r="C2" i="48"/>
  <c r="A2" i="48"/>
  <c r="EK1" i="48"/>
  <c r="G48" i="50"/>
  <c r="G47" i="50"/>
  <c r="G46" i="50"/>
  <c r="G45" i="50"/>
  <c r="G44" i="50"/>
  <c r="G43" i="50"/>
  <c r="G42" i="50"/>
  <c r="E61" i="45"/>
  <c r="EB51" i="48" l="1"/>
  <c r="EC51" i="48"/>
  <c r="BZ2" i="48"/>
  <c r="BY2" i="48"/>
  <c r="CF2" i="48"/>
  <c r="BX2" i="48"/>
  <c r="CE2" i="48"/>
  <c r="BW2" i="48"/>
  <c r="CD2" i="48"/>
  <c r="CC2" i="48"/>
  <c r="CB2" i="48"/>
  <c r="CA2" i="48"/>
  <c r="EE50" i="48"/>
  <c r="EG50" i="48" s="1"/>
  <c r="CJ2" i="48"/>
  <c r="CP2" i="48" s="1"/>
  <c r="CH2" i="48"/>
  <c r="CI2" i="48"/>
  <c r="CO20" i="48"/>
  <c r="CO24" i="48"/>
  <c r="CO36" i="48"/>
  <c r="CO40" i="48"/>
  <c r="CO44" i="48"/>
  <c r="BV23" i="48"/>
  <c r="BU23" i="48"/>
  <c r="BV30" i="48"/>
  <c r="BU30" i="48"/>
  <c r="BU46" i="48"/>
  <c r="BV46" i="48"/>
  <c r="BV8" i="48"/>
  <c r="BU8" i="48"/>
  <c r="CO28" i="48"/>
  <c r="BV37" i="48"/>
  <c r="BU37" i="48"/>
  <c r="CO12" i="48"/>
  <c r="BV21" i="48"/>
  <c r="BU21" i="48"/>
  <c r="BV6" i="48"/>
  <c r="BU6" i="48"/>
  <c r="BV12" i="48"/>
  <c r="BU12" i="48"/>
  <c r="BV28" i="48"/>
  <c r="BU28" i="48"/>
  <c r="BV44" i="48"/>
  <c r="BU44" i="48"/>
  <c r="BU14" i="48"/>
  <c r="BV14" i="48"/>
  <c r="BV4" i="48"/>
  <c r="BU4" i="48"/>
  <c r="BV19" i="48"/>
  <c r="BU19" i="48"/>
  <c r="BV35" i="48"/>
  <c r="BU35" i="48"/>
  <c r="BV11" i="48"/>
  <c r="BU11" i="48"/>
  <c r="BV26" i="48"/>
  <c r="BU26" i="48"/>
  <c r="BV42" i="48"/>
  <c r="BU42" i="48"/>
  <c r="BV17" i="48"/>
  <c r="BU17" i="48"/>
  <c r="BV33" i="48"/>
  <c r="BU33" i="48"/>
  <c r="BV49" i="48"/>
  <c r="BU49" i="48"/>
  <c r="BV9" i="48"/>
  <c r="BU9" i="48"/>
  <c r="BV24" i="48"/>
  <c r="BU24" i="48"/>
  <c r="BV40" i="48"/>
  <c r="BU40" i="48"/>
  <c r="BV31" i="48"/>
  <c r="BU31" i="48"/>
  <c r="BV47" i="48"/>
  <c r="BU47" i="48"/>
  <c r="BV38" i="48"/>
  <c r="BU38" i="48"/>
  <c r="BV29" i="48"/>
  <c r="BU29" i="48"/>
  <c r="BV45" i="48"/>
  <c r="BU45" i="48"/>
  <c r="BV20" i="48"/>
  <c r="BU20" i="48"/>
  <c r="BV36" i="48"/>
  <c r="BU36" i="48"/>
  <c r="BV15" i="48"/>
  <c r="BU15" i="48"/>
  <c r="BV22" i="48"/>
  <c r="BU22" i="48"/>
  <c r="BV7" i="48"/>
  <c r="BU7" i="48"/>
  <c r="BV13" i="48"/>
  <c r="BU13" i="48"/>
  <c r="BV5" i="48"/>
  <c r="BU5" i="48"/>
  <c r="BV27" i="48"/>
  <c r="BU27" i="48"/>
  <c r="BV43" i="48"/>
  <c r="BU43" i="48"/>
  <c r="BV34" i="48"/>
  <c r="BU34" i="48"/>
  <c r="BV3" i="48"/>
  <c r="BU3" i="48"/>
  <c r="BV18" i="48"/>
  <c r="BU18" i="48"/>
  <c r="BV10" i="48"/>
  <c r="BU10" i="48"/>
  <c r="BV41" i="48"/>
  <c r="BU41" i="48"/>
  <c r="BV25" i="48"/>
  <c r="BU25" i="48"/>
  <c r="BV16" i="48"/>
  <c r="BU16" i="48"/>
  <c r="BV32" i="48"/>
  <c r="BU32" i="48"/>
  <c r="BV48" i="48"/>
  <c r="BU48" i="48"/>
  <c r="BV39" i="48"/>
  <c r="BU39" i="48"/>
  <c r="DM30" i="48"/>
  <c r="DM46" i="48"/>
  <c r="DM44" i="48"/>
  <c r="DM5" i="48"/>
  <c r="DM19" i="48"/>
  <c r="DM35" i="48"/>
  <c r="DM37" i="48"/>
  <c r="DM7" i="48"/>
  <c r="DM28" i="48"/>
  <c r="DM26" i="48"/>
  <c r="DM42" i="48"/>
  <c r="DM17" i="48"/>
  <c r="DM33" i="48"/>
  <c r="DM49" i="48"/>
  <c r="DM24" i="48"/>
  <c r="DM40" i="48"/>
  <c r="DM15" i="48"/>
  <c r="DM31" i="48"/>
  <c r="DM47" i="48"/>
  <c r="DM12" i="48"/>
  <c r="DM10" i="48"/>
  <c r="DM22" i="48"/>
  <c r="DM38" i="48"/>
  <c r="DM13" i="48"/>
  <c r="DM29" i="48"/>
  <c r="DM45" i="48"/>
  <c r="DM14" i="48"/>
  <c r="DM21" i="48"/>
  <c r="DM20" i="48"/>
  <c r="DM36" i="48"/>
  <c r="DM27" i="48"/>
  <c r="DM43" i="48"/>
  <c r="DM8" i="48"/>
  <c r="DM6" i="48"/>
  <c r="DM4" i="48"/>
  <c r="DM18" i="48"/>
  <c r="DM34" i="48"/>
  <c r="DM2" i="48"/>
  <c r="BV2" i="48"/>
  <c r="BU2" i="48"/>
  <c r="DM11" i="48"/>
  <c r="DM41" i="48"/>
  <c r="DM3" i="48"/>
  <c r="DM25" i="48"/>
  <c r="CO32" i="48"/>
  <c r="DM16" i="48"/>
  <c r="DM32" i="48"/>
  <c r="DM48" i="48"/>
  <c r="DM9" i="48"/>
  <c r="DM23" i="48"/>
  <c r="DM39" i="48"/>
  <c r="CO10" i="48"/>
  <c r="CO16" i="48"/>
  <c r="CO7" i="48"/>
  <c r="CO45" i="48"/>
  <c r="CO48" i="48"/>
  <c r="CO2" i="48"/>
  <c r="CO3" i="48"/>
  <c r="CO8" i="48"/>
  <c r="CO11" i="48"/>
  <c r="CO13" i="48"/>
  <c r="CO17" i="48"/>
  <c r="CO21" i="48"/>
  <c r="CO25" i="48"/>
  <c r="CO29" i="48"/>
  <c r="CO33" i="48"/>
  <c r="CO37" i="48"/>
  <c r="CO41" i="48"/>
  <c r="CO47" i="48"/>
  <c r="CO5" i="48"/>
  <c r="CO6" i="48"/>
  <c r="CO9" i="48"/>
  <c r="CO15" i="48"/>
  <c r="CO19" i="48"/>
  <c r="CO23" i="48"/>
  <c r="CO27" i="48"/>
  <c r="CO31" i="48"/>
  <c r="CO35" i="48"/>
  <c r="CO39" i="48"/>
  <c r="CO43" i="48"/>
  <c r="CO4" i="48"/>
  <c r="CO14" i="48"/>
  <c r="CO18" i="48"/>
  <c r="CO22" i="48"/>
  <c r="CO26" i="48"/>
  <c r="CO30" i="48"/>
  <c r="CO34" i="48"/>
  <c r="CO38" i="48"/>
  <c r="CO42" i="48"/>
  <c r="CO46" i="48"/>
  <c r="J3" i="50"/>
  <c r="J4" i="50" s="1"/>
  <c r="J6" i="50" s="1"/>
  <c r="CR17" i="48"/>
  <c r="CR25" i="48"/>
  <c r="CR6" i="48"/>
  <c r="CR28" i="48"/>
  <c r="CR11" i="48"/>
  <c r="CR44" i="48"/>
  <c r="CR41" i="48"/>
  <c r="CR45" i="48"/>
  <c r="CR12" i="48"/>
  <c r="CR33" i="48"/>
  <c r="CR49" i="48"/>
  <c r="CR35" i="48"/>
  <c r="CR43" i="48"/>
  <c r="CR5" i="48"/>
  <c r="CR19" i="48"/>
  <c r="CR27" i="48"/>
  <c r="CU20" i="48"/>
  <c r="CR20" i="48"/>
  <c r="CR3" i="48"/>
  <c r="CR46" i="48"/>
  <c r="CR24" i="48"/>
  <c r="CR38" i="48"/>
  <c r="CR8" i="48"/>
  <c r="CR14" i="48"/>
  <c r="CR2" i="48"/>
  <c r="CR10" i="48"/>
  <c r="CR16" i="48"/>
  <c r="CR22" i="48"/>
  <c r="CR30" i="48"/>
  <c r="CR26" i="48"/>
  <c r="CR42" i="48"/>
  <c r="CU36" i="48"/>
  <c r="CR36" i="48"/>
  <c r="CR29" i="48"/>
  <c r="CR4" i="48"/>
  <c r="CR18" i="48"/>
  <c r="CR34" i="48"/>
  <c r="CR32" i="48"/>
  <c r="CR40" i="48"/>
  <c r="CR48" i="48"/>
  <c r="CR13" i="48"/>
  <c r="CR21" i="48"/>
  <c r="CR37" i="48"/>
  <c r="CR9" i="48"/>
  <c r="CR15" i="48"/>
  <c r="CR31" i="48"/>
  <c r="CR39" i="48"/>
  <c r="CR7" i="48"/>
  <c r="CR23" i="48"/>
  <c r="CU47" i="48"/>
  <c r="CR47" i="48"/>
  <c r="CT33" i="48"/>
  <c r="CT41" i="48"/>
  <c r="CT30" i="48"/>
  <c r="CT19" i="48"/>
  <c r="CT31" i="48"/>
  <c r="CT5" i="48"/>
  <c r="EH11" i="48"/>
  <c r="EI11" i="48"/>
  <c r="EH25" i="48"/>
  <c r="EI25" i="48"/>
  <c r="EH41" i="48"/>
  <c r="EI41" i="48"/>
  <c r="CT49" i="48"/>
  <c r="EH14" i="48"/>
  <c r="EI14" i="48"/>
  <c r="EH38" i="48"/>
  <c r="EI38" i="48"/>
  <c r="EI5" i="48"/>
  <c r="EH5" i="48"/>
  <c r="EH27" i="48"/>
  <c r="EI27" i="48"/>
  <c r="EH10" i="48"/>
  <c r="EI10" i="48"/>
  <c r="EH24" i="48"/>
  <c r="EI24" i="48"/>
  <c r="EH40" i="48"/>
  <c r="EI40" i="48"/>
  <c r="CT16" i="48"/>
  <c r="CT24" i="48"/>
  <c r="EH7" i="48"/>
  <c r="EI7" i="48"/>
  <c r="EH8" i="48"/>
  <c r="EI8" i="48"/>
  <c r="EH13" i="48"/>
  <c r="EI13" i="48"/>
  <c r="EH45" i="48"/>
  <c r="EI45" i="48"/>
  <c r="EH42" i="48"/>
  <c r="EI42" i="48"/>
  <c r="EH39" i="48"/>
  <c r="EI39" i="48"/>
  <c r="EH47" i="48"/>
  <c r="EI47" i="48"/>
  <c r="CT36" i="48"/>
  <c r="CK11" i="48"/>
  <c r="CS11" i="48" s="1"/>
  <c r="CK25" i="48"/>
  <c r="CS25" i="48" s="1"/>
  <c r="CK29" i="48"/>
  <c r="CS29" i="48" s="1"/>
  <c r="CK33" i="48"/>
  <c r="CS33" i="48" s="1"/>
  <c r="CK34" i="48"/>
  <c r="CS34" i="48" s="1"/>
  <c r="CK36" i="48"/>
  <c r="CS36" i="48" s="1"/>
  <c r="CK5" i="48"/>
  <c r="CS5" i="48" s="1"/>
  <c r="CW11" i="48"/>
  <c r="CL15" i="48"/>
  <c r="CK49" i="48"/>
  <c r="CS49" i="48" s="1"/>
  <c r="CK7" i="48"/>
  <c r="CS7" i="48" s="1"/>
  <c r="CZ2" i="48"/>
  <c r="CK22" i="48"/>
  <c r="CS22" i="48" s="1"/>
  <c r="CK32" i="48"/>
  <c r="CS32" i="48" s="1"/>
  <c r="CM40" i="48"/>
  <c r="CN40" i="48" s="1"/>
  <c r="CK3" i="48"/>
  <c r="CS3" i="48" s="1"/>
  <c r="CV15" i="48"/>
  <c r="CL20" i="48"/>
  <c r="CV32" i="48"/>
  <c r="CZ33" i="48"/>
  <c r="CV20" i="48"/>
  <c r="CU21" i="48"/>
  <c r="CV35" i="48"/>
  <c r="DB48" i="48"/>
  <c r="CZ48" i="48"/>
  <c r="CW3" i="48"/>
  <c r="CV16" i="48"/>
  <c r="CK18" i="48"/>
  <c r="CS18" i="48" s="1"/>
  <c r="CW19" i="48"/>
  <c r="CV3" i="48"/>
  <c r="CG3" i="48"/>
  <c r="CM8" i="48"/>
  <c r="CN8" i="48" s="1"/>
  <c r="CU9" i="48"/>
  <c r="CK10" i="48"/>
  <c r="CS10" i="48" s="1"/>
  <c r="CK13" i="48"/>
  <c r="CS13" i="48" s="1"/>
  <c r="CK14" i="48"/>
  <c r="CS14" i="48" s="1"/>
  <c r="CL17" i="48"/>
  <c r="CK19" i="48"/>
  <c r="CS19" i="48" s="1"/>
  <c r="CV25" i="48"/>
  <c r="CV27" i="48"/>
  <c r="CV31" i="48"/>
  <c r="CK48" i="48"/>
  <c r="CS48" i="48" s="1"/>
  <c r="CK40" i="48"/>
  <c r="CS40" i="48" s="1"/>
  <c r="CW43" i="48"/>
  <c r="CV26" i="48"/>
  <c r="CK27" i="48"/>
  <c r="CS27" i="48" s="1"/>
  <c r="CV28" i="48"/>
  <c r="DB47" i="48"/>
  <c r="DB40" i="48"/>
  <c r="CT42" i="48"/>
  <c r="CW23" i="48"/>
  <c r="CW25" i="48"/>
  <c r="CK26" i="48"/>
  <c r="CS26" i="48" s="1"/>
  <c r="CU27" i="48"/>
  <c r="CU28" i="48"/>
  <c r="CM30" i="48"/>
  <c r="CM31" i="48"/>
  <c r="CN31" i="48" s="1"/>
  <c r="CM33" i="48"/>
  <c r="CN33" i="48" s="1"/>
  <c r="CV37" i="48"/>
  <c r="DB39" i="48"/>
  <c r="CK42" i="48"/>
  <c r="CS42" i="48" s="1"/>
  <c r="CV47" i="48"/>
  <c r="CV49" i="48"/>
  <c r="CK20" i="48"/>
  <c r="CS20" i="48" s="1"/>
  <c r="CW20" i="48"/>
  <c r="CV21" i="48"/>
  <c r="CW24" i="48"/>
  <c r="CT25" i="48"/>
  <c r="CU25" i="48"/>
  <c r="CT28" i="48"/>
  <c r="CV29" i="48"/>
  <c r="CW38" i="48"/>
  <c r="CT40" i="48"/>
  <c r="CU43" i="48"/>
  <c r="CM47" i="48"/>
  <c r="CN47" i="48" s="1"/>
  <c r="CW35" i="48"/>
  <c r="CW10" i="48"/>
  <c r="CT3" i="48"/>
  <c r="CM3" i="48"/>
  <c r="CN3" i="48" s="1"/>
  <c r="CZ3" i="48"/>
  <c r="CV4" i="48"/>
  <c r="CU4" i="48"/>
  <c r="CV7" i="48"/>
  <c r="CV12" i="48"/>
  <c r="DB13" i="48"/>
  <c r="CU14" i="48"/>
  <c r="CV17" i="48"/>
  <c r="CU2" i="48"/>
  <c r="CU11" i="48"/>
  <c r="CW14" i="48"/>
  <c r="CT6" i="48"/>
  <c r="CT7" i="48"/>
  <c r="CK8" i="48"/>
  <c r="CS8" i="48" s="1"/>
  <c r="CM9" i="48"/>
  <c r="CN9" i="48" s="1"/>
  <c r="CU10" i="48"/>
  <c r="CK12" i="48"/>
  <c r="CS12" i="48" s="1"/>
  <c r="CW13" i="48"/>
  <c r="CK15" i="48"/>
  <c r="CS15" i="48" s="1"/>
  <c r="CK17" i="48"/>
  <c r="CS17" i="48" s="1"/>
  <c r="CV19" i="48"/>
  <c r="DB42" i="48"/>
  <c r="DB38" i="48"/>
  <c r="DB24" i="48"/>
  <c r="CZ9" i="48"/>
  <c r="DB9" i="48"/>
  <c r="DB10" i="48"/>
  <c r="DB11" i="48"/>
  <c r="CZ37" i="48"/>
  <c r="DB45" i="48"/>
  <c r="DB8" i="48"/>
  <c r="CM4" i="48"/>
  <c r="CN4" i="48" s="1"/>
  <c r="CV6" i="48"/>
  <c r="CT18" i="48"/>
  <c r="CT27" i="48"/>
  <c r="DB29" i="48"/>
  <c r="CZ29" i="48"/>
  <c r="CZ36" i="48"/>
  <c r="CV39" i="48"/>
  <c r="CM49" i="48"/>
  <c r="CN49" i="48" s="1"/>
  <c r="CL2" i="48"/>
  <c r="CW12" i="48"/>
  <c r="CV13" i="48"/>
  <c r="CV14" i="48"/>
  <c r="CW21" i="48"/>
  <c r="CM29" i="48"/>
  <c r="CN29" i="48" s="1"/>
  <c r="CM48" i="48"/>
  <c r="CM25" i="48"/>
  <c r="CW15" i="48"/>
  <c r="CU15" i="48"/>
  <c r="DB35" i="48"/>
  <c r="CZ35" i="48"/>
  <c r="CM36" i="48"/>
  <c r="CN36" i="48" s="1"/>
  <c r="CM43" i="48"/>
  <c r="CN43" i="48" s="1"/>
  <c r="CM7" i="48"/>
  <c r="CW4" i="48"/>
  <c r="CM6" i="48"/>
  <c r="CN6" i="48" s="1"/>
  <c r="DB14" i="48"/>
  <c r="CZ22" i="48"/>
  <c r="CU24" i="48"/>
  <c r="CW28" i="48"/>
  <c r="CM28" i="48"/>
  <c r="CK35" i="48"/>
  <c r="CS35" i="48" s="1"/>
  <c r="CM35" i="48"/>
  <c r="CN35" i="48" s="1"/>
  <c r="CT39" i="48"/>
  <c r="CM41" i="48"/>
  <c r="CV42" i="48"/>
  <c r="CU44" i="48"/>
  <c r="CW22" i="48"/>
  <c r="CK2" i="48"/>
  <c r="CS2" i="48" s="1"/>
  <c r="CM37" i="48"/>
  <c r="CV43" i="48"/>
  <c r="CV44" i="48"/>
  <c r="CV45" i="48"/>
  <c r="CK47" i="48"/>
  <c r="CS47" i="48" s="1"/>
  <c r="CW16" i="48"/>
  <c r="CM2" i="48"/>
  <c r="CV23" i="48"/>
  <c r="CW5" i="48"/>
  <c r="CZ16" i="48"/>
  <c r="CU17" i="48"/>
  <c r="DB25" i="48"/>
  <c r="CL26" i="48"/>
  <c r="CT34" i="48"/>
  <c r="CV41" i="48"/>
  <c r="CZ46" i="48"/>
  <c r="CL48" i="48"/>
  <c r="CM18" i="48"/>
  <c r="CN18" i="48" s="1"/>
  <c r="CV11" i="48"/>
  <c r="DB27" i="48"/>
  <c r="CV33" i="48"/>
  <c r="CV36" i="48"/>
  <c r="CW41" i="48"/>
  <c r="CK43" i="48"/>
  <c r="CS43" i="48" s="1"/>
  <c r="CK44" i="48"/>
  <c r="CS44" i="48" s="1"/>
  <c r="CK16" i="48"/>
  <c r="CS16" i="48" s="1"/>
  <c r="CK4" i="48"/>
  <c r="CS4" i="48" s="1"/>
  <c r="CV5" i="48"/>
  <c r="CV9" i="48"/>
  <c r="CG4" i="48"/>
  <c r="CW7" i="48"/>
  <c r="CT8" i="48"/>
  <c r="CM11" i="48"/>
  <c r="CN11" i="48" s="1"/>
  <c r="DB12" i="48"/>
  <c r="CZ12" i="48"/>
  <c r="CU13" i="48"/>
  <c r="CW18" i="48"/>
  <c r="CV8" i="48"/>
  <c r="CV10" i="48"/>
  <c r="CM10" i="48"/>
  <c r="CN10" i="48" s="1"/>
  <c r="CT12" i="48"/>
  <c r="CM12" i="48"/>
  <c r="CN12" i="48" s="1"/>
  <c r="CM20" i="48"/>
  <c r="CU22" i="48"/>
  <c r="CW27" i="48"/>
  <c r="CK30" i="48"/>
  <c r="CS30" i="48" s="1"/>
  <c r="CW36" i="48"/>
  <c r="DB41" i="48"/>
  <c r="CT2" i="48"/>
  <c r="CU26" i="48"/>
  <c r="CW32" i="48"/>
  <c r="CV2" i="48"/>
  <c r="CM13" i="48"/>
  <c r="CN13" i="48" s="1"/>
  <c r="CU31" i="48"/>
  <c r="CW39" i="48"/>
  <c r="CM39" i="48"/>
  <c r="CW40" i="48"/>
  <c r="CW45" i="48"/>
  <c r="CU5" i="48"/>
  <c r="CM14" i="48"/>
  <c r="CM16" i="48"/>
  <c r="CN16" i="48" s="1"/>
  <c r="CZ30" i="48"/>
  <c r="CV34" i="48"/>
  <c r="CW37" i="48"/>
  <c r="CW2" i="48"/>
  <c r="CT23" i="48"/>
  <c r="DB5" i="48"/>
  <c r="CU7" i="48"/>
  <c r="CM15" i="48"/>
  <c r="CM19" i="48"/>
  <c r="CM24" i="48"/>
  <c r="CT26" i="48"/>
  <c r="CM26" i="48"/>
  <c r="CU29" i="48"/>
  <c r="CZ31" i="48"/>
  <c r="CM5" i="48"/>
  <c r="CW17" i="48"/>
  <c r="CT21" i="48"/>
  <c r="CM21" i="48"/>
  <c r="CN21" i="48" s="1"/>
  <c r="CT22" i="48"/>
  <c r="CM22" i="48"/>
  <c r="CN22" i="48" s="1"/>
  <c r="CK31" i="48"/>
  <c r="CS31" i="48" s="1"/>
  <c r="CW31" i="48"/>
  <c r="CT32" i="48"/>
  <c r="CM32" i="48"/>
  <c r="CN32" i="48" s="1"/>
  <c r="CV40" i="48"/>
  <c r="CM44" i="48"/>
  <c r="CT43" i="48"/>
  <c r="CV22" i="48"/>
  <c r="CM23" i="48"/>
  <c r="CK28" i="48"/>
  <c r="CS28" i="48" s="1"/>
  <c r="CW33" i="48"/>
  <c r="CU37" i="48"/>
  <c r="CW44" i="48"/>
  <c r="CM46" i="48"/>
  <c r="CT15" i="48"/>
  <c r="CT17" i="48"/>
  <c r="CM17" i="48"/>
  <c r="CK23" i="48"/>
  <c r="CS23" i="48" s="1"/>
  <c r="CK6" i="48"/>
  <c r="CS6" i="48" s="1"/>
  <c r="CW6" i="48"/>
  <c r="CW8" i="48"/>
  <c r="CW9" i="48"/>
  <c r="CT14" i="48"/>
  <c r="CV24" i="48"/>
  <c r="CW29" i="48"/>
  <c r="CT38" i="48"/>
  <c r="CM42" i="48"/>
  <c r="CN42" i="48" s="1"/>
  <c r="CT4" i="48"/>
  <c r="CT13" i="48"/>
  <c r="CQ7" i="48"/>
  <c r="CP7" i="48"/>
  <c r="DB7" i="48"/>
  <c r="CK9" i="48"/>
  <c r="CS9" i="48" s="1"/>
  <c r="CZ17" i="48"/>
  <c r="CU18" i="48"/>
  <c r="CQ23" i="48"/>
  <c r="CP23" i="48"/>
  <c r="CU23" i="48"/>
  <c r="CL25" i="48"/>
  <c r="CU34" i="48"/>
  <c r="CT37" i="48"/>
  <c r="CK38" i="48"/>
  <c r="CS38" i="48" s="1"/>
  <c r="CQ39" i="48"/>
  <c r="CP39" i="48"/>
  <c r="CU39" i="48"/>
  <c r="CT44" i="48"/>
  <c r="CZ4" i="48"/>
  <c r="CU8" i="48"/>
  <c r="CV18" i="48"/>
  <c r="CQ11" i="48"/>
  <c r="CP11" i="48"/>
  <c r="CQ4" i="48"/>
  <c r="CP4" i="48"/>
  <c r="CG7" i="48"/>
  <c r="CQ13" i="48"/>
  <c r="CP13" i="48"/>
  <c r="CQ17" i="48"/>
  <c r="CP17" i="48"/>
  <c r="CZ18" i="48"/>
  <c r="CL46" i="48"/>
  <c r="CW46" i="48"/>
  <c r="CT9" i="48"/>
  <c r="CL23" i="48"/>
  <c r="DB28" i="48"/>
  <c r="CZ28" i="48"/>
  <c r="CT29" i="48"/>
  <c r="CV30" i="48"/>
  <c r="CQ32" i="48"/>
  <c r="CP32" i="48"/>
  <c r="CK46" i="48"/>
  <c r="CS46" i="48" s="1"/>
  <c r="CQ20" i="48"/>
  <c r="CP20" i="48"/>
  <c r="CW26" i="48"/>
  <c r="CQ27" i="48"/>
  <c r="CP27" i="48"/>
  <c r="CL30" i="48"/>
  <c r="CW30" i="48"/>
  <c r="CW34" i="48"/>
  <c r="CQ41" i="48"/>
  <c r="CP41" i="48"/>
  <c r="CU41" i="48"/>
  <c r="CQ43" i="48"/>
  <c r="CP43" i="48"/>
  <c r="CQ18" i="48"/>
  <c r="CP18" i="48"/>
  <c r="CL28" i="48"/>
  <c r="DB32" i="48"/>
  <c r="CZ32" i="48"/>
  <c r="CQ35" i="48"/>
  <c r="CP35" i="48"/>
  <c r="CU35" i="48"/>
  <c r="CQ38" i="48"/>
  <c r="CP38" i="48"/>
  <c r="CU38" i="48"/>
  <c r="CQ5" i="48"/>
  <c r="CP5" i="48"/>
  <c r="CQ14" i="48"/>
  <c r="CP14" i="48"/>
  <c r="CK21" i="48"/>
  <c r="CS21" i="48" s="1"/>
  <c r="DB43" i="48"/>
  <c r="CZ43" i="48"/>
  <c r="CT47" i="48"/>
  <c r="CT48" i="48"/>
  <c r="CU6" i="48"/>
  <c r="CL7" i="48"/>
  <c r="CG8" i="48"/>
  <c r="CT10" i="48"/>
  <c r="CT20" i="48"/>
  <c r="CL24" i="48"/>
  <c r="CM27" i="48"/>
  <c r="CN27" i="48" s="1"/>
  <c r="CQ31" i="48"/>
  <c r="CP31" i="48"/>
  <c r="CW42" i="48"/>
  <c r="CT45" i="48"/>
  <c r="CM45" i="48"/>
  <c r="CN45" i="48" s="1"/>
  <c r="CZ15" i="48"/>
  <c r="CQ19" i="48"/>
  <c r="CP19" i="48"/>
  <c r="CZ23" i="48"/>
  <c r="CK24" i="48"/>
  <c r="CS24" i="48" s="1"/>
  <c r="CT35" i="48"/>
  <c r="CM38" i="48"/>
  <c r="CN38" i="48" s="1"/>
  <c r="CL39" i="48"/>
  <c r="CW47" i="48"/>
  <c r="CU3" i="48"/>
  <c r="CG5" i="48"/>
  <c r="CZ6" i="48"/>
  <c r="CQ9" i="48"/>
  <c r="CP9" i="48"/>
  <c r="CU12" i="48"/>
  <c r="CU16" i="48"/>
  <c r="CU32" i="48"/>
  <c r="CK39" i="48"/>
  <c r="CS39" i="48" s="1"/>
  <c r="CQ46" i="48"/>
  <c r="CP46" i="48"/>
  <c r="CU46" i="48"/>
  <c r="CQ15" i="48"/>
  <c r="CP15" i="48"/>
  <c r="DB19" i="48"/>
  <c r="CZ19" i="48"/>
  <c r="CQ40" i="48"/>
  <c r="CP40" i="48"/>
  <c r="CU40" i="48"/>
  <c r="CQ49" i="48"/>
  <c r="CP49" i="48"/>
  <c r="CU49" i="48"/>
  <c r="CQ8" i="48"/>
  <c r="CP8" i="48"/>
  <c r="CQ6" i="48"/>
  <c r="CP6" i="48"/>
  <c r="CT11" i="48"/>
  <c r="CL19" i="48"/>
  <c r="DB26" i="48"/>
  <c r="CZ26" i="48"/>
  <c r="CQ30" i="48"/>
  <c r="CP30" i="48"/>
  <c r="CU30" i="48"/>
  <c r="CQ34" i="48"/>
  <c r="CP34" i="48"/>
  <c r="CV48" i="48"/>
  <c r="CK37" i="48"/>
  <c r="CS37" i="48" s="1"/>
  <c r="CT46" i="48"/>
  <c r="CV46" i="48"/>
  <c r="CQ2" i="48"/>
  <c r="CG2" i="48"/>
  <c r="CL5" i="48"/>
  <c r="CG6" i="48"/>
  <c r="CQ10" i="48"/>
  <c r="CP10" i="48"/>
  <c r="CL14" i="48"/>
  <c r="CU19" i="48"/>
  <c r="CZ20" i="48"/>
  <c r="CQ25" i="48"/>
  <c r="CP25" i="48"/>
  <c r="DB34" i="48"/>
  <c r="CZ34" i="48"/>
  <c r="CL34" i="48"/>
  <c r="CL37" i="48"/>
  <c r="CV38" i="48"/>
  <c r="CL41" i="48"/>
  <c r="CQ42" i="48"/>
  <c r="CP42" i="48"/>
  <c r="CU42" i="48"/>
  <c r="CL44" i="48"/>
  <c r="CQ3" i="48"/>
  <c r="CP3" i="48"/>
  <c r="CQ12" i="48"/>
  <c r="CP12" i="48"/>
  <c r="CQ16" i="48"/>
  <c r="CP16" i="48"/>
  <c r="CZ21" i="48"/>
  <c r="CQ24" i="48"/>
  <c r="CP24" i="48"/>
  <c r="CM34" i="48"/>
  <c r="CK41" i="48"/>
  <c r="CS41" i="48" s="1"/>
  <c r="DB44" i="48"/>
  <c r="CZ44" i="48"/>
  <c r="CK45" i="48"/>
  <c r="CS45" i="48" s="1"/>
  <c r="CW48" i="48"/>
  <c r="CQ45" i="48"/>
  <c r="CP45" i="48"/>
  <c r="CQ21" i="48"/>
  <c r="CP21" i="48"/>
  <c r="CU33" i="48"/>
  <c r="CQ36" i="48"/>
  <c r="CP36" i="48"/>
  <c r="CQ28" i="48"/>
  <c r="CP28" i="48"/>
  <c r="CU48" i="48"/>
  <c r="CQ47" i="48"/>
  <c r="CP47" i="48"/>
  <c r="CW49" i="48"/>
  <c r="CQ22" i="48"/>
  <c r="CP22" i="48"/>
  <c r="CQ37" i="48"/>
  <c r="CP37" i="48"/>
  <c r="CQ29" i="48"/>
  <c r="CP29" i="48"/>
  <c r="CQ33" i="48"/>
  <c r="CP33" i="48"/>
  <c r="CQ44" i="48"/>
  <c r="CP44" i="48"/>
  <c r="CU45" i="48"/>
  <c r="CZ49" i="48"/>
  <c r="CQ26" i="48"/>
  <c r="CP26" i="48"/>
  <c r="CQ48" i="48"/>
  <c r="CP48" i="48"/>
  <c r="ED51" i="48" l="1"/>
  <c r="EF51" i="48" s="1"/>
  <c r="EJ41" i="48"/>
  <c r="EJ11" i="48"/>
  <c r="EJ13" i="48"/>
  <c r="CX47" i="48"/>
  <c r="DP47" i="48" s="1"/>
  <c r="EJ14" i="48"/>
  <c r="EJ25" i="48"/>
  <c r="EJ42" i="48"/>
  <c r="EJ10" i="48"/>
  <c r="EJ38" i="48"/>
  <c r="EJ27" i="48"/>
  <c r="EJ45" i="48"/>
  <c r="EJ7" i="48"/>
  <c r="EI18" i="48"/>
  <c r="EH18" i="48"/>
  <c r="EH9" i="48"/>
  <c r="EI9" i="48"/>
  <c r="EI44" i="48"/>
  <c r="EH44" i="48"/>
  <c r="EH26" i="48"/>
  <c r="EI26" i="48"/>
  <c r="EI48" i="48"/>
  <c r="EH48" i="48"/>
  <c r="EH31" i="48"/>
  <c r="EI31" i="48"/>
  <c r="EI19" i="48"/>
  <c r="EH19" i="48"/>
  <c r="EI43" i="48"/>
  <c r="EH43" i="48"/>
  <c r="EI34" i="48"/>
  <c r="EH34" i="48"/>
  <c r="EI20" i="48"/>
  <c r="EH20" i="48"/>
  <c r="EI17" i="48"/>
  <c r="EH17" i="48"/>
  <c r="EH21" i="48"/>
  <c r="EI21" i="48"/>
  <c r="EI36" i="48"/>
  <c r="EH36" i="48"/>
  <c r="EH12" i="48"/>
  <c r="EI12" i="48"/>
  <c r="EH2" i="48"/>
  <c r="EI2" i="48"/>
  <c r="EI49" i="48"/>
  <c r="EH49" i="48"/>
  <c r="EI15" i="48"/>
  <c r="EH15" i="48"/>
  <c r="EH16" i="48"/>
  <c r="EI16" i="48"/>
  <c r="EI3" i="48"/>
  <c r="EH3" i="48"/>
  <c r="EI28" i="48"/>
  <c r="EH28" i="48"/>
  <c r="EH22" i="48"/>
  <c r="EI22" i="48"/>
  <c r="EH29" i="48"/>
  <c r="EI29" i="48"/>
  <c r="EH37" i="48"/>
  <c r="EI37" i="48"/>
  <c r="EI4" i="48"/>
  <c r="EH4" i="48"/>
  <c r="EI35" i="48"/>
  <c r="EH35" i="48"/>
  <c r="EH23" i="48"/>
  <c r="EI23" i="48"/>
  <c r="EH46" i="48"/>
  <c r="EI46" i="48"/>
  <c r="EI6" i="48"/>
  <c r="EH6" i="48"/>
  <c r="EH32" i="48"/>
  <c r="EI32" i="48"/>
  <c r="EH30" i="48"/>
  <c r="EI30" i="48"/>
  <c r="EI33" i="48"/>
  <c r="EH33" i="48"/>
  <c r="EJ5" i="48"/>
  <c r="EJ8" i="48"/>
  <c r="CN28" i="48"/>
  <c r="CX28" i="48" s="1"/>
  <c r="CN24" i="48"/>
  <c r="CX24" i="48" s="1"/>
  <c r="CN15" i="48"/>
  <c r="CX15" i="48" s="1"/>
  <c r="CN26" i="48"/>
  <c r="CX26" i="48" s="1"/>
  <c r="CN41" i="48"/>
  <c r="CX41" i="48" s="1"/>
  <c r="DP41" i="48" s="1"/>
  <c r="CN14" i="48"/>
  <c r="CX14" i="48" s="1"/>
  <c r="CN5" i="48"/>
  <c r="CX5" i="48" s="1"/>
  <c r="DP5" i="48" s="1"/>
  <c r="CN30" i="48"/>
  <c r="CX30" i="48" s="1"/>
  <c r="CN34" i="48"/>
  <c r="CX34" i="48" s="1"/>
  <c r="DP34" i="48" s="1"/>
  <c r="CN19" i="48"/>
  <c r="CX19" i="48" s="1"/>
  <c r="CN20" i="48"/>
  <c r="CX20" i="48" s="1"/>
  <c r="CN17" i="48"/>
  <c r="CX17" i="48" s="1"/>
  <c r="CN39" i="48"/>
  <c r="CX39" i="48" s="1"/>
  <c r="CN48" i="48"/>
  <c r="CX48" i="48" s="1"/>
  <c r="DP48" i="48" s="1"/>
  <c r="CN7" i="48"/>
  <c r="CX7" i="48" s="1"/>
  <c r="DP7" i="48" s="1"/>
  <c r="CN46" i="48"/>
  <c r="CX46" i="48" s="1"/>
  <c r="DP46" i="48" s="1"/>
  <c r="CN2" i="48"/>
  <c r="CX2" i="48" s="1"/>
  <c r="CN25" i="48"/>
  <c r="CX25" i="48" s="1"/>
  <c r="CX6" i="48"/>
  <c r="CN23" i="48"/>
  <c r="CX23" i="48" s="1"/>
  <c r="CN44" i="48"/>
  <c r="CX44" i="48" s="1"/>
  <c r="CN37" i="48"/>
  <c r="CX37" i="48" s="1"/>
  <c r="DP37" i="48" s="1"/>
  <c r="CX11" i="48"/>
  <c r="CX45" i="48"/>
  <c r="DP45" i="48" s="1"/>
  <c r="CX35" i="48"/>
  <c r="DP35" i="48" s="1"/>
  <c r="CX8" i="48"/>
  <c r="CX29" i="48"/>
  <c r="CX18" i="48"/>
  <c r="CX13" i="48"/>
  <c r="DP13" i="48" s="1"/>
  <c r="CX31" i="48"/>
  <c r="CX33" i="48"/>
  <c r="DP33" i="48" s="1"/>
  <c r="CX22" i="48"/>
  <c r="CX32" i="48"/>
  <c r="EJ40" i="48"/>
  <c r="CX4" i="48"/>
  <c r="CX21" i="48"/>
  <c r="CX43" i="48"/>
  <c r="DP43" i="48" s="1"/>
  <c r="CX3" i="48"/>
  <c r="CX42" i="48"/>
  <c r="DP42" i="48" s="1"/>
  <c r="CX12" i="48"/>
  <c r="CX49" i="48"/>
  <c r="DP49" i="48" s="1"/>
  <c r="CX40" i="48"/>
  <c r="DP40" i="48" s="1"/>
  <c r="EJ39" i="48"/>
  <c r="CX38" i="48"/>
  <c r="CX36" i="48"/>
  <c r="DP36" i="48" s="1"/>
  <c r="CX16" i="48"/>
  <c r="CX9" i="48"/>
  <c r="CX10" i="48"/>
  <c r="CX27" i="48"/>
  <c r="EJ24" i="48"/>
  <c r="EJ47" i="48"/>
  <c r="EE51" i="48" l="1"/>
  <c r="EG51" i="48" s="1"/>
  <c r="DN23" i="48"/>
  <c r="DO23" i="48" s="1"/>
  <c r="DN4" i="48"/>
  <c r="DO4" i="48" s="1"/>
  <c r="DN6" i="48"/>
  <c r="DO6" i="48" s="1"/>
  <c r="DN25" i="48"/>
  <c r="DO25" i="48" s="1"/>
  <c r="DN24" i="48"/>
  <c r="DO24" i="48" s="1"/>
  <c r="DN27" i="48"/>
  <c r="DO27" i="48" s="1"/>
  <c r="DN32" i="48"/>
  <c r="DO32" i="48" s="1"/>
  <c r="DN2" i="48"/>
  <c r="DO2" i="48" s="1"/>
  <c r="DN28" i="48"/>
  <c r="DO28" i="48" s="1"/>
  <c r="DN10" i="48"/>
  <c r="DO10" i="48" s="1"/>
  <c r="DN22" i="48"/>
  <c r="DO22" i="48" s="1"/>
  <c r="DQ46" i="48"/>
  <c r="DR46" i="48" s="1"/>
  <c r="DT46" i="48" s="1"/>
  <c r="DN9" i="48"/>
  <c r="DO9" i="48" s="1"/>
  <c r="DQ33" i="48"/>
  <c r="DR33" i="48" s="1"/>
  <c r="DT33" i="48" s="1"/>
  <c r="DQ7" i="48"/>
  <c r="DR7" i="48" s="1"/>
  <c r="DT7" i="48" s="1"/>
  <c r="DN16" i="48"/>
  <c r="DO16" i="48" s="1"/>
  <c r="DN31" i="48"/>
  <c r="DO31" i="48" s="1"/>
  <c r="DQ48" i="48"/>
  <c r="DR48" i="48" s="1"/>
  <c r="DT48" i="48" s="1"/>
  <c r="DQ36" i="48"/>
  <c r="DR36" i="48" s="1"/>
  <c r="DT36" i="48" s="1"/>
  <c r="DQ13" i="48"/>
  <c r="DR13" i="48" s="1"/>
  <c r="DT13" i="48" s="1"/>
  <c r="DN39" i="48"/>
  <c r="DO39" i="48" s="1"/>
  <c r="DN38" i="48"/>
  <c r="DO38" i="48" s="1"/>
  <c r="DN18" i="48"/>
  <c r="DO18" i="48" s="1"/>
  <c r="DN17" i="48"/>
  <c r="DO17" i="48" s="1"/>
  <c r="DN21" i="48"/>
  <c r="DO21" i="48" s="1"/>
  <c r="DN29" i="48"/>
  <c r="DO29" i="48" s="1"/>
  <c r="DQ47" i="48"/>
  <c r="DR47" i="48" s="1"/>
  <c r="DT47" i="48" s="1"/>
  <c r="DQ40" i="48"/>
  <c r="DR40" i="48" s="1"/>
  <c r="DT40" i="48" s="1"/>
  <c r="DN19" i="48"/>
  <c r="DO19" i="48" s="1"/>
  <c r="DQ49" i="48"/>
  <c r="DR49" i="48" s="1"/>
  <c r="DT49" i="48" s="1"/>
  <c r="DQ35" i="48"/>
  <c r="DR35" i="48" s="1"/>
  <c r="DT35" i="48" s="1"/>
  <c r="DQ34" i="48"/>
  <c r="DR34" i="48" s="1"/>
  <c r="DT34" i="48" s="1"/>
  <c r="DN12" i="48"/>
  <c r="DO12" i="48" s="1"/>
  <c r="DQ45" i="48"/>
  <c r="DR45" i="48" s="1"/>
  <c r="DT45" i="48" s="1"/>
  <c r="DN30" i="48"/>
  <c r="DO30" i="48" s="1"/>
  <c r="DQ42" i="48"/>
  <c r="DR42" i="48" s="1"/>
  <c r="DT42" i="48" s="1"/>
  <c r="DN11" i="48"/>
  <c r="DO11" i="48" s="1"/>
  <c r="DQ5" i="48"/>
  <c r="DR5" i="48" s="1"/>
  <c r="DT5" i="48" s="1"/>
  <c r="DN3" i="48"/>
  <c r="DO3" i="48" s="1"/>
  <c r="DN26" i="48"/>
  <c r="DO26" i="48" s="1"/>
  <c r="DN15" i="48"/>
  <c r="DO15" i="48" s="1"/>
  <c r="DN20" i="48"/>
  <c r="DO20" i="48" s="1"/>
  <c r="DN8" i="48"/>
  <c r="DO8" i="48" s="1"/>
  <c r="DQ37" i="48"/>
  <c r="DR37" i="48" s="1"/>
  <c r="DT37" i="48" s="1"/>
  <c r="DN14" i="48"/>
  <c r="DO14" i="48" s="1"/>
  <c r="DQ43" i="48"/>
  <c r="DR43" i="48" s="1"/>
  <c r="DT43" i="48" s="1"/>
  <c r="DN44" i="48"/>
  <c r="DO44" i="48" s="1"/>
  <c r="DQ41" i="48"/>
  <c r="DR41" i="48" s="1"/>
  <c r="DT41" i="48" s="1"/>
  <c r="DK46" i="48"/>
  <c r="DN46" i="48"/>
  <c r="DO46" i="48" s="1"/>
  <c r="DK33" i="48"/>
  <c r="DN33" i="48"/>
  <c r="DO33" i="48" s="1"/>
  <c r="DK7" i="48"/>
  <c r="DN7" i="48"/>
  <c r="DO7" i="48" s="1"/>
  <c r="DK48" i="48"/>
  <c r="DN48" i="48"/>
  <c r="DO48" i="48" s="1"/>
  <c r="DK36" i="48"/>
  <c r="DN36" i="48"/>
  <c r="DO36" i="48" s="1"/>
  <c r="DK13" i="48"/>
  <c r="DN13" i="48"/>
  <c r="DO13" i="48" s="1"/>
  <c r="DK47" i="48"/>
  <c r="DN47" i="48"/>
  <c r="DO47" i="48" s="1"/>
  <c r="DK49" i="48"/>
  <c r="DN49" i="48"/>
  <c r="DO49" i="48" s="1"/>
  <c r="DK35" i="48"/>
  <c r="DN35" i="48"/>
  <c r="DO35" i="48" s="1"/>
  <c r="DK34" i="48"/>
  <c r="DN34" i="48"/>
  <c r="DO34" i="48" s="1"/>
  <c r="DK45" i="48"/>
  <c r="DN45" i="48"/>
  <c r="DO45" i="48" s="1"/>
  <c r="DK42" i="48"/>
  <c r="DN42" i="48"/>
  <c r="DO42" i="48" s="1"/>
  <c r="DK5" i="48"/>
  <c r="DN5" i="48"/>
  <c r="DO5" i="48" s="1"/>
  <c r="DK40" i="48"/>
  <c r="DN40" i="48"/>
  <c r="DO40" i="48" s="1"/>
  <c r="DK37" i="48"/>
  <c r="DN37" i="48"/>
  <c r="DO37" i="48" s="1"/>
  <c r="DK43" i="48"/>
  <c r="DN43" i="48"/>
  <c r="DO43" i="48" s="1"/>
  <c r="DK41" i="48"/>
  <c r="DN41" i="48"/>
  <c r="DO41" i="48" s="1"/>
  <c r="DJ46" i="48"/>
  <c r="DC29" i="48"/>
  <c r="DE29" i="48" s="1"/>
  <c r="DJ29" i="48"/>
  <c r="DK29" i="48" s="1"/>
  <c r="DC40" i="48"/>
  <c r="DJ40" i="48"/>
  <c r="DC8" i="48"/>
  <c r="DE8" i="48" s="1"/>
  <c r="DJ8" i="48"/>
  <c r="DK8" i="48" s="1"/>
  <c r="DC3" i="48"/>
  <c r="DE3" i="48" s="1"/>
  <c r="DJ3" i="48"/>
  <c r="DK3" i="48" s="1"/>
  <c r="DC37" i="48"/>
  <c r="DJ37" i="48"/>
  <c r="DC14" i="48"/>
  <c r="DE14" i="48" s="1"/>
  <c r="DJ14" i="48"/>
  <c r="DC21" i="48"/>
  <c r="DE21" i="48" s="1"/>
  <c r="DJ21" i="48"/>
  <c r="DC23" i="48"/>
  <c r="DE23" i="48" s="1"/>
  <c r="DJ23" i="48"/>
  <c r="DK23" i="48" s="1"/>
  <c r="DC26" i="48"/>
  <c r="DE26" i="48" s="1"/>
  <c r="DJ26" i="48"/>
  <c r="DK26" i="48" s="1"/>
  <c r="DC27" i="48"/>
  <c r="DE27" i="48" s="1"/>
  <c r="DJ27" i="48"/>
  <c r="DC32" i="48"/>
  <c r="DE32" i="48" s="1"/>
  <c r="DJ32" i="48"/>
  <c r="DC28" i="48"/>
  <c r="DE28" i="48" s="1"/>
  <c r="DJ28" i="48"/>
  <c r="DK28" i="48" s="1"/>
  <c r="DC4" i="48"/>
  <c r="DE4" i="48" s="1"/>
  <c r="DJ4" i="48"/>
  <c r="DK4" i="48" s="1"/>
  <c r="DC10" i="48"/>
  <c r="DE10" i="48" s="1"/>
  <c r="DJ10" i="48"/>
  <c r="DK10" i="48" s="1"/>
  <c r="DC22" i="48"/>
  <c r="DE22" i="48" s="1"/>
  <c r="DJ22" i="48"/>
  <c r="DC9" i="48"/>
  <c r="DE9" i="48" s="1"/>
  <c r="DJ9" i="48"/>
  <c r="DK9" i="48" s="1"/>
  <c r="DC33" i="48"/>
  <c r="DJ33" i="48"/>
  <c r="DC7" i="48"/>
  <c r="DJ7" i="48"/>
  <c r="DC16" i="48"/>
  <c r="DE16" i="48" s="1"/>
  <c r="DJ16" i="48"/>
  <c r="DK16" i="48" s="1"/>
  <c r="DC31" i="48"/>
  <c r="DE31" i="48" s="1"/>
  <c r="DJ31" i="48"/>
  <c r="DK31" i="48" s="1"/>
  <c r="DC48" i="48"/>
  <c r="DJ48" i="48"/>
  <c r="DC36" i="48"/>
  <c r="DJ36" i="48"/>
  <c r="DC13" i="48"/>
  <c r="DJ13" i="48"/>
  <c r="DC39" i="48"/>
  <c r="DE39" i="48" s="1"/>
  <c r="DJ39" i="48"/>
  <c r="DK39" i="48" s="1"/>
  <c r="DC38" i="48"/>
  <c r="DE38" i="48" s="1"/>
  <c r="DJ38" i="48"/>
  <c r="DK38" i="48" s="1"/>
  <c r="DC18" i="48"/>
  <c r="DE18" i="48" s="1"/>
  <c r="DJ18" i="48"/>
  <c r="DK18" i="48" s="1"/>
  <c r="DC17" i="48"/>
  <c r="DE17" i="48" s="1"/>
  <c r="DJ17" i="48"/>
  <c r="DK17" i="48" s="1"/>
  <c r="DC15" i="48"/>
  <c r="DE15" i="48" s="1"/>
  <c r="DJ15" i="48"/>
  <c r="DK15" i="48" s="1"/>
  <c r="DC6" i="48"/>
  <c r="DE6" i="48" s="1"/>
  <c r="DJ6" i="48"/>
  <c r="DK6" i="48" s="1"/>
  <c r="DC24" i="48"/>
  <c r="DE24" i="48" s="1"/>
  <c r="DJ24" i="48"/>
  <c r="DK24" i="48" s="1"/>
  <c r="DC47" i="48"/>
  <c r="DJ47" i="48"/>
  <c r="DC49" i="48"/>
  <c r="DJ49" i="48"/>
  <c r="DC35" i="48"/>
  <c r="DJ35" i="48"/>
  <c r="DC34" i="48"/>
  <c r="DJ34" i="48"/>
  <c r="DC12" i="48"/>
  <c r="DE12" i="48" s="1"/>
  <c r="DJ12" i="48"/>
  <c r="DK12" i="48" s="1"/>
  <c r="DC45" i="48"/>
  <c r="DJ45" i="48"/>
  <c r="DC30" i="48"/>
  <c r="DE30" i="48" s="1"/>
  <c r="DJ30" i="48"/>
  <c r="DK30" i="48" s="1"/>
  <c r="DC42" i="48"/>
  <c r="DJ42" i="48"/>
  <c r="CY11" i="48"/>
  <c r="DJ11" i="48"/>
  <c r="DK11" i="48" s="1"/>
  <c r="DC5" i="48"/>
  <c r="DJ5" i="48"/>
  <c r="DC19" i="48"/>
  <c r="DE19" i="48" s="1"/>
  <c r="DJ19" i="48"/>
  <c r="DC25" i="48"/>
  <c r="DE25" i="48" s="1"/>
  <c r="DJ25" i="48"/>
  <c r="DK25" i="48" s="1"/>
  <c r="DC20" i="48"/>
  <c r="DE20" i="48" s="1"/>
  <c r="DJ20" i="48"/>
  <c r="DC43" i="48"/>
  <c r="DJ43" i="48"/>
  <c r="DC44" i="48"/>
  <c r="DE44" i="48" s="1"/>
  <c r="DJ44" i="48"/>
  <c r="DC41" i="48"/>
  <c r="DJ41" i="48"/>
  <c r="DC2" i="48"/>
  <c r="DE2" i="48" s="1"/>
  <c r="DJ2" i="48"/>
  <c r="DK2" i="48" s="1"/>
  <c r="CY46" i="48"/>
  <c r="DC46" i="48"/>
  <c r="DC11" i="48"/>
  <c r="DE11" i="48" s="1"/>
  <c r="EJ31" i="48"/>
  <c r="EJ19" i="48"/>
  <c r="EJ26" i="48"/>
  <c r="EJ48" i="48"/>
  <c r="EJ32" i="48"/>
  <c r="EJ23" i="48"/>
  <c r="EJ43" i="48"/>
  <c r="EJ3" i="48"/>
  <c r="EJ33" i="48"/>
  <c r="EJ49" i="48"/>
  <c r="EJ44" i="48"/>
  <c r="EJ36" i="48"/>
  <c r="EJ34" i="48"/>
  <c r="EJ30" i="48"/>
  <c r="EJ20" i="48"/>
  <c r="EJ16" i="48"/>
  <c r="EJ22" i="48"/>
  <c r="EJ15" i="48"/>
  <c r="EJ35" i="48"/>
  <c r="EJ18" i="48"/>
  <c r="EJ46" i="48"/>
  <c r="EJ37" i="48"/>
  <c r="EJ4" i="48"/>
  <c r="EJ28" i="48"/>
  <c r="EJ2" i="48"/>
  <c r="EJ21" i="48"/>
  <c r="EJ9" i="48"/>
  <c r="EJ29" i="48"/>
  <c r="EJ12" i="48"/>
  <c r="EJ6" i="48"/>
  <c r="EJ17" i="48"/>
  <c r="DH24" i="48"/>
  <c r="DG24" i="48"/>
  <c r="DA24" i="48"/>
  <c r="DD24" i="48" s="1"/>
  <c r="DH48" i="48"/>
  <c r="DG48" i="48"/>
  <c r="DA48" i="48"/>
  <c r="DD48" i="48" s="1"/>
  <c r="DE42" i="48"/>
  <c r="DH42" i="48"/>
  <c r="DG42" i="48"/>
  <c r="DA42" i="48"/>
  <c r="DD42" i="48" s="1"/>
  <c r="DI33" i="48"/>
  <c r="DH33" i="48"/>
  <c r="DG33" i="48"/>
  <c r="DE33" i="48"/>
  <c r="DD33" i="48"/>
  <c r="DA33" i="48"/>
  <c r="DH34" i="48"/>
  <c r="DG34" i="48"/>
  <c r="DA34" i="48"/>
  <c r="DD34" i="48" s="1"/>
  <c r="DI35" i="48"/>
  <c r="DH35" i="48"/>
  <c r="DG35" i="48"/>
  <c r="DE35" i="48"/>
  <c r="DD35" i="48"/>
  <c r="DA35" i="48"/>
  <c r="DH30" i="48"/>
  <c r="DG30" i="48"/>
  <c r="DA30" i="48"/>
  <c r="DD30" i="48" s="1"/>
  <c r="DH27" i="48"/>
  <c r="DG27" i="48"/>
  <c r="DA27" i="48"/>
  <c r="DD27" i="48" s="1"/>
  <c r="DE36" i="48"/>
  <c r="DH36" i="48"/>
  <c r="DG36" i="48"/>
  <c r="DA36" i="48"/>
  <c r="DD36" i="48" s="1"/>
  <c r="DH23" i="48"/>
  <c r="DG23" i="48"/>
  <c r="DA23" i="48"/>
  <c r="DD23" i="48" s="1"/>
  <c r="DH47" i="48"/>
  <c r="DG47" i="48"/>
  <c r="DI47" i="48" s="1"/>
  <c r="DA47" i="48"/>
  <c r="DD47" i="48" s="1"/>
  <c r="DH25" i="48"/>
  <c r="DG25" i="48"/>
  <c r="DA25" i="48"/>
  <c r="DD25" i="48" s="1"/>
  <c r="DH38" i="48"/>
  <c r="DG38" i="48"/>
  <c r="DA38" i="48"/>
  <c r="DD38" i="48" s="1"/>
  <c r="DI40" i="48"/>
  <c r="DH40" i="48"/>
  <c r="DG40" i="48"/>
  <c r="DE40" i="48"/>
  <c r="DD40" i="48"/>
  <c r="DA40" i="48"/>
  <c r="DH20" i="48"/>
  <c r="DG20" i="48"/>
  <c r="DA20" i="48"/>
  <c r="DD20" i="48" s="1"/>
  <c r="DH28" i="48"/>
  <c r="DG28" i="48"/>
  <c r="DA28" i="48"/>
  <c r="DD28" i="48" s="1"/>
  <c r="DH43" i="48"/>
  <c r="DG43" i="48"/>
  <c r="DA43" i="48"/>
  <c r="DD43" i="48" s="1"/>
  <c r="DH32" i="48"/>
  <c r="DG32" i="48"/>
  <c r="DA32" i="48"/>
  <c r="DD32" i="48" s="1"/>
  <c r="DH22" i="48"/>
  <c r="DG22" i="48"/>
  <c r="DA22" i="48"/>
  <c r="DD22" i="48" s="1"/>
  <c r="DH31" i="48"/>
  <c r="DG31" i="48"/>
  <c r="DA31" i="48"/>
  <c r="DD31" i="48" s="1"/>
  <c r="DH44" i="48"/>
  <c r="DG44" i="48"/>
  <c r="DA44" i="48"/>
  <c r="DD44" i="48" s="1"/>
  <c r="DE46" i="48"/>
  <c r="DH46" i="48"/>
  <c r="DG46" i="48"/>
  <c r="DA46" i="48"/>
  <c r="DD46" i="48" s="1"/>
  <c r="DH49" i="48"/>
  <c r="DG49" i="48"/>
  <c r="DA49" i="48"/>
  <c r="DD49" i="48" s="1"/>
  <c r="DH26" i="48"/>
  <c r="DG26" i="48"/>
  <c r="DA26" i="48"/>
  <c r="DD26" i="48" s="1"/>
  <c r="DH29" i="48"/>
  <c r="DG29" i="48"/>
  <c r="DA29" i="48"/>
  <c r="DD29" i="48" s="1"/>
  <c r="DI45" i="48"/>
  <c r="DH45" i="48"/>
  <c r="DG45" i="48"/>
  <c r="DE45" i="48"/>
  <c r="DD45" i="48"/>
  <c r="DA45" i="48"/>
  <c r="DH37" i="48"/>
  <c r="DG37" i="48"/>
  <c r="DA37" i="48"/>
  <c r="DD37" i="48" s="1"/>
  <c r="DH39" i="48"/>
  <c r="DG39" i="48"/>
  <c r="DA39" i="48"/>
  <c r="DD39" i="48" s="1"/>
  <c r="DH41" i="48"/>
  <c r="DG41" i="48"/>
  <c r="DA41" i="48"/>
  <c r="DD41" i="48" s="1"/>
  <c r="DH21" i="48"/>
  <c r="DG21" i="48"/>
  <c r="DA21" i="48"/>
  <c r="DD21" i="48" s="1"/>
  <c r="DH16" i="48"/>
  <c r="DG16" i="48"/>
  <c r="DA16" i="48"/>
  <c r="DD16" i="48" s="1"/>
  <c r="DH17" i="48"/>
  <c r="DG17" i="48"/>
  <c r="DA17" i="48"/>
  <c r="DD17" i="48" s="1"/>
  <c r="DH15" i="48"/>
  <c r="DG15" i="48"/>
  <c r="DA15" i="48"/>
  <c r="DD15" i="48" s="1"/>
  <c r="DH9" i="48"/>
  <c r="DG9" i="48"/>
  <c r="DA9" i="48"/>
  <c r="DD9" i="48" s="1"/>
  <c r="DH2" i="48"/>
  <c r="DG2" i="48"/>
  <c r="DA2" i="48"/>
  <c r="DD2" i="48" s="1"/>
  <c r="DH3" i="48"/>
  <c r="DG3" i="48"/>
  <c r="DA3" i="48"/>
  <c r="DD3" i="48" s="1"/>
  <c r="DH8" i="48"/>
  <c r="DG8" i="48"/>
  <c r="DA8" i="48"/>
  <c r="DD8" i="48" s="1"/>
  <c r="DH14" i="48"/>
  <c r="DG14" i="48"/>
  <c r="DA14" i="48"/>
  <c r="DD14" i="48" s="1"/>
  <c r="DH6" i="48"/>
  <c r="DA6" i="48"/>
  <c r="DD6" i="48" s="1"/>
  <c r="DG6" i="48"/>
  <c r="DH4" i="48"/>
  <c r="DG4" i="48"/>
  <c r="DA4" i="48"/>
  <c r="DD4" i="48" s="1"/>
  <c r="DH13" i="48"/>
  <c r="DG13" i="48"/>
  <c r="DA13" i="48"/>
  <c r="DD13" i="48" s="1"/>
  <c r="DH11" i="48"/>
  <c r="DG11" i="48"/>
  <c r="DA11" i="48"/>
  <c r="DH10" i="48"/>
  <c r="DG10" i="48"/>
  <c r="DA10" i="48"/>
  <c r="DD10" i="48" s="1"/>
  <c r="DH7" i="48"/>
  <c r="DG7" i="48"/>
  <c r="DA7" i="48"/>
  <c r="DD7" i="48" s="1"/>
  <c r="DH12" i="48"/>
  <c r="DG12" i="48"/>
  <c r="DA12" i="48"/>
  <c r="DD12" i="48" s="1"/>
  <c r="DH5" i="48"/>
  <c r="DG5" i="48"/>
  <c r="DA5" i="48"/>
  <c r="DD5" i="48" s="1"/>
  <c r="DH19" i="48"/>
  <c r="DG19" i="48"/>
  <c r="DA19" i="48"/>
  <c r="DD19" i="48" s="1"/>
  <c r="DH18" i="48"/>
  <c r="DG18" i="48"/>
  <c r="DA18" i="48"/>
  <c r="CY44" i="48"/>
  <c r="CY42" i="48"/>
  <c r="CY45" i="48"/>
  <c r="CY35" i="48"/>
  <c r="CY6" i="48"/>
  <c r="DE41" i="48"/>
  <c r="DE47" i="48"/>
  <c r="CY39" i="48"/>
  <c r="DE48" i="48"/>
  <c r="DE13" i="48"/>
  <c r="DE34" i="48"/>
  <c r="CY38" i="48"/>
  <c r="CY28" i="48"/>
  <c r="DE49" i="48"/>
  <c r="DE43" i="48"/>
  <c r="CY3" i="48"/>
  <c r="CY14" i="48"/>
  <c r="DE37" i="48"/>
  <c r="DE5" i="48"/>
  <c r="DE7" i="48"/>
  <c r="CY5" i="48"/>
  <c r="CY33" i="48"/>
  <c r="CY19" i="48"/>
  <c r="CY13" i="48"/>
  <c r="CY34" i="48"/>
  <c r="CY40" i="48"/>
  <c r="CY20" i="48"/>
  <c r="CY8" i="48"/>
  <c r="CY29" i="48"/>
  <c r="CY22" i="48"/>
  <c r="CY17" i="48"/>
  <c r="CY32" i="48"/>
  <c r="CY18" i="48"/>
  <c r="CY15" i="48"/>
  <c r="CY21" i="48"/>
  <c r="CY12" i="48"/>
  <c r="CY4" i="48"/>
  <c r="CY43" i="48"/>
  <c r="CY31" i="48"/>
  <c r="CY24" i="48"/>
  <c r="CY41" i="48"/>
  <c r="CY49" i="48"/>
  <c r="CY16" i="48"/>
  <c r="CY26" i="48"/>
  <c r="CY36" i="48"/>
  <c r="CY30" i="48"/>
  <c r="CY37" i="48"/>
  <c r="CY2" i="48"/>
  <c r="CY25" i="48"/>
  <c r="CY48" i="48"/>
  <c r="CY23" i="48"/>
  <c r="CY47" i="48"/>
  <c r="CY7" i="48"/>
  <c r="CY9" i="48"/>
  <c r="CY27" i="48"/>
  <c r="CY10" i="48"/>
  <c r="DP18" i="48" l="1"/>
  <c r="DP11" i="48"/>
  <c r="DP26" i="48"/>
  <c r="DP17" i="48"/>
  <c r="DP16" i="48"/>
  <c r="DP2" i="48"/>
  <c r="DP44" i="48"/>
  <c r="DP3" i="48"/>
  <c r="DP32" i="48"/>
  <c r="DP38" i="48"/>
  <c r="DP27" i="48"/>
  <c r="DP14" i="48"/>
  <c r="DP19" i="48"/>
  <c r="DP39" i="48"/>
  <c r="DP9" i="48"/>
  <c r="DP24" i="48"/>
  <c r="DP25" i="48"/>
  <c r="DP8" i="48"/>
  <c r="DP30" i="48"/>
  <c r="DP22" i="48"/>
  <c r="DP6" i="48"/>
  <c r="DP20" i="48"/>
  <c r="DP29" i="48"/>
  <c r="DP10" i="48"/>
  <c r="DP4" i="48"/>
  <c r="DP15" i="48"/>
  <c r="DP12" i="48"/>
  <c r="DP21" i="48"/>
  <c r="DP31" i="48"/>
  <c r="DP28" i="48"/>
  <c r="DP23" i="48"/>
  <c r="DI14" i="48"/>
  <c r="DK14" i="48" s="1"/>
  <c r="DI39" i="48"/>
  <c r="DI44" i="48"/>
  <c r="DK44" i="48" s="1"/>
  <c r="DI38" i="48"/>
  <c r="DI31" i="48"/>
  <c r="DI25" i="48"/>
  <c r="DI28" i="48"/>
  <c r="DI36" i="48"/>
  <c r="DI29" i="48"/>
  <c r="DI37" i="48"/>
  <c r="DI24" i="48"/>
  <c r="DI16" i="48"/>
  <c r="DI23" i="48"/>
  <c r="DI21" i="48"/>
  <c r="DK21" i="48" s="1"/>
  <c r="DI49" i="48"/>
  <c r="DI42" i="48"/>
  <c r="DI34" i="48"/>
  <c r="DI27" i="48"/>
  <c r="DK27" i="48" s="1"/>
  <c r="DI48" i="48"/>
  <c r="DI20" i="48"/>
  <c r="DK20" i="48" s="1"/>
  <c r="DI46" i="48"/>
  <c r="DI43" i="48"/>
  <c r="DI26" i="48"/>
  <c r="DI32" i="48"/>
  <c r="DK32" i="48" s="1"/>
  <c r="DI41" i="48"/>
  <c r="DI22" i="48"/>
  <c r="DK22" i="48" s="1"/>
  <c r="DI30" i="48"/>
  <c r="DI6" i="48"/>
  <c r="DI5" i="48"/>
  <c r="DI2" i="48"/>
  <c r="DI3" i="48"/>
  <c r="DI11" i="48"/>
  <c r="DI4" i="48"/>
  <c r="DI13" i="48"/>
  <c r="DI8" i="48"/>
  <c r="DI10" i="48"/>
  <c r="DI9" i="48"/>
  <c r="DI19" i="48"/>
  <c r="DK19" i="48" s="1"/>
  <c r="DI12" i="48"/>
  <c r="DI7" i="48"/>
  <c r="DD11" i="48"/>
  <c r="DI17" i="48"/>
  <c r="DI18" i="48"/>
  <c r="DI15" i="48"/>
  <c r="DD18" i="48"/>
  <c r="DQ18" i="48" l="1"/>
  <c r="DR18" i="48" s="1"/>
  <c r="DT18" i="48" s="1"/>
  <c r="DQ11" i="48"/>
  <c r="DR11" i="48" s="1"/>
  <c r="DT11" i="48" s="1"/>
  <c r="DQ19" i="48"/>
  <c r="DR19" i="48" s="1"/>
  <c r="DT19" i="48" s="1"/>
  <c r="DQ38" i="48"/>
  <c r="DR38" i="48" s="1"/>
  <c r="DT38" i="48" s="1"/>
  <c r="DQ39" i="48"/>
  <c r="DR39" i="48" s="1"/>
  <c r="DT39" i="48" s="1"/>
  <c r="DQ28" i="48"/>
  <c r="DR28" i="48" s="1"/>
  <c r="DT28" i="48" s="1"/>
  <c r="DQ12" i="48"/>
  <c r="DR12" i="48" s="1"/>
  <c r="DT12" i="48" s="1"/>
  <c r="DQ3" i="48"/>
  <c r="DR3" i="48" s="1"/>
  <c r="DT3" i="48" s="1"/>
  <c r="DQ26" i="48"/>
  <c r="DR26" i="48" s="1"/>
  <c r="DT26" i="48" s="1"/>
  <c r="DQ14" i="48"/>
  <c r="DR14" i="48" s="1"/>
  <c r="DT14" i="48" s="1"/>
  <c r="DQ32" i="48"/>
  <c r="DR32" i="48" s="1"/>
  <c r="DT32" i="48" s="1"/>
  <c r="DQ29" i="48"/>
  <c r="DR29" i="48" s="1"/>
  <c r="DT29" i="48" s="1"/>
  <c r="DQ16" i="48"/>
  <c r="DR16" i="48" s="1"/>
  <c r="DT16" i="48" s="1"/>
  <c r="DQ8" i="48"/>
  <c r="DR8" i="48" s="1"/>
  <c r="DT8" i="48" s="1"/>
  <c r="DQ31" i="48"/>
  <c r="DR31" i="48" s="1"/>
  <c r="DT31" i="48" s="1"/>
  <c r="DQ15" i="48"/>
  <c r="DR15" i="48" s="1"/>
  <c r="DT15" i="48" s="1"/>
  <c r="DQ44" i="48"/>
  <c r="DR44" i="48" s="1"/>
  <c r="DT44" i="48" s="1"/>
  <c r="DQ6" i="48"/>
  <c r="DR6" i="48" s="1"/>
  <c r="DT6" i="48" s="1"/>
  <c r="DQ25" i="48"/>
  <c r="DR25" i="48" s="1"/>
  <c r="DT25" i="48" s="1"/>
  <c r="DQ27" i="48"/>
  <c r="DR27" i="48" s="1"/>
  <c r="DT27" i="48" s="1"/>
  <c r="DQ10" i="48"/>
  <c r="DR10" i="48" s="1"/>
  <c r="DT10" i="48" s="1"/>
  <c r="DQ17" i="48"/>
  <c r="DR17" i="48" s="1"/>
  <c r="DT17" i="48" s="1"/>
  <c r="DQ24" i="48"/>
  <c r="DR24" i="48" s="1"/>
  <c r="DT24" i="48" s="1"/>
  <c r="DQ21" i="48"/>
  <c r="DR21" i="48" s="1"/>
  <c r="DT21" i="48" s="1"/>
  <c r="DQ4" i="48"/>
  <c r="DR4" i="48" s="1"/>
  <c r="DT4" i="48" s="1"/>
  <c r="DQ20" i="48"/>
  <c r="DR20" i="48" s="1"/>
  <c r="DQ22" i="48"/>
  <c r="DR22" i="48" s="1"/>
  <c r="DT22" i="48" s="1"/>
  <c r="DQ30" i="48"/>
  <c r="DR30" i="48" s="1"/>
  <c r="DT30" i="48" s="1"/>
  <c r="DQ23" i="48"/>
  <c r="DR23" i="48" s="1"/>
  <c r="DT23" i="48" s="1"/>
  <c r="DQ9" i="48"/>
  <c r="DR9" i="48" s="1"/>
  <c r="DT9" i="48" s="1"/>
  <c r="DU42" i="48"/>
  <c r="DV42" i="48" s="1"/>
  <c r="DW42" i="48" s="1"/>
  <c r="DX42" i="48" s="1"/>
  <c r="DY42" i="48" s="1"/>
  <c r="DZ42" i="48" s="1"/>
  <c r="EA42" i="48" s="1"/>
  <c r="DT20" i="48" l="1"/>
  <c r="DU20" i="48" s="1"/>
  <c r="DV20" i="48" s="1"/>
  <c r="DW20" i="48" s="1"/>
  <c r="DX20" i="48" s="1"/>
  <c r="DY20" i="48" s="1"/>
  <c r="DZ20" i="48" s="1"/>
  <c r="EA20" i="48" s="1"/>
  <c r="DU39" i="48"/>
  <c r="DV39" i="48" s="1"/>
  <c r="DW39" i="48" s="1"/>
  <c r="DX39" i="48" s="1"/>
  <c r="DY39" i="48" s="1"/>
  <c r="DZ39" i="48" s="1"/>
  <c r="EA39" i="48" s="1"/>
  <c r="DU44" i="48"/>
  <c r="DV44" i="48" s="1"/>
  <c r="DW44" i="48" s="1"/>
  <c r="DX44" i="48" s="1"/>
  <c r="DY44" i="48" s="1"/>
  <c r="DZ44" i="48" s="1"/>
  <c r="EA44" i="48" s="1"/>
  <c r="DU36" i="48"/>
  <c r="DV36" i="48" s="1"/>
  <c r="DW36" i="48" s="1"/>
  <c r="DX36" i="48" s="1"/>
  <c r="DY36" i="48" s="1"/>
  <c r="DZ36" i="48" s="1"/>
  <c r="EA36" i="48" s="1"/>
  <c r="DU37" i="48"/>
  <c r="DV37" i="48" s="1"/>
  <c r="DW37" i="48" s="1"/>
  <c r="DX37" i="48" s="1"/>
  <c r="DY37" i="48" s="1"/>
  <c r="DZ37" i="48" s="1"/>
  <c r="EA37" i="48" s="1"/>
  <c r="DU24" i="48"/>
  <c r="DV24" i="48" s="1"/>
  <c r="DW24" i="48" s="1"/>
  <c r="DX24" i="48" s="1"/>
  <c r="DY24" i="48" s="1"/>
  <c r="DZ24" i="48" s="1"/>
  <c r="EA24" i="48" s="1"/>
  <c r="EB42" i="48"/>
  <c r="EC42" i="48"/>
  <c r="DU35" i="48"/>
  <c r="DV35" i="48" s="1"/>
  <c r="DW35" i="48" s="1"/>
  <c r="DX35" i="48" s="1"/>
  <c r="DY35" i="48" s="1"/>
  <c r="DZ35" i="48" s="1"/>
  <c r="EA35" i="48" s="1"/>
  <c r="DU45" i="48"/>
  <c r="DV45" i="48" s="1"/>
  <c r="DW45" i="48" s="1"/>
  <c r="DX45" i="48" s="1"/>
  <c r="DY45" i="48" s="1"/>
  <c r="DZ45" i="48" s="1"/>
  <c r="EA45" i="48" s="1"/>
  <c r="DU28" i="48"/>
  <c r="DV28" i="48" s="1"/>
  <c r="DW28" i="48" s="1"/>
  <c r="DX28" i="48" s="1"/>
  <c r="DY28" i="48" s="1"/>
  <c r="DZ28" i="48" s="1"/>
  <c r="EA28" i="48" s="1"/>
  <c r="DU21" i="48"/>
  <c r="DV21" i="48" s="1"/>
  <c r="DW21" i="48" s="1"/>
  <c r="DX21" i="48" s="1"/>
  <c r="DY21" i="48" s="1"/>
  <c r="DZ21" i="48" s="1"/>
  <c r="EA21" i="48" s="1"/>
  <c r="DU40" i="48"/>
  <c r="DV40" i="48" s="1"/>
  <c r="DW40" i="48" s="1"/>
  <c r="DX40" i="48" s="1"/>
  <c r="DY40" i="48" s="1"/>
  <c r="DZ40" i="48" s="1"/>
  <c r="EA40" i="48" s="1"/>
  <c r="DU29" i="48"/>
  <c r="DV29" i="48" s="1"/>
  <c r="DW29" i="48" s="1"/>
  <c r="DX29" i="48" s="1"/>
  <c r="DY29" i="48" s="1"/>
  <c r="DZ29" i="48" s="1"/>
  <c r="EA29" i="48" s="1"/>
  <c r="EC20" i="48" l="1"/>
  <c r="EB20" i="48"/>
  <c r="ED42" i="48"/>
  <c r="EE42" i="48" s="1"/>
  <c r="EC36" i="48"/>
  <c r="EC24" i="48"/>
  <c r="EC40" i="48"/>
  <c r="EC45" i="48"/>
  <c r="EC35" i="48"/>
  <c r="EC39" i="48"/>
  <c r="EC29" i="48"/>
  <c r="EC28" i="48"/>
  <c r="EC21" i="48"/>
  <c r="EC44" i="48"/>
  <c r="EC37" i="48"/>
  <c r="EB28" i="48"/>
  <c r="EB35" i="48"/>
  <c r="EB44" i="48"/>
  <c r="EB37" i="48"/>
  <c r="EB36" i="48"/>
  <c r="EB29" i="48"/>
  <c r="EB40" i="48"/>
  <c r="EB21" i="48"/>
  <c r="EB24" i="48"/>
  <c r="EB39" i="48"/>
  <c r="EB45" i="48"/>
  <c r="DU11" i="48"/>
  <c r="DV11" i="48" s="1"/>
  <c r="DW11" i="48" s="1"/>
  <c r="DX11" i="48" s="1"/>
  <c r="DY11" i="48" s="1"/>
  <c r="DZ11" i="48" s="1"/>
  <c r="EA11" i="48" s="1"/>
  <c r="DU49" i="48"/>
  <c r="DV49" i="48" s="1"/>
  <c r="DW49" i="48" s="1"/>
  <c r="DX49" i="48" s="1"/>
  <c r="DY49" i="48" s="1"/>
  <c r="DZ49" i="48" s="1"/>
  <c r="EA49" i="48" s="1"/>
  <c r="DU48" i="48"/>
  <c r="DV48" i="48" s="1"/>
  <c r="DW48" i="48" s="1"/>
  <c r="DX48" i="48" s="1"/>
  <c r="DY48" i="48" s="1"/>
  <c r="DZ48" i="48" s="1"/>
  <c r="EA48" i="48" s="1"/>
  <c r="DU43" i="48"/>
  <c r="DV43" i="48" s="1"/>
  <c r="DW43" i="48" s="1"/>
  <c r="DX43" i="48" s="1"/>
  <c r="DY43" i="48" s="1"/>
  <c r="DZ43" i="48" s="1"/>
  <c r="EA43" i="48" s="1"/>
  <c r="DU34" i="48"/>
  <c r="DV34" i="48" s="1"/>
  <c r="DW34" i="48" s="1"/>
  <c r="DX34" i="48" s="1"/>
  <c r="DY34" i="48" s="1"/>
  <c r="DZ34" i="48" s="1"/>
  <c r="EA34" i="48" s="1"/>
  <c r="DU17" i="48"/>
  <c r="DV17" i="48" s="1"/>
  <c r="DW17" i="48" s="1"/>
  <c r="DX17" i="48" s="1"/>
  <c r="DY17" i="48" s="1"/>
  <c r="DZ17" i="48" s="1"/>
  <c r="EA17" i="48" s="1"/>
  <c r="DU6" i="48"/>
  <c r="DV6" i="48" s="1"/>
  <c r="DW6" i="48" s="1"/>
  <c r="DX6" i="48" s="1"/>
  <c r="DY6" i="48" s="1"/>
  <c r="DZ6" i="48" s="1"/>
  <c r="EA6" i="48" s="1"/>
  <c r="DU27" i="48"/>
  <c r="DV27" i="48" s="1"/>
  <c r="DW27" i="48" s="1"/>
  <c r="DX27" i="48" s="1"/>
  <c r="DY27" i="48" s="1"/>
  <c r="DZ27" i="48" s="1"/>
  <c r="EA27" i="48" s="1"/>
  <c r="DU16" i="48"/>
  <c r="DV16" i="48" s="1"/>
  <c r="DW16" i="48" s="1"/>
  <c r="DX16" i="48" s="1"/>
  <c r="DY16" i="48" s="1"/>
  <c r="DZ16" i="48" s="1"/>
  <c r="EA16" i="48" s="1"/>
  <c r="DU31" i="48"/>
  <c r="DV31" i="48" s="1"/>
  <c r="DW31" i="48" s="1"/>
  <c r="DX31" i="48" s="1"/>
  <c r="DY31" i="48" s="1"/>
  <c r="DZ31" i="48" s="1"/>
  <c r="EA31" i="48" s="1"/>
  <c r="DU30" i="48"/>
  <c r="DV30" i="48" s="1"/>
  <c r="DW30" i="48" s="1"/>
  <c r="DX30" i="48" s="1"/>
  <c r="DY30" i="48" s="1"/>
  <c r="DZ30" i="48" s="1"/>
  <c r="EA30" i="48" s="1"/>
  <c r="DU38" i="48"/>
  <c r="DV38" i="48" s="1"/>
  <c r="DW38" i="48" s="1"/>
  <c r="DX38" i="48" s="1"/>
  <c r="DY38" i="48" s="1"/>
  <c r="DZ38" i="48" s="1"/>
  <c r="EA38" i="48" s="1"/>
  <c r="DU15" i="48"/>
  <c r="DV15" i="48" s="1"/>
  <c r="DW15" i="48" s="1"/>
  <c r="DX15" i="48" s="1"/>
  <c r="DY15" i="48" s="1"/>
  <c r="DZ15" i="48" s="1"/>
  <c r="EA15" i="48" s="1"/>
  <c r="DU4" i="48"/>
  <c r="DV4" i="48" s="1"/>
  <c r="DW4" i="48" s="1"/>
  <c r="DX4" i="48" s="1"/>
  <c r="DY4" i="48" s="1"/>
  <c r="DZ4" i="48" s="1"/>
  <c r="EA4" i="48" s="1"/>
  <c r="DU14" i="48"/>
  <c r="DV14" i="48" s="1"/>
  <c r="DW14" i="48" s="1"/>
  <c r="DX14" i="48" s="1"/>
  <c r="DY14" i="48" s="1"/>
  <c r="DZ14" i="48" s="1"/>
  <c r="EA14" i="48" s="1"/>
  <c r="DU26" i="48"/>
  <c r="DV26" i="48" s="1"/>
  <c r="DW26" i="48" s="1"/>
  <c r="DX26" i="48" s="1"/>
  <c r="DY26" i="48" s="1"/>
  <c r="DZ26" i="48" s="1"/>
  <c r="EA26" i="48" s="1"/>
  <c r="DU19" i="48"/>
  <c r="DV19" i="48" s="1"/>
  <c r="DW19" i="48" s="1"/>
  <c r="DX19" i="48" s="1"/>
  <c r="DY19" i="48" s="1"/>
  <c r="DZ19" i="48" s="1"/>
  <c r="EA19" i="48" s="1"/>
  <c r="DU32" i="48"/>
  <c r="DV32" i="48" s="1"/>
  <c r="DW32" i="48" s="1"/>
  <c r="DX32" i="48" s="1"/>
  <c r="DY32" i="48" s="1"/>
  <c r="DZ32" i="48" s="1"/>
  <c r="EA32" i="48" s="1"/>
  <c r="DU8" i="48"/>
  <c r="DV8" i="48" s="1"/>
  <c r="DW8" i="48" s="1"/>
  <c r="DX8" i="48" s="1"/>
  <c r="DY8" i="48" s="1"/>
  <c r="DZ8" i="48" s="1"/>
  <c r="EA8" i="48" s="1"/>
  <c r="DU9" i="48"/>
  <c r="DV9" i="48" s="1"/>
  <c r="DW9" i="48" s="1"/>
  <c r="DX9" i="48" s="1"/>
  <c r="DY9" i="48" s="1"/>
  <c r="DZ9" i="48" s="1"/>
  <c r="EA9" i="48" s="1"/>
  <c r="DU25" i="48"/>
  <c r="DV25" i="48" s="1"/>
  <c r="DW25" i="48" s="1"/>
  <c r="DX25" i="48" s="1"/>
  <c r="DY25" i="48" s="1"/>
  <c r="DZ25" i="48" s="1"/>
  <c r="EA25" i="48" s="1"/>
  <c r="DU5" i="48"/>
  <c r="DV5" i="48" s="1"/>
  <c r="DW5" i="48" s="1"/>
  <c r="DX5" i="48" s="1"/>
  <c r="DY5" i="48" s="1"/>
  <c r="DZ5" i="48" s="1"/>
  <c r="EA5" i="48" s="1"/>
  <c r="DU12" i="48"/>
  <c r="DV12" i="48" s="1"/>
  <c r="DW12" i="48" s="1"/>
  <c r="DX12" i="48" s="1"/>
  <c r="DY12" i="48" s="1"/>
  <c r="DZ12" i="48" s="1"/>
  <c r="EA12" i="48" s="1"/>
  <c r="DU23" i="48"/>
  <c r="DV23" i="48" s="1"/>
  <c r="DW23" i="48" s="1"/>
  <c r="DX23" i="48" s="1"/>
  <c r="DY23" i="48" s="1"/>
  <c r="DZ23" i="48" s="1"/>
  <c r="EA23" i="48" s="1"/>
  <c r="DU7" i="48"/>
  <c r="DV7" i="48" s="1"/>
  <c r="DW7" i="48" s="1"/>
  <c r="DX7" i="48" s="1"/>
  <c r="DY7" i="48" s="1"/>
  <c r="DZ7" i="48" s="1"/>
  <c r="EA7" i="48" s="1"/>
  <c r="DU10" i="48"/>
  <c r="DU41" i="48"/>
  <c r="DV41" i="48" s="1"/>
  <c r="DW41" i="48" s="1"/>
  <c r="DX41" i="48" s="1"/>
  <c r="DY41" i="48" s="1"/>
  <c r="DZ41" i="48" s="1"/>
  <c r="EA41" i="48" s="1"/>
  <c r="DU13" i="48"/>
  <c r="DV13" i="48" s="1"/>
  <c r="DW13" i="48" s="1"/>
  <c r="DX13" i="48" s="1"/>
  <c r="DY13" i="48" s="1"/>
  <c r="DZ13" i="48" s="1"/>
  <c r="EA13" i="48" s="1"/>
  <c r="DU22" i="48"/>
  <c r="DV22" i="48" s="1"/>
  <c r="DW22" i="48" s="1"/>
  <c r="DX22" i="48" s="1"/>
  <c r="DY22" i="48" s="1"/>
  <c r="DZ22" i="48" s="1"/>
  <c r="EA22" i="48" s="1"/>
  <c r="DU3" i="48"/>
  <c r="DV3" i="48" s="1"/>
  <c r="DW3" i="48" s="1"/>
  <c r="DX3" i="48" s="1"/>
  <c r="DY3" i="48" s="1"/>
  <c r="DZ3" i="48" s="1"/>
  <c r="EA3" i="48" s="1"/>
  <c r="DU47" i="48"/>
  <c r="DV47" i="48" s="1"/>
  <c r="DW47" i="48" s="1"/>
  <c r="DX47" i="48" s="1"/>
  <c r="DY47" i="48" s="1"/>
  <c r="DZ47" i="48" s="1"/>
  <c r="EA47" i="48" s="1"/>
  <c r="DU33" i="48"/>
  <c r="DV33" i="48" s="1"/>
  <c r="DW33" i="48" s="1"/>
  <c r="DX33" i="48" s="1"/>
  <c r="DY33" i="48" s="1"/>
  <c r="DZ33" i="48" s="1"/>
  <c r="EA33" i="48" s="1"/>
  <c r="DU18" i="48"/>
  <c r="DV18" i="48" s="1"/>
  <c r="DW18" i="48" s="1"/>
  <c r="DX18" i="48" s="1"/>
  <c r="DY18" i="48" s="1"/>
  <c r="DZ18" i="48" s="1"/>
  <c r="EA18" i="48" s="1"/>
  <c r="DU46" i="48"/>
  <c r="DV46" i="48" s="1"/>
  <c r="DW46" i="48" s="1"/>
  <c r="DX46" i="48" s="1"/>
  <c r="DY46" i="48" s="1"/>
  <c r="DZ46" i="48" s="1"/>
  <c r="EA46" i="48" s="1"/>
  <c r="DV10" i="48" l="1"/>
  <c r="DW10" i="48" s="1"/>
  <c r="DX10" i="48" s="1"/>
  <c r="DY10" i="48" s="1"/>
  <c r="DZ10" i="48" s="1"/>
  <c r="EA10" i="48" s="1"/>
  <c r="ED20" i="48"/>
  <c r="EF20" i="48" s="1"/>
  <c r="ED37" i="48"/>
  <c r="ED45" i="48"/>
  <c r="EF42" i="48"/>
  <c r="EG42" i="48" s="1"/>
  <c r="ED44" i="48"/>
  <c r="EE44" i="48" s="1"/>
  <c r="ED35" i="48"/>
  <c r="EE35" i="48" s="1"/>
  <c r="ED29" i="48"/>
  <c r="EE29" i="48" s="1"/>
  <c r="ED36" i="48"/>
  <c r="EE36" i="48" s="1"/>
  <c r="ED24" i="48"/>
  <c r="ED39" i="48"/>
  <c r="EE39" i="48" s="1"/>
  <c r="ED21" i="48"/>
  <c r="EE21" i="48" s="1"/>
  <c r="ED40" i="48"/>
  <c r="EE40" i="48" s="1"/>
  <c r="ED28" i="48"/>
  <c r="EE28" i="48" s="1"/>
  <c r="EC48" i="48"/>
  <c r="EC26" i="48"/>
  <c r="EC4" i="48"/>
  <c r="EC16" i="48"/>
  <c r="EC23" i="48"/>
  <c r="EC15" i="48"/>
  <c r="EC27" i="48"/>
  <c r="EC12" i="48"/>
  <c r="EC6" i="48"/>
  <c r="EC47" i="48"/>
  <c r="EC17" i="48"/>
  <c r="EC22" i="48"/>
  <c r="EC5" i="48"/>
  <c r="EC38" i="48"/>
  <c r="EC49" i="48"/>
  <c r="EC46" i="48"/>
  <c r="EC25" i="48"/>
  <c r="EC33" i="48"/>
  <c r="EC30" i="48"/>
  <c r="EC11" i="48"/>
  <c r="EC18" i="48"/>
  <c r="EC13" i="48"/>
  <c r="EC31" i="48"/>
  <c r="EC8" i="48"/>
  <c r="EC34" i="48"/>
  <c r="EC3" i="48"/>
  <c r="EC41" i="48"/>
  <c r="EC32" i="48"/>
  <c r="EC9" i="48"/>
  <c r="EC7" i="48"/>
  <c r="EC19" i="48"/>
  <c r="EC43" i="48"/>
  <c r="EB14" i="48"/>
  <c r="EC14" i="48"/>
  <c r="EB38" i="48"/>
  <c r="EB25" i="48"/>
  <c r="EB30" i="48"/>
  <c r="EB11" i="48"/>
  <c r="EB31" i="48"/>
  <c r="EB49" i="48"/>
  <c r="EB8" i="48"/>
  <c r="EB5" i="48"/>
  <c r="EB34" i="48"/>
  <c r="EB32" i="48"/>
  <c r="EB18" i="48"/>
  <c r="EB9" i="48"/>
  <c r="EB7" i="48"/>
  <c r="EB19" i="48"/>
  <c r="EB43" i="48"/>
  <c r="EB48" i="48"/>
  <c r="EB17" i="48"/>
  <c r="EB33" i="48"/>
  <c r="EB26" i="48"/>
  <c r="EB4" i="48"/>
  <c r="EB16" i="48"/>
  <c r="EB22" i="48"/>
  <c r="EB13" i="48"/>
  <c r="EB47" i="48"/>
  <c r="EB23" i="48"/>
  <c r="EB15" i="48"/>
  <c r="EB27" i="48"/>
  <c r="EB41" i="48"/>
  <c r="EB46" i="48"/>
  <c r="EB3" i="48"/>
  <c r="EB12" i="48"/>
  <c r="EB6" i="48"/>
  <c r="DQ2" i="48"/>
  <c r="DR2" i="48" s="1"/>
  <c r="DT2" i="48" s="1"/>
  <c r="DU2" i="48" s="1"/>
  <c r="DV2" i="48" s="1"/>
  <c r="DW2" i="48" s="1"/>
  <c r="DX2" i="48" s="1"/>
  <c r="DY2" i="48" s="1"/>
  <c r="DZ2" i="48" s="1"/>
  <c r="EA2" i="48" s="1"/>
  <c r="EC2" i="48" s="1"/>
  <c r="EB10" i="48" l="1"/>
  <c r="EC10" i="48"/>
  <c r="EE20" i="48"/>
  <c r="EG20" i="48" s="1"/>
  <c r="EF45" i="48"/>
  <c r="EE45" i="48"/>
  <c r="EF37" i="48"/>
  <c r="EE37" i="48"/>
  <c r="EF24" i="48"/>
  <c r="EE24" i="48"/>
  <c r="ED48" i="48"/>
  <c r="ED25" i="48"/>
  <c r="EE25" i="48" s="1"/>
  <c r="ED4" i="48"/>
  <c r="ED26" i="48"/>
  <c r="ED46" i="48"/>
  <c r="EF44" i="48"/>
  <c r="EG44" i="48" s="1"/>
  <c r="ED33" i="48"/>
  <c r="EE33" i="48" s="1"/>
  <c r="ED6" i="48"/>
  <c r="EE6" i="48" s="1"/>
  <c r="ED22" i="48"/>
  <c r="EE22" i="48" s="1"/>
  <c r="ED17" i="48"/>
  <c r="ED31" i="48"/>
  <c r="EE31" i="48" s="1"/>
  <c r="EF35" i="48"/>
  <c r="EG35" i="48" s="1"/>
  <c r="ED32" i="48"/>
  <c r="EE32" i="48" s="1"/>
  <c r="ED27" i="48"/>
  <c r="ED12" i="48"/>
  <c r="ED49" i="48"/>
  <c r="EE49" i="48" s="1"/>
  <c r="ED7" i="48"/>
  <c r="ED38" i="48"/>
  <c r="ED13" i="48"/>
  <c r="EE13" i="48" s="1"/>
  <c r="ED18" i="48"/>
  <c r="EE18" i="48" s="1"/>
  <c r="ED43" i="48"/>
  <c r="ED16" i="48"/>
  <c r="EE16" i="48" s="1"/>
  <c r="ED5" i="48"/>
  <c r="EF21" i="48"/>
  <c r="EF29" i="48"/>
  <c r="EG29" i="48" s="1"/>
  <c r="EF28" i="48"/>
  <c r="ED9" i="48"/>
  <c r="EE9" i="48" s="1"/>
  <c r="EF40" i="48"/>
  <c r="EF39" i="48"/>
  <c r="EF36" i="48"/>
  <c r="ED47" i="48"/>
  <c r="ED19" i="48"/>
  <c r="ED41" i="48"/>
  <c r="ED11" i="48"/>
  <c r="EE11" i="48" s="1"/>
  <c r="ED14" i="48"/>
  <c r="EE14" i="48" s="1"/>
  <c r="ED30" i="48"/>
  <c r="ED8" i="48"/>
  <c r="ED3" i="48"/>
  <c r="EE3" i="48" s="1"/>
  <c r="ED15" i="48"/>
  <c r="ED23" i="48"/>
  <c r="EE23" i="48" s="1"/>
  <c r="ED34" i="48"/>
  <c r="EB2" i="48"/>
  <c r="ED2" i="48" s="1"/>
  <c r="EE2" i="48" s="1"/>
  <c r="ED10" i="48" l="1"/>
  <c r="EF10" i="48" s="1"/>
  <c r="EG45" i="48"/>
  <c r="EG37" i="48"/>
  <c r="EG24" i="48"/>
  <c r="EF5" i="48"/>
  <c r="EE5" i="48"/>
  <c r="EF46" i="48"/>
  <c r="EE46" i="48"/>
  <c r="EF19" i="48"/>
  <c r="EE19" i="48"/>
  <c r="EF4" i="48"/>
  <c r="EE4" i="48"/>
  <c r="EF38" i="48"/>
  <c r="EE38" i="48"/>
  <c r="EF48" i="48"/>
  <c r="EE48" i="48"/>
  <c r="EF8" i="48"/>
  <c r="EE8" i="48"/>
  <c r="EF30" i="48"/>
  <c r="EE30" i="48"/>
  <c r="EF43" i="48"/>
  <c r="EE43" i="48"/>
  <c r="EF41" i="48"/>
  <c r="EE41" i="48"/>
  <c r="EF34" i="48"/>
  <c r="EE34" i="48"/>
  <c r="EF27" i="48"/>
  <c r="EE27" i="48"/>
  <c r="EF26" i="48"/>
  <c r="EE26" i="48"/>
  <c r="EF7" i="48"/>
  <c r="EE7" i="48"/>
  <c r="EF47" i="48"/>
  <c r="EE47" i="48"/>
  <c r="EF12" i="48"/>
  <c r="EE12" i="48"/>
  <c r="EF15" i="48"/>
  <c r="EE15" i="48"/>
  <c r="EF17" i="48"/>
  <c r="EE17" i="48"/>
  <c r="EF25" i="48"/>
  <c r="EG25" i="48" s="1"/>
  <c r="EF33" i="48"/>
  <c r="EG33" i="48" s="1"/>
  <c r="EF22" i="48"/>
  <c r="EG22" i="48" s="1"/>
  <c r="EG36" i="48"/>
  <c r="EF13" i="48"/>
  <c r="EG13" i="48" s="1"/>
  <c r="EF49" i="48"/>
  <c r="EG49" i="48" s="1"/>
  <c r="EF6" i="48"/>
  <c r="EG6" i="48" s="1"/>
  <c r="EF31" i="48"/>
  <c r="EG31" i="48" s="1"/>
  <c r="EF18" i="48"/>
  <c r="EG18" i="48" s="1"/>
  <c r="EG39" i="48"/>
  <c r="EF32" i="48"/>
  <c r="EG32" i="48" s="1"/>
  <c r="EG40" i="48"/>
  <c r="EF23" i="48"/>
  <c r="EG23" i="48" s="1"/>
  <c r="EF16" i="48"/>
  <c r="EG16" i="48" s="1"/>
  <c r="EG21" i="48"/>
  <c r="EG28" i="48"/>
  <c r="EF14" i="48"/>
  <c r="EF9" i="48"/>
  <c r="EF3" i="48"/>
  <c r="EF11" i="48"/>
  <c r="EF2" i="48"/>
  <c r="EE10" i="48" l="1"/>
  <c r="EG10" i="48" s="1"/>
  <c r="EG43" i="48"/>
  <c r="EG5" i="48"/>
  <c r="EG41" i="48"/>
  <c r="EG30" i="48"/>
  <c r="EG19" i="48"/>
  <c r="EG27" i="48"/>
  <c r="EG34" i="48"/>
  <c r="EG26" i="48"/>
  <c r="EG17" i="48"/>
  <c r="EG46" i="48"/>
  <c r="EG38" i="48"/>
  <c r="EG4" i="48"/>
  <c r="EG48" i="48"/>
  <c r="EG47" i="48"/>
  <c r="EG15" i="48"/>
  <c r="EG8" i="48"/>
  <c r="EG12" i="48"/>
  <c r="EG7" i="48"/>
  <c r="EG3" i="48"/>
  <c r="EG14" i="48"/>
  <c r="EG2" i="48"/>
  <c r="EG11" i="48"/>
  <c r="EG9" i="48"/>
</calcChain>
</file>

<file path=xl/sharedStrings.xml><?xml version="1.0" encoding="utf-8"?>
<sst xmlns="http://schemas.openxmlformats.org/spreadsheetml/2006/main" count="23018" uniqueCount="2411">
  <si>
    <t>OTIC</t>
  </si>
  <si>
    <t>COMUNA</t>
  </si>
  <si>
    <t>CUPO</t>
  </si>
  <si>
    <t>HORAS DIARIAS</t>
  </si>
  <si>
    <t>RUTOTEC</t>
  </si>
  <si>
    <t>NUM DE LLAMADO</t>
  </si>
  <si>
    <t>VALOR HORA ALUMNO</t>
  </si>
  <si>
    <t>VALOR ALUMNO SUB DE HERRAMIENTAS</t>
  </si>
  <si>
    <t>VALOR ALUMNO SUB PARA CERT LICENCIAS</t>
  </si>
  <si>
    <t>TOTAL SUB PARA CERT LICENCIAS</t>
  </si>
  <si>
    <t>VALOR CAPACITACION</t>
  </si>
  <si>
    <t>TOTAL SUBS DE UTILES Y HERRAM</t>
  </si>
  <si>
    <t>TOTAL DEL CURSO</t>
  </si>
  <si>
    <t>ENTIDAD QUE OTORGA LA CERTIF</t>
  </si>
  <si>
    <t>MOTIVO DEL RECHAZO</t>
  </si>
  <si>
    <t>ASIGNACIÓN</t>
  </si>
  <si>
    <t>DESCRIPCIÓN POBLACION OBJETIVO</t>
  </si>
  <si>
    <t>AGROCAP</t>
  </si>
  <si>
    <t>NO</t>
  </si>
  <si>
    <t>INDEPENDIENTE</t>
  </si>
  <si>
    <t>SI</t>
  </si>
  <si>
    <t/>
  </si>
  <si>
    <t>DEPENDIENTE</t>
  </si>
  <si>
    <t>MANDATO</t>
  </si>
  <si>
    <t>ALIANZA</t>
  </si>
  <si>
    <t>ASIMET</t>
  </si>
  <si>
    <t>BANCA</t>
  </si>
  <si>
    <t>BIOBIO</t>
  </si>
  <si>
    <t>CAPFRUTA</t>
  </si>
  <si>
    <t>CCHC</t>
  </si>
  <si>
    <t>CGC</t>
  </si>
  <si>
    <t>CHILE VINOS</t>
  </si>
  <si>
    <t>CNC</t>
  </si>
  <si>
    <t>CORCIN</t>
  </si>
  <si>
    <t>CORFICAP</t>
  </si>
  <si>
    <t>FRANCO CHILENO</t>
  </si>
  <si>
    <t>INDUPAN</t>
  </si>
  <si>
    <t>O'HIGGINS</t>
  </si>
  <si>
    <t>PROACONCAGUA</t>
  </si>
  <si>
    <t>PROFORMA</t>
  </si>
  <si>
    <t>PROMAULE</t>
  </si>
  <si>
    <t>SOFOFA</t>
  </si>
  <si>
    <t>VERIFICACIÓN DE REQUISITO SI/NO</t>
  </si>
  <si>
    <t>Etiquetas de fila</t>
  </si>
  <si>
    <t>Total general</t>
  </si>
  <si>
    <t>N°</t>
  </si>
  <si>
    <t>76105667-0</t>
  </si>
  <si>
    <t>76580610-0</t>
  </si>
  <si>
    <t>76630519-9</t>
  </si>
  <si>
    <t>76421320-3</t>
  </si>
  <si>
    <t>76102506-6</t>
  </si>
  <si>
    <t>AÑO</t>
  </si>
  <si>
    <t>CODIGO PLAN FORMATIVO 2</t>
  </si>
  <si>
    <t>77.301.520-1</t>
  </si>
  <si>
    <t>74.701.100-1</t>
  </si>
  <si>
    <t>70.533.700-4</t>
  </si>
  <si>
    <t>73.048.900-5</t>
  </si>
  <si>
    <t>65.440.150-0</t>
  </si>
  <si>
    <t>65.062.590-0</t>
  </si>
  <si>
    <t>70.200.800-K</t>
  </si>
  <si>
    <t>65.229.660-2</t>
  </si>
  <si>
    <t>65.145.210-4</t>
  </si>
  <si>
    <t>70.537.300-0</t>
  </si>
  <si>
    <t>73.315.900-6</t>
  </si>
  <si>
    <t>73.048.400-3</t>
  </si>
  <si>
    <t>71.566.400-3</t>
  </si>
  <si>
    <t>65.038.137-8</t>
  </si>
  <si>
    <t>65.026.673-0</t>
  </si>
  <si>
    <t>75.387.000-8</t>
  </si>
  <si>
    <t>65.185.420-2</t>
  </si>
  <si>
    <t>74.252.300-4</t>
  </si>
  <si>
    <t>70.417.500-0</t>
  </si>
  <si>
    <t>Razón Social</t>
  </si>
  <si>
    <t>RUT</t>
  </si>
  <si>
    <t>Datos Organismo Técnico de Capacitación</t>
  </si>
  <si>
    <t>Datos de la propuesta</t>
  </si>
  <si>
    <t>N° de Cursos</t>
  </si>
  <si>
    <t>Montos</t>
  </si>
  <si>
    <t>Diferencia</t>
  </si>
  <si>
    <t>CURSO PREADJUDICADO SI/NO</t>
  </si>
  <si>
    <t>77301520-1</t>
  </si>
  <si>
    <t>74701100-1</t>
  </si>
  <si>
    <t>70533700-4</t>
  </si>
  <si>
    <t>73048900-5</t>
  </si>
  <si>
    <t>65440150-0</t>
  </si>
  <si>
    <t>65062590-0</t>
  </si>
  <si>
    <t>70200800-K</t>
  </si>
  <si>
    <t>65229660-2</t>
  </si>
  <si>
    <t>65145210-4</t>
  </si>
  <si>
    <t>70537300-0</t>
  </si>
  <si>
    <t>73315900-6</t>
  </si>
  <si>
    <t>73048400-3</t>
  </si>
  <si>
    <t>65038137-8</t>
  </si>
  <si>
    <t>65026673-0</t>
  </si>
  <si>
    <t>75387000-8</t>
  </si>
  <si>
    <t>65185420-2</t>
  </si>
  <si>
    <t>74252300-4</t>
  </si>
  <si>
    <t>71566400-3</t>
  </si>
  <si>
    <t>70417500-0</t>
  </si>
  <si>
    <t>ORGANISMO TÉCNICO INTERMEDIO PARA CAPACITACIÓN DEL SECTOR SILVOAGROPECUARIO</t>
  </si>
  <si>
    <t>CENTRO DE INTERMEDIACION PARA EL DESARR DE LAS PERSONAS EN EL TRABAJO</t>
  </si>
  <si>
    <t>ASIMET CAPACITACION</t>
  </si>
  <si>
    <t>CORPORACION DE LA BANCA PARA LA PROMOCION DE LA CAPACITACION</t>
  </si>
  <si>
    <t>Organismo Técnico Intermedio para. Capacitación del Bío Bío</t>
  </si>
  <si>
    <t>ORGANISMO TECNICO INTERMEDIO PARA CAPACITACION CAPFRUTA</t>
  </si>
  <si>
    <t>CORP DE CAPACITACION DE LA CONSTRUCCION</t>
  </si>
  <si>
    <t>ORGANISMO TECNICO INTERMEDIO DE CAPACITACION CENTRO GENERAL CAPACITACI </t>
  </si>
  <si>
    <t>ORGANISMO TECNICO INTERMED PARA CAP DE LA IND VITIV Y SECT ASOCIADOS</t>
  </si>
  <si>
    <t>CORPORACION DE CAPACITACION DE CAMARA NACIONAL DE COMERCIO</t>
  </si>
  <si>
    <t>CENTRO INTERMEDIO DE CAPACITACION DE ASEXMA</t>
  </si>
  <si>
    <t>CORP FIDE CAPACITACION</t>
  </si>
  <si>
    <t>ORGANISMO TECNICO INTERMEDIO PARA CAPACITACION OTIC FRANCO CHILENO</t>
  </si>
  <si>
    <t>ORGANISMO TECNICO INTERMEDIO PARA CAPACITACION INDUPAN</t>
  </si>
  <si>
    <t>ORGANISMO TECNICO INTERMEDIO DE CAPACITACION REGIONAL O'HIGGINS</t>
  </si>
  <si>
    <t>ORGANISMO TECNICO INTERMEDIO PARA CAPACITACION DEL VALLE DEL ACONCAGUA</t>
  </si>
  <si>
    <t>CORP DE CAPACITACION PROMAULE</t>
  </si>
  <si>
    <t>CORPORACIÓN DE CAPACITACIÓN Y EMPLEO DE SOFOFA</t>
  </si>
  <si>
    <t>52000321-5</t>
  </si>
  <si>
    <t>52000608-7</t>
  </si>
  <si>
    <t>52001552-3</t>
  </si>
  <si>
    <t>65012812-5</t>
  </si>
  <si>
    <t>65051266-9</t>
  </si>
  <si>
    <t>65056389-1</t>
  </si>
  <si>
    <t>65057241-6</t>
  </si>
  <si>
    <t>65059003-1</t>
  </si>
  <si>
    <t>65061013-K</t>
  </si>
  <si>
    <t>65062652-4</t>
  </si>
  <si>
    <t>65063918-9</t>
  </si>
  <si>
    <t>65065054-9</t>
  </si>
  <si>
    <t>65066006-4</t>
  </si>
  <si>
    <t>65069892-4</t>
  </si>
  <si>
    <t>65070763-K</t>
  </si>
  <si>
    <t>65076073-5</t>
  </si>
  <si>
    <t>65077088-9</t>
  </si>
  <si>
    <t>65088432-9</t>
  </si>
  <si>
    <t>65099139-7</t>
  </si>
  <si>
    <t>65111467-5</t>
  </si>
  <si>
    <t>65127321-8</t>
  </si>
  <si>
    <t>65696680-7</t>
  </si>
  <si>
    <t>65721030-7</t>
  </si>
  <si>
    <t>65734520-2</t>
  </si>
  <si>
    <t>70704300-8</t>
  </si>
  <si>
    <t>71540800-7</t>
  </si>
  <si>
    <t>71639300-3</t>
  </si>
  <si>
    <t>71915800-5</t>
  </si>
  <si>
    <t>72012000-3</t>
  </si>
  <si>
    <t>72251100-K</t>
  </si>
  <si>
    <t>72741900-4</t>
  </si>
  <si>
    <t>74645400-7</t>
  </si>
  <si>
    <t>74822900-0</t>
  </si>
  <si>
    <t>75181000-8</t>
  </si>
  <si>
    <t>76004998-0</t>
  </si>
  <si>
    <t>76009577-K</t>
  </si>
  <si>
    <t>76012877-5</t>
  </si>
  <si>
    <t>76019409-3</t>
  </si>
  <si>
    <t>76024793-6</t>
  </si>
  <si>
    <t>76025225-5</t>
  </si>
  <si>
    <t>76025344-8</t>
  </si>
  <si>
    <t>76029443-8</t>
  </si>
  <si>
    <t>76040379-2</t>
  </si>
  <si>
    <t>76048178-5</t>
  </si>
  <si>
    <t>76048887-9</t>
  </si>
  <si>
    <t>76052461-1</t>
  </si>
  <si>
    <t>76056645-4</t>
  </si>
  <si>
    <t>76060420-8</t>
  </si>
  <si>
    <t>76060539-5</t>
  </si>
  <si>
    <t>76061302-9</t>
  </si>
  <si>
    <t>76066583-5</t>
  </si>
  <si>
    <t>76066614-9</t>
  </si>
  <si>
    <t>76067498-2</t>
  </si>
  <si>
    <t>76080578-5</t>
  </si>
  <si>
    <t>76081882-8</t>
  </si>
  <si>
    <t>76082448-8</t>
  </si>
  <si>
    <t>76089226-2</t>
  </si>
  <si>
    <t>76094671-0</t>
  </si>
  <si>
    <t>76102946-0</t>
  </si>
  <si>
    <t>76112542-7</t>
  </si>
  <si>
    <t>76117463-0</t>
  </si>
  <si>
    <t>76125011-6</t>
  </si>
  <si>
    <t>76125930-K</t>
  </si>
  <si>
    <t>76130549-2</t>
  </si>
  <si>
    <t>76131650-8</t>
  </si>
  <si>
    <t>76137626-8</t>
  </si>
  <si>
    <t>76139468-1</t>
  </si>
  <si>
    <t>76144952-4</t>
  </si>
  <si>
    <t>76171703-0</t>
  </si>
  <si>
    <t>76171986-6</t>
  </si>
  <si>
    <t>76174055-5</t>
  </si>
  <si>
    <t>76180912-1</t>
  </si>
  <si>
    <t>76188556-1</t>
  </si>
  <si>
    <t>76194548-3</t>
  </si>
  <si>
    <t>76196312-0</t>
  </si>
  <si>
    <t>76205961-4</t>
  </si>
  <si>
    <t>76210959-K</t>
  </si>
  <si>
    <t>76229571-7</t>
  </si>
  <si>
    <t>76256918-3</t>
  </si>
  <si>
    <t>76264779-6</t>
  </si>
  <si>
    <t>76265506-3</t>
  </si>
  <si>
    <t>76266094-6</t>
  </si>
  <si>
    <t>76271485-K</t>
  </si>
  <si>
    <t>76272762-5</t>
  </si>
  <si>
    <t>76281356-4</t>
  </si>
  <si>
    <t>76292236-3</t>
  </si>
  <si>
    <t>76301215-8</t>
  </si>
  <si>
    <t>76302818-6</t>
  </si>
  <si>
    <t>76304900-0</t>
  </si>
  <si>
    <t>76315776-8</t>
  </si>
  <si>
    <t>76321951-8</t>
  </si>
  <si>
    <t>76332512-1</t>
  </si>
  <si>
    <t>76335013-4</t>
  </si>
  <si>
    <t>76335196-3</t>
  </si>
  <si>
    <t>76335203-K</t>
  </si>
  <si>
    <t>76345991-8</t>
  </si>
  <si>
    <t>76352818-9</t>
  </si>
  <si>
    <t>76357714-7</t>
  </si>
  <si>
    <t>76359387-8</t>
  </si>
  <si>
    <t>76374541-4</t>
  </si>
  <si>
    <t>76401288-7</t>
  </si>
  <si>
    <t>76403173-3</t>
  </si>
  <si>
    <t>76418347-9</t>
  </si>
  <si>
    <t>76423368-9</t>
  </si>
  <si>
    <t>76427510-1</t>
  </si>
  <si>
    <t>76432870-1</t>
  </si>
  <si>
    <t>76433020-K</t>
  </si>
  <si>
    <t>76435014-6</t>
  </si>
  <si>
    <t>76437350-2</t>
  </si>
  <si>
    <t>76439309-0</t>
  </si>
  <si>
    <t>76441860-3</t>
  </si>
  <si>
    <t>76460844-5</t>
  </si>
  <si>
    <t>76463160-9</t>
  </si>
  <si>
    <t>76463534-5</t>
  </si>
  <si>
    <t>76474060-2</t>
  </si>
  <si>
    <t>76485420-9</t>
  </si>
  <si>
    <t>76525260-1</t>
  </si>
  <si>
    <t>76547256-3</t>
  </si>
  <si>
    <t>76576920-5</t>
  </si>
  <si>
    <t>76584899-7</t>
  </si>
  <si>
    <t>76585554-3</t>
  </si>
  <si>
    <t>76593932-1</t>
  </si>
  <si>
    <t>76599160-9</t>
  </si>
  <si>
    <t>76606610-0</t>
  </si>
  <si>
    <t>76613280-4</t>
  </si>
  <si>
    <t>76613651-6</t>
  </si>
  <si>
    <t>76615990-7</t>
  </si>
  <si>
    <t>76620660-3</t>
  </si>
  <si>
    <t>76626799-8</t>
  </si>
  <si>
    <t>76629700-5</t>
  </si>
  <si>
    <t>76633800-3</t>
  </si>
  <si>
    <t>76636474-8</t>
  </si>
  <si>
    <t>76660040-9</t>
  </si>
  <si>
    <t>76661760-3</t>
  </si>
  <si>
    <t>76663170-3</t>
  </si>
  <si>
    <t>76680573-6</t>
  </si>
  <si>
    <t>76682695-4</t>
  </si>
  <si>
    <t>76707456-5</t>
  </si>
  <si>
    <t>76708260-6</t>
  </si>
  <si>
    <t>76712274-8</t>
  </si>
  <si>
    <t>76715240-K</t>
  </si>
  <si>
    <t>76830963-9</t>
  </si>
  <si>
    <t>76858784-1</t>
  </si>
  <si>
    <t>76928190-8</t>
  </si>
  <si>
    <t>77002520-6</t>
  </si>
  <si>
    <t>77041880-1</t>
  </si>
  <si>
    <t>77168530-7</t>
  </si>
  <si>
    <t>77244650-0</t>
  </si>
  <si>
    <t>77311060-3</t>
  </si>
  <si>
    <t>77323230-K</t>
  </si>
  <si>
    <t>77335870-2</t>
  </si>
  <si>
    <t>77444190-5</t>
  </si>
  <si>
    <t>77484320-5</t>
  </si>
  <si>
    <t>77518010-2</t>
  </si>
  <si>
    <t>77534810-0</t>
  </si>
  <si>
    <t>77545040-1</t>
  </si>
  <si>
    <t>77557000-8</t>
  </si>
  <si>
    <t>77572410-2</t>
  </si>
  <si>
    <t>77581970-7</t>
  </si>
  <si>
    <t>77593380-1</t>
  </si>
  <si>
    <t>77594400-5</t>
  </si>
  <si>
    <t>77635010-9</t>
  </si>
  <si>
    <t>77644220-8</t>
  </si>
  <si>
    <t>77658240-9</t>
  </si>
  <si>
    <t>77682510-7</t>
  </si>
  <si>
    <t>77711210-4</t>
  </si>
  <si>
    <t>77725960-1</t>
  </si>
  <si>
    <t>77759390-0</t>
  </si>
  <si>
    <t>77823470-K</t>
  </si>
  <si>
    <t>77860080-3</t>
  </si>
  <si>
    <t>77887470-9</t>
  </si>
  <si>
    <t>77889930-2</t>
  </si>
  <si>
    <t>77894940-7</t>
  </si>
  <si>
    <t>77902200-5</t>
  </si>
  <si>
    <t>77945650-1</t>
  </si>
  <si>
    <t>77978130-5</t>
  </si>
  <si>
    <t>77990420-2</t>
  </si>
  <si>
    <t>77993040-8</t>
  </si>
  <si>
    <t>78055440-1</t>
  </si>
  <si>
    <t>78174010-1</t>
  </si>
  <si>
    <t>78270220-3</t>
  </si>
  <si>
    <t>78319960-2</t>
  </si>
  <si>
    <t>78596510-8</t>
  </si>
  <si>
    <t>78642160-8</t>
  </si>
  <si>
    <t>78795680-7</t>
  </si>
  <si>
    <t>78809580-5</t>
  </si>
  <si>
    <t>78834140-7</t>
  </si>
  <si>
    <t>78855250-5</t>
  </si>
  <si>
    <t>78936150-9</t>
  </si>
  <si>
    <t>79524160-4</t>
  </si>
  <si>
    <t>79559730-1</t>
  </si>
  <si>
    <t>79607710-7</t>
  </si>
  <si>
    <t>79942800-8</t>
  </si>
  <si>
    <t>79960640-2</t>
  </si>
  <si>
    <t>79975600-5</t>
  </si>
  <si>
    <t>81380500-6</t>
  </si>
  <si>
    <t>81669200-8</t>
  </si>
  <si>
    <t>87730100-1</t>
  </si>
  <si>
    <t>88074700-2</t>
  </si>
  <si>
    <t>96509450-4</t>
  </si>
  <si>
    <t>96609350-1</t>
  </si>
  <si>
    <t>96621640-9</t>
  </si>
  <si>
    <t>96652100-7</t>
  </si>
  <si>
    <t>96713930-0</t>
  </si>
  <si>
    <t>96822030-6</t>
  </si>
  <si>
    <t>96846370-5</t>
  </si>
  <si>
    <t>96940970-4</t>
  </si>
  <si>
    <t>96942580-7</t>
  </si>
  <si>
    <t>65135238-K</t>
  </si>
  <si>
    <t>76826088-5</t>
  </si>
  <si>
    <t>6 NOTA FINAL</t>
  </si>
  <si>
    <t>RUT INSTITUCION REQUIRENTE</t>
  </si>
  <si>
    <t>NOMBRE POBLACIÓN OBJETIVO</t>
  </si>
  <si>
    <t>N° REGIÓN</t>
  </si>
  <si>
    <t>SUBSIDIO DIARIO FASE LECTIVA (SI/NO)</t>
  </si>
  <si>
    <t>SUBSIDIO DE HERRAMIENTAS  (SI/NO)</t>
  </si>
  <si>
    <t>APRENDIZAJES ESPERADOS (SOLO PARA CURSOS SIN PLAN FORMATIVO)</t>
  </si>
  <si>
    <t>LICENCIA HABILITANTE  (SI/NO)</t>
  </si>
  <si>
    <t>TIPO LICENCIA HABILITANTE</t>
  </si>
  <si>
    <t>61531000-K</t>
  </si>
  <si>
    <t>01. LUNES - MAÑANA / 04. MARTES - MAÑANA / 07. MIÉRCOLES - MAÑANA / 10. JUEVES - MAÑANA / 13. VIERNES - MAÑANA</t>
  </si>
  <si>
    <t>CALENDARIZACIÓN FASE LECTIVA</t>
  </si>
  <si>
    <t>PRESENCIAL</t>
  </si>
  <si>
    <t>5.5. EVALUACIÓN ECONÓMICA</t>
  </si>
  <si>
    <t>TOTAL SUBS FASE DIARIO</t>
  </si>
  <si>
    <t>76894075-4</t>
  </si>
  <si>
    <t>76966677-K</t>
  </si>
  <si>
    <t>77585990-3</t>
  </si>
  <si>
    <t>TÉCNICAS PARA EL EMPRENDIMIENTO</t>
  </si>
  <si>
    <t>PF0921</t>
  </si>
  <si>
    <t>02. LUNES - TARDE / 05. MARTES - TARDE / 08. MIÉRCOLES - TARDE / 11. JUEVES - TARDE / 14. VIERNES - TARDE</t>
  </si>
  <si>
    <t>03. LUNES - VESPERTINO / 06. MARTES - VESPERTINO / 09. MIÉRCOLES - VESPERTINO / 12. JUEVES - VESPERTINO / 15. VIERNES - VESPERTINO</t>
  </si>
  <si>
    <t>PF0611</t>
  </si>
  <si>
    <t>SERVICIOS DE MANICURE Y PEDICURE</t>
  </si>
  <si>
    <t>PF0615</t>
  </si>
  <si>
    <t>SERVICIO DE PELUQUERÍA CANINA</t>
  </si>
  <si>
    <t>76088864-8</t>
  </si>
  <si>
    <t>76802461-8</t>
  </si>
  <si>
    <t>77206547-7</t>
  </si>
  <si>
    <t>77086552-2</t>
  </si>
  <si>
    <t>PF1184</t>
  </si>
  <si>
    <t>76093342-2</t>
  </si>
  <si>
    <t>77745820-5</t>
  </si>
  <si>
    <t>76055298-4</t>
  </si>
  <si>
    <t>77116006-9</t>
  </si>
  <si>
    <t>65080206-3</t>
  </si>
  <si>
    <t>76101767-5</t>
  </si>
  <si>
    <t>79828370-7</t>
  </si>
  <si>
    <t>01. LUNES - MAÑANA / 04. MARTES - MAÑANA / 07. MIÉRCOLES - MAÑANA / 10. JUEVES - MAÑANA / 13. VIERNES - MAÑANA / 16. SÁBADO - MAÑANA</t>
  </si>
  <si>
    <t>Monto a adjudicar total</t>
  </si>
  <si>
    <t>Porcentaje máximo</t>
  </si>
  <si>
    <t>monto máximo</t>
  </si>
  <si>
    <t>CODIGO SENCE</t>
  </si>
  <si>
    <t xml:space="preserve">NOMBRE INSTITUCIÓN REQUIRENTE </t>
  </si>
  <si>
    <t>NOMBRE DEL CURSO (PLAN FORMATIVO 1)</t>
  </si>
  <si>
    <t>CODIGO DEL CURSO (PLAN FORMATIVO 1)</t>
  </si>
  <si>
    <t>NOMBRE PLAN FORMATIVO 2</t>
  </si>
  <si>
    <t>NOMBRE REGIÓN</t>
  </si>
  <si>
    <t xml:space="preserve">MODALIDAD DEL CURSO </t>
  </si>
  <si>
    <t>TIPO SALIDA (DEPENDIENTE O INDEPENDIENTE)</t>
  </si>
  <si>
    <t xml:space="preserve"> HORAS CURSO (PLAN FORMATIVO 1)</t>
  </si>
  <si>
    <t xml:space="preserve"> HORAS PLAN(ES) FORMATIVO(OS) 2</t>
  </si>
  <si>
    <t xml:space="preserve">TOTAL HORAS </t>
  </si>
  <si>
    <t>SUBSIDIO CUIDADOS</t>
  </si>
  <si>
    <t>TRAMO</t>
  </si>
  <si>
    <t>METROPOLITANA DE SANTIAGO</t>
  </si>
  <si>
    <t>LA GRANJA</t>
  </si>
  <si>
    <t>SENCE</t>
  </si>
  <si>
    <t>MUJERES DERIVADAS POR SERNAMEG O PRODEMU</t>
  </si>
  <si>
    <t>OPERACIONES BÁSICAS DE PASTELERÍA</t>
  </si>
  <si>
    <t>PF0607</t>
  </si>
  <si>
    <t>PERSONAS DESOCUPADAS (CESANTES Y PERSONAS QUE BUSCAN TRABAJO POR PRIMERA VEZ).</t>
  </si>
  <si>
    <t>HABILIDADES DIGITALES PARA EL TRABAJO</t>
  </si>
  <si>
    <t>PF1182</t>
  </si>
  <si>
    <t>CURSO CONVENCIONAL CONDUCENTE A LICENCIA DE CONDUCIR CLASE B</t>
  </si>
  <si>
    <t>TALAGANTE</t>
  </si>
  <si>
    <t>01. LUNES - MAÑANA / 07. MIÉRCOLES - MAÑANA / 13. VIERNES - MAÑANA</t>
  </si>
  <si>
    <t>02. LUNES - TARDE / 05. MARTES - TARDE / 08. MIÉRCOLES - TARDE</t>
  </si>
  <si>
    <t>DE VALPARAÍSO</t>
  </si>
  <si>
    <t>QUILPUÉ</t>
  </si>
  <si>
    <t>VALPARAÍSO</t>
  </si>
  <si>
    <t>APRESTO LABORAL COMPLEMENTARIO</t>
  </si>
  <si>
    <t>PF0929</t>
  </si>
  <si>
    <t>FABRICACIÓN ARTESANAL DE MUEBLES DE MADERA</t>
  </si>
  <si>
    <t>PF0725</t>
  </si>
  <si>
    <t>CERRO NAVIA</t>
  </si>
  <si>
    <t>NOGALES</t>
  </si>
  <si>
    <t>SAN BERNARDO</t>
  </si>
  <si>
    <t>USO DE TIC’S EN LA BUSQUEDA DE EMPLEO</t>
  </si>
  <si>
    <t>PF0923</t>
  </si>
  <si>
    <t>APRESTO LABORAL PARA EL TRABAJO</t>
  </si>
  <si>
    <t>PF0916</t>
  </si>
  <si>
    <t>TRABAJADORES ACTIVOS O EN PROCESO DE RECONVERSIÓN LABORAL</t>
  </si>
  <si>
    <t>INSTALACIONES ELÉCTRICAS TIPO F Y G</t>
  </si>
  <si>
    <t>PF0679</t>
  </si>
  <si>
    <t>COLINA</t>
  </si>
  <si>
    <t>GESTIONANDO Y FORMALIZANDO MI EMPRENDIMIENTO</t>
  </si>
  <si>
    <t>PF1199</t>
  </si>
  <si>
    <t>DE COQUIMBO</t>
  </si>
  <si>
    <t>SANTIAGO</t>
  </si>
  <si>
    <t>TOMÉ</t>
  </si>
  <si>
    <t>PERSONAS PERTENECIENTES A PUEBLOS ORIGINARIOS RECONOCIDOS EN LA LEY N°19.253</t>
  </si>
  <si>
    <t>TALCA</t>
  </si>
  <si>
    <t>PUQUELDÓN</t>
  </si>
  <si>
    <t>PADRE LAS CASAS</t>
  </si>
  <si>
    <t>CURSO ESPECIAL CON SIMULADOR DE INMERSIÓN TOTAL CONDUCENTE A LICENCIA DE CONDUCTOR PROFESIONAL CLASE A-3</t>
  </si>
  <si>
    <t>PF0623</t>
  </si>
  <si>
    <t>DE LA ARAUCANÍA</t>
  </si>
  <si>
    <t>TEMUCO</t>
  </si>
  <si>
    <t>DE MAGALLANES Y DE LA ANTÁRTICA CHILENA</t>
  </si>
  <si>
    <t>LA SERENA</t>
  </si>
  <si>
    <t>DEL MAULE</t>
  </si>
  <si>
    <t>69130500-7</t>
  </si>
  <si>
    <t>COLBÚN</t>
  </si>
  <si>
    <t>SAN CARLOS</t>
  </si>
  <si>
    <t>DUR FASE LECTIVA DIAS</t>
  </si>
  <si>
    <t>OBSERVACIONES OTIC</t>
  </si>
  <si>
    <t xml:space="preserve">TOTAL SUB CUIDADO </t>
  </si>
  <si>
    <t>5.2. EVALUACIÓN EXP DEL OFERENTE</t>
  </si>
  <si>
    <t>5.4.2.2 PROCESO DE APRENDIZAJE</t>
  </si>
  <si>
    <t>5.4.1.2.4                          LOS CRITERIOS DE EVALUACIÓN PERMITEN EVIDENCIAR LOS APRENDIZAJES ESPERADOS DE CADA MÓDULO.</t>
  </si>
  <si>
    <t>5.4.1.2.5                                         LOS CONTENIDOS ABORDADOS PERMITEN DESARROLLAR LOS APRENDIZAJES ESPERADOS DE CADA MÓDULO.</t>
  </si>
  <si>
    <t>5.4.1.2.2                      RELACIÓN DE LA COMPETENCIA Y EL NOMBRE DEL MÓDULO SE RELACIONA CON LA COMPETENCIA Y EL NOMBRE DEL PLAN FORMATIVO</t>
  </si>
  <si>
    <t>5.4.1.2.1                     RELACIÓN ENTRE LOS COMPONENTES DEL MÓDULO PROPUESTO</t>
  </si>
  <si>
    <t>5.4.1.1.2                                  SE IDENTIFICAN LOS REQUISISTOS DE INGRESO DEL PARTICIPANTE AL PLAN FORMATIVO.</t>
  </si>
  <si>
    <t>5.4.1.1.1                              CUMPLE CON TODOS LOS COMPONENTES EXIGIDOS PARA EL PLAN FORMATIVO</t>
  </si>
  <si>
    <t>5.4.2.3                USO DE EQUIPOS Y HERRAMIENTAS</t>
  </si>
  <si>
    <t>5.4.2.4                      USO Y DISTRIBUCIÓN DE MATERIALES E INSUMOS</t>
  </si>
  <si>
    <t>NOMBRE OTEC</t>
  </si>
  <si>
    <t>TOTAL HORAS FASE LECTIVA</t>
  </si>
  <si>
    <t>VALIDACIÓN NOTA FINAL</t>
  </si>
  <si>
    <t>RUT OTIC</t>
  </si>
  <si>
    <t>RUT ENTIDAD BENEFICIARIA EN CASO DE MANDATO</t>
  </si>
  <si>
    <t>NOMBRE DE ENTIDAD BENEFICIARIA EN CASO DE MANDATO</t>
  </si>
  <si>
    <t>NOMBRE ENTIDAD REQUIRENTE EN CASO DE FONDOS REGIONALES O DE EMPERGENCIA. (SIEMPRE SERÁ SENCE)</t>
  </si>
  <si>
    <t>RUT ENTIDAD REQUIRENTE EN CASO DE FONDOS REGIONALES O DE EMPERGENCIA. (SIEMPRE SERÁ SENCE)</t>
  </si>
  <si>
    <t>NOMBRE DEL CURSO (PLAN FORMATIVO)</t>
  </si>
  <si>
    <t>CODIGO DEL CURSO (PLAN FORMATIVO )</t>
  </si>
  <si>
    <t>NOMBRE PLAN (ES) TRANSVERSAL(ES)</t>
  </si>
  <si>
    <t>CODIGO PLAN (ES) TRANSVERSAL(ES)</t>
  </si>
  <si>
    <t>65121264-2</t>
  </si>
  <si>
    <t>77058883-9</t>
  </si>
  <si>
    <t>87152900-0</t>
  </si>
  <si>
    <t>¿TIENE PF?</t>
  </si>
  <si>
    <t>NOTA EVALUACIÓN TÉCNICA</t>
  </si>
  <si>
    <t>¿PRE ADJUDICA?</t>
  </si>
  <si>
    <t>Máx. de NOTA EVALUACIÓN TÉCNICA</t>
  </si>
  <si>
    <t>5.4.1.2.3              RELACIÓN DE LOS APRENDIZAJES ESPERADOS DEL MÓDULO CON LA COMPETENCIA DEL MÓDULO.</t>
  </si>
  <si>
    <t>5.4.2.5               USO DE LA INFRAESTRUCTURA</t>
  </si>
  <si>
    <t>REDONDEADO DIAS FASE LECTIVA</t>
  </si>
  <si>
    <t>DIAS FL SIN REDONDEO</t>
  </si>
  <si>
    <t>TIPO DE SUBSIDIO DE HERRAMIENTAS</t>
  </si>
  <si>
    <t>REVISIÓN VHA SEGÚN TRAMO</t>
  </si>
  <si>
    <t>TIENE LICENCIA?</t>
  </si>
  <si>
    <t>NOTA EV ECONÓMICA</t>
  </si>
  <si>
    <t>VALIDACIÓN NOTA ECONÓMICA</t>
  </si>
  <si>
    <t>REVISIÓN PREVIA NOTA FINAL</t>
  </si>
  <si>
    <t xml:space="preserve">MAYOR NOTA EXPERIENCIA </t>
  </si>
  <si>
    <t>MENOR PORCENTAJE COMPORTAMIENTO</t>
  </si>
  <si>
    <t>TIENE MENOS PORCENTAJE COMPORTAMIENTO?</t>
  </si>
  <si>
    <t>MAYOR NÚMERO CURSOS</t>
  </si>
  <si>
    <t>TIENE MAYOR NÚMERO CURSOS?</t>
  </si>
  <si>
    <t>RESPUESTA OBS OTIC</t>
  </si>
  <si>
    <t>VALIDACIÓN  VALOR CAPACITACIÓN</t>
  </si>
  <si>
    <t>¿SE EVALUA PROPUESTA FORMATIVA SEGÚN TENGA O NO PLAN FORMATIVO EL CURSO?</t>
  </si>
  <si>
    <t>VALIDACIÓN N°DÍAS FL</t>
  </si>
  <si>
    <t>VALIDACIÓN VALOR CAPACITACIÓN</t>
  </si>
  <si>
    <t>VALIDACIÓN VALOR SUBSIDIO FASE LECTIVA</t>
  </si>
  <si>
    <t xml:space="preserve">VALIDACIÓN VALOR SUBSIDIO CUIDADO </t>
  </si>
  <si>
    <t>VALIDACIÓN VALOR SH SEGÚN LÍNEA</t>
  </si>
  <si>
    <t>VALIDACIÓN VALOR TOTAL SUBSIDIO HERRAMIENTAS</t>
  </si>
  <si>
    <t>VALIDACIÓN TOTAL SUB PARA CERT LICENCIAS</t>
  </si>
  <si>
    <t>VALIDACIÓN VALOR TOTAL CURSO</t>
  </si>
  <si>
    <t>VALIDACIÓN VERIFICACIÓN DE REQUISITOS DEL CURSO</t>
  </si>
  <si>
    <t xml:space="preserve">VALIDACIÓN COMPORTAMIENTO ANTERIOR </t>
  </si>
  <si>
    <t>VHA DEL CURSO A CONSIDERAR EN EVA EC</t>
  </si>
  <si>
    <t>MENOR VHA OFERTADA SEGÚN CÓDIGO</t>
  </si>
  <si>
    <t>NOTA FINAL DEL CURSO</t>
  </si>
  <si>
    <t>MAYOR NOTA FINAL  DEL CÓDIGO CURSO</t>
  </si>
  <si>
    <t>¿TIENE MAYOR NOTA FINAL CÓDIGO CURSO?</t>
  </si>
  <si>
    <t>MAYOR  NOTA COMPORTAMIENTO ANTERIOR</t>
  </si>
  <si>
    <t>¿TIENE  MAYOR NOTA EXPERIENCIA ?</t>
  </si>
  <si>
    <t>¿TIENE MENOR VALOR HORA?</t>
  </si>
  <si>
    <t>NOTA EXPERIENCIA</t>
  </si>
  <si>
    <t>NOTA COMPORTAMIENTO</t>
  </si>
  <si>
    <t>78620530-1</t>
  </si>
  <si>
    <t>77846720-8</t>
  </si>
  <si>
    <t>77604310-9</t>
  </si>
  <si>
    <t>77021068-2</t>
  </si>
  <si>
    <t>76987474-7</t>
  </si>
  <si>
    <t>76916773-0</t>
  </si>
  <si>
    <t>76867072-2</t>
  </si>
  <si>
    <t>76863536-6</t>
  </si>
  <si>
    <t>76608604-7</t>
  </si>
  <si>
    <t>76559896-6</t>
  </si>
  <si>
    <t>76516127-4</t>
  </si>
  <si>
    <t>76222680-4</t>
  </si>
  <si>
    <t>76197021-6</t>
  </si>
  <si>
    <t>76190287-3</t>
  </si>
  <si>
    <t>76176857-3</t>
  </si>
  <si>
    <t>76123973-2</t>
  </si>
  <si>
    <t>76099995-4</t>
  </si>
  <si>
    <t>76067130-4</t>
  </si>
  <si>
    <t>76051619-8</t>
  </si>
  <si>
    <t>76005154-3</t>
  </si>
  <si>
    <t>70267000-4</t>
  </si>
  <si>
    <t>69051100-2</t>
  </si>
  <si>
    <t>65154398-3</t>
  </si>
  <si>
    <t>65109007-5</t>
  </si>
  <si>
    <t>65090628-4</t>
  </si>
  <si>
    <t>65062043-7</t>
  </si>
  <si>
    <t>10751-4</t>
  </si>
  <si>
    <t>12602-0</t>
  </si>
  <si>
    <t>20139-1</t>
  </si>
  <si>
    <t>211-9</t>
  </si>
  <si>
    <t>4025-8</t>
  </si>
  <si>
    <t>40422-5</t>
  </si>
  <si>
    <t>52002053-5</t>
  </si>
  <si>
    <t>52002791-2</t>
  </si>
  <si>
    <t>5215-9</t>
  </si>
  <si>
    <t>53324783-0</t>
  </si>
  <si>
    <t>61102057-0</t>
  </si>
  <si>
    <t>61999250-4</t>
  </si>
  <si>
    <t>61999280-6</t>
  </si>
  <si>
    <t>61999290-3</t>
  </si>
  <si>
    <t>62000400-6</t>
  </si>
  <si>
    <t>62000750-1</t>
  </si>
  <si>
    <t>62000760-9</t>
  </si>
  <si>
    <t>65057122-3</t>
  </si>
  <si>
    <t>65062756-3</t>
  </si>
  <si>
    <t>65065946-5</t>
  </si>
  <si>
    <t>65069531-3</t>
  </si>
  <si>
    <t>65081063-5</t>
  </si>
  <si>
    <t>65098746-2</t>
  </si>
  <si>
    <t>65125824-3</t>
  </si>
  <si>
    <t>65127675-6</t>
  </si>
  <si>
    <t>65128246-2</t>
  </si>
  <si>
    <t>65147452-3</t>
  </si>
  <si>
    <t>65160791-4</t>
  </si>
  <si>
    <t>65165411-4</t>
  </si>
  <si>
    <t>65178349-6</t>
  </si>
  <si>
    <t>65195098-8</t>
  </si>
  <si>
    <t>65196166-1</t>
  </si>
  <si>
    <t>65692700-3</t>
  </si>
  <si>
    <t>6584-6</t>
  </si>
  <si>
    <t>65848570-9</t>
  </si>
  <si>
    <t>70000440-6</t>
  </si>
  <si>
    <t>70885500-6</t>
  </si>
  <si>
    <t>71500500-K</t>
  </si>
  <si>
    <t>71618600-8</t>
  </si>
  <si>
    <t>72250700-2</t>
  </si>
  <si>
    <t>76001830-9</t>
  </si>
  <si>
    <t>76007217-6</t>
  </si>
  <si>
    <t>76009651-2</t>
  </si>
  <si>
    <t>76010686-0</t>
  </si>
  <si>
    <t>76026177-7</t>
  </si>
  <si>
    <t>76028614-1</t>
  </si>
  <si>
    <t>76029120-K</t>
  </si>
  <si>
    <t>76045125-8</t>
  </si>
  <si>
    <t>76049112-8</t>
  </si>
  <si>
    <t>76052062-4</t>
  </si>
  <si>
    <t>76053064-6</t>
  </si>
  <si>
    <t>76061917-5</t>
  </si>
  <si>
    <t>76062267-2</t>
  </si>
  <si>
    <t>76062833-6</t>
  </si>
  <si>
    <t>76079575-5</t>
  </si>
  <si>
    <t>76084549-3</t>
  </si>
  <si>
    <t>76087295-4</t>
  </si>
  <si>
    <t>76087875-8</t>
  </si>
  <si>
    <t>76088184-8</t>
  </si>
  <si>
    <t>76090052-4</t>
  </si>
  <si>
    <t>76091253-0</t>
  </si>
  <si>
    <t>76093081-4</t>
  </si>
  <si>
    <t>76094867-5</t>
  </si>
  <si>
    <t>76099549-5</t>
  </si>
  <si>
    <t>76109870-5</t>
  </si>
  <si>
    <t>76136616-5</t>
  </si>
  <si>
    <t>76139374-K</t>
  </si>
  <si>
    <t>76140719-8</t>
  </si>
  <si>
    <t>76155666-5</t>
  </si>
  <si>
    <t>76160193-8</t>
  </si>
  <si>
    <t>76175957-4</t>
  </si>
  <si>
    <t>76192976-3</t>
  </si>
  <si>
    <t>76226192-8</t>
  </si>
  <si>
    <t>76232950-6</t>
  </si>
  <si>
    <t>76240716-7</t>
  </si>
  <si>
    <t>76297229-8</t>
  </si>
  <si>
    <t>76305638-4</t>
  </si>
  <si>
    <t>76306298-8</t>
  </si>
  <si>
    <t>76326834-9</t>
  </si>
  <si>
    <t>76327140-4</t>
  </si>
  <si>
    <t>76332761-2</t>
  </si>
  <si>
    <t>76350822-6</t>
  </si>
  <si>
    <t>76368489-k</t>
  </si>
  <si>
    <t>76369169-1</t>
  </si>
  <si>
    <t>76375647-5</t>
  </si>
  <si>
    <t>76407285-5</t>
  </si>
  <si>
    <t>76419917-0</t>
  </si>
  <si>
    <t>76439009-1</t>
  </si>
  <si>
    <t>76440444-0</t>
  </si>
  <si>
    <t>76450872-6</t>
  </si>
  <si>
    <t>76456591-6</t>
  </si>
  <si>
    <t>76496833-6</t>
  </si>
  <si>
    <t>76499480-9</t>
  </si>
  <si>
    <t>76501896-K</t>
  </si>
  <si>
    <t>76508156-4</t>
  </si>
  <si>
    <t>76511150-1</t>
  </si>
  <si>
    <t>76543285-5</t>
  </si>
  <si>
    <t>76545159-0</t>
  </si>
  <si>
    <t>76582000-6</t>
  </si>
  <si>
    <t>76591143-5</t>
  </si>
  <si>
    <t>76602132-8</t>
  </si>
  <si>
    <t>76611360-5</t>
  </si>
  <si>
    <t>76649116-2</t>
  </si>
  <si>
    <t>76653182-2</t>
  </si>
  <si>
    <t>76680674-0</t>
  </si>
  <si>
    <t>76680854-9</t>
  </si>
  <si>
    <t>76697561-5</t>
  </si>
  <si>
    <t>76698365-0</t>
  </si>
  <si>
    <t>76744820-1</t>
  </si>
  <si>
    <t>76745842-8</t>
  </si>
  <si>
    <t>76773018-7</t>
  </si>
  <si>
    <t>76811830-2</t>
  </si>
  <si>
    <t>76835752-8</t>
  </si>
  <si>
    <t>76844619-9</t>
  </si>
  <si>
    <t>76886896-4</t>
  </si>
  <si>
    <t>76907865-7</t>
  </si>
  <si>
    <t>76917450-8</t>
  </si>
  <si>
    <t>76932727-4</t>
  </si>
  <si>
    <t>76950592-k</t>
  </si>
  <si>
    <t>76985421-5</t>
  </si>
  <si>
    <t>77049226-2</t>
  </si>
  <si>
    <t>77055622-8</t>
  </si>
  <si>
    <t>77056860-9</t>
  </si>
  <si>
    <t>77078845-5</t>
  </si>
  <si>
    <t>77080913-4</t>
  </si>
  <si>
    <t>77105193-6</t>
  </si>
  <si>
    <t>77139057-9</t>
  </si>
  <si>
    <t>77146364-9</t>
  </si>
  <si>
    <t>77154067-8</t>
  </si>
  <si>
    <t>77166403-2</t>
  </si>
  <si>
    <t>77168896-9</t>
  </si>
  <si>
    <t>77175692-1</t>
  </si>
  <si>
    <t>77224268-9</t>
  </si>
  <si>
    <t>77232750-1</t>
  </si>
  <si>
    <t>77234415-5</t>
  </si>
  <si>
    <t>77255900-3</t>
  </si>
  <si>
    <t>77316830-K</t>
  </si>
  <si>
    <t>77407320-5</t>
  </si>
  <si>
    <t>77407710-3</t>
  </si>
  <si>
    <t>77419740-0</t>
  </si>
  <si>
    <t>77615490-3</t>
  </si>
  <si>
    <t>77661490-4</t>
  </si>
  <si>
    <t>77724510-4</t>
  </si>
  <si>
    <t>77792580-6</t>
  </si>
  <si>
    <t>77798280-K</t>
  </si>
  <si>
    <t>77805400-0</t>
  </si>
  <si>
    <t>77839460-K</t>
  </si>
  <si>
    <t>77870820-5</t>
  </si>
  <si>
    <t>77890080-7</t>
  </si>
  <si>
    <t>77898920-4</t>
  </si>
  <si>
    <t>77940120-0</t>
  </si>
  <si>
    <t>77961400-K</t>
  </si>
  <si>
    <t>78158670-6</t>
  </si>
  <si>
    <t>78214450-2</t>
  </si>
  <si>
    <t>78317810-9</t>
  </si>
  <si>
    <t>78710830-K</t>
  </si>
  <si>
    <t>78967150-8</t>
  </si>
  <si>
    <t>78971320-0</t>
  </si>
  <si>
    <t>79840540-3</t>
  </si>
  <si>
    <t>79921960-3</t>
  </si>
  <si>
    <t>8505-7</t>
  </si>
  <si>
    <t>8506-5</t>
  </si>
  <si>
    <t>88639900-6</t>
  </si>
  <si>
    <t>89809600-9</t>
  </si>
  <si>
    <t>9058-1</t>
  </si>
  <si>
    <t>9409-9</t>
  </si>
  <si>
    <t>96914290-2</t>
  </si>
  <si>
    <t>9866-3</t>
  </si>
  <si>
    <t>99531640-4</t>
  </si>
  <si>
    <t>99538520-1</t>
  </si>
  <si>
    <t>9981-3</t>
  </si>
  <si>
    <t>VALIDACIÓN NOTA METODOLOGÍA SUPERIOR A 1</t>
  </si>
  <si>
    <t>CORTE Y CONFECCIÓN DE CORTINAS Y ROPA DE CASA</t>
  </si>
  <si>
    <t>PF0704</t>
  </si>
  <si>
    <t>PERSONAS DE 18 AÑOS O MÁS, EN SITUACIÓN DE DISCAPACIDAD.</t>
  </si>
  <si>
    <t>02. LUNES - TARDE / 08. MIÉRCOLES - TARDE / 14. VIERNES - TARDE</t>
  </si>
  <si>
    <t>HERRAMIENTAS COMPUTACIONALES BÁSICAS</t>
  </si>
  <si>
    <t>PF0729</t>
  </si>
  <si>
    <t>DE LOS LAGOS</t>
  </si>
  <si>
    <t>LLANQUIHUE</t>
  </si>
  <si>
    <t>VIÑA DEL MAR</t>
  </si>
  <si>
    <t>DEL BÍOBÍO</t>
  </si>
  <si>
    <t>TALCAHUANO</t>
  </si>
  <si>
    <t>CORTE Y CONFECCIÓN DE PRENDAS DE VESTIR PARA NIÑOS Y ADULTOS</t>
  </si>
  <si>
    <t>PF0625</t>
  </si>
  <si>
    <t>01. LUNES - MAÑANA / 04. MARTES - MAÑANA / 07. MIÉRCOLES - MAÑANA / 10. JUEVES - MAÑANA / 13. VIERNES - MAÑANA / 16. SÁBADO - MAÑANA / 19. DOMINGO - MAÑANA</t>
  </si>
  <si>
    <t>MAIPÚ</t>
  </si>
  <si>
    <t>SERVICIOS DE MASAJES INTEGRALES</t>
  </si>
  <si>
    <t>PF0612</t>
  </si>
  <si>
    <t>SAN JOAQUÍN</t>
  </si>
  <si>
    <t>COMERCIO ELECTRÓNICO Y MARKETING DIGITAL</t>
  </si>
  <si>
    <t>PF0965</t>
  </si>
  <si>
    <t>QUILICURA</t>
  </si>
  <si>
    <t>MULCHÉN</t>
  </si>
  <si>
    <t>HABILIDADES Y HERRAMIENTAS PARA EL EMPRENDIMIENTO</t>
  </si>
  <si>
    <t>PF0911</t>
  </si>
  <si>
    <t>RENCA</t>
  </si>
  <si>
    <t>QUIRIHUE</t>
  </si>
  <si>
    <t>RENGO</t>
  </si>
  <si>
    <t>CURANILAHUE</t>
  </si>
  <si>
    <t>PUENTE ALTO</t>
  </si>
  <si>
    <t>RECOLETA</t>
  </si>
  <si>
    <t>HUECHURABA</t>
  </si>
  <si>
    <t>PANGUIPULLI</t>
  </si>
  <si>
    <t>LA UNIÓN</t>
  </si>
  <si>
    <t>QUINTA NORMAL</t>
  </si>
  <si>
    <t>LA CISTERNA</t>
  </si>
  <si>
    <t>CONCEPCIÓN</t>
  </si>
  <si>
    <t>OSORNO</t>
  </si>
  <si>
    <t>PF0728</t>
  </si>
  <si>
    <t>HERRAMIENTAS BÁSICAS DE COMUNICACIÓN EN INGLÉS</t>
  </si>
  <si>
    <t>PF1257</t>
  </si>
  <si>
    <t>OPERACIÓN DE GRÚA HORQUILLA</t>
  </si>
  <si>
    <t>SERVICIO DE GUARDIA DE SEGURIDAD</t>
  </si>
  <si>
    <t>PF0624</t>
  </si>
  <si>
    <t>CURSO CONVENCIONAL CONDUCENTE A LICENCIA DE CONDUCTOR PROFESIONAL CLASE A-2</t>
  </si>
  <si>
    <t>PF0622</t>
  </si>
  <si>
    <t>TÉCNICAS DE SOLDADURA POR OXIGÁS, ARCO VOLTAICO, TIG Y MIG</t>
  </si>
  <si>
    <t>PF0576</t>
  </si>
  <si>
    <t>COCINA NACIONAL E INTERNACIONAL</t>
  </si>
  <si>
    <t>LA PINTANA</t>
  </si>
  <si>
    <t>PF0727</t>
  </si>
  <si>
    <t>DIEGO DE ALMAGRO</t>
  </si>
  <si>
    <t>DE ATACAMA</t>
  </si>
  <si>
    <t>LOS ANDES</t>
  </si>
  <si>
    <t>SAN ESTEBAN</t>
  </si>
  <si>
    <t>PUERTO MONTT</t>
  </si>
  <si>
    <t>CORONEL</t>
  </si>
  <si>
    <t>EL BOSQUE</t>
  </si>
  <si>
    <t>ELABORACIÓN DE PRODUCTOS DE PASTELERÍA Y REPOSTERÍA</t>
  </si>
  <si>
    <t>MASAJES CORPORALES CON FINES ESTÉTICOS Y DE RELAJACIÓN</t>
  </si>
  <si>
    <t>PF0922</t>
  </si>
  <si>
    <t>TÉCNICAS PARA LA RESOLUCIÓN DE PROBLEMAS</t>
  </si>
  <si>
    <t>PF1185</t>
  </si>
  <si>
    <t>ACOMPAÑAMIENTO Y APOYO EN EL CUIDADO DE NIÑOS, NIÑAS Y ADOLESCENTES EN SITUACIÓN DE VULNERABILIDAD DE DERECHOS</t>
  </si>
  <si>
    <t>01. LUNES - MAÑANA / 04. MARTES - MAÑANA / 07. MIÉRCOLES - MAÑANA</t>
  </si>
  <si>
    <t>CABRERO</t>
  </si>
  <si>
    <t>PF0808</t>
  </si>
  <si>
    <t>SERVICIO DE CONSERJERÍA</t>
  </si>
  <si>
    <t>PF0601</t>
  </si>
  <si>
    <t>SERVICIO DE BANQUETERÍA</t>
  </si>
  <si>
    <t>PF0579</t>
  </si>
  <si>
    <t>ACTIVIDADES AUXILIARES DE BODEGA</t>
  </si>
  <si>
    <t>PF0578</t>
  </si>
  <si>
    <t>ELABORACIÓN DE JABONES Y SALES DE BAÑO</t>
  </si>
  <si>
    <t>TARAPACÁ</t>
  </si>
  <si>
    <t>PUERTO VARAS</t>
  </si>
  <si>
    <t>02. LUNES - TARDE / 05. MARTES - TARDE / 08. MIÉRCOLES - TARDE / 11. JUEVES - TARDE</t>
  </si>
  <si>
    <t>PUDAHUEL</t>
  </si>
  <si>
    <t>05. MARTES - TARDE / 11. JUEVES - TARDE</t>
  </si>
  <si>
    <t>IQUIQUE</t>
  </si>
  <si>
    <t>PF0572</t>
  </si>
  <si>
    <t>DISEÑO Y CONFECCIÓN DE TEJIDOS A TELAR</t>
  </si>
  <si>
    <t>LAMPA</t>
  </si>
  <si>
    <t>PF0519</t>
  </si>
  <si>
    <t>ELABORACIÓN DE PREPARACIONES DE PASTELERÍA</t>
  </si>
  <si>
    <t>04. MARTES - MAÑANA / 10. JUEVES - MAÑANA</t>
  </si>
  <si>
    <t>PF0981</t>
  </si>
  <si>
    <t>COCINA NACIONAL</t>
  </si>
  <si>
    <t>PF0917</t>
  </si>
  <si>
    <t>DERECHOS Y DEBERES EN EL MUNDO LABORAL</t>
  </si>
  <si>
    <t>PF0944</t>
  </si>
  <si>
    <t>PELUQUERÍA</t>
  </si>
  <si>
    <t>PF0594</t>
  </si>
  <si>
    <t>CONTABILIDAD BÁSICA</t>
  </si>
  <si>
    <t>TILTIL</t>
  </si>
  <si>
    <t>LIMACHE</t>
  </si>
  <si>
    <t>RETIRO</t>
  </si>
  <si>
    <t>DEL LIBERTADOR B. O'HIGGINS</t>
  </si>
  <si>
    <t>ANTOFAGASTA</t>
  </si>
  <si>
    <t>DE ANTOFAGASTA</t>
  </si>
  <si>
    <t>PF0793</t>
  </si>
  <si>
    <t>CONTROL DE CALIDAD DE PROCESOS AGROALIMENTARIOS</t>
  </si>
  <si>
    <t>PF0790</t>
  </si>
  <si>
    <t>AUXILIAR DE BODEGA EN TIENDAS POR DEPARTAMENTO</t>
  </si>
  <si>
    <t>PF0628</t>
  </si>
  <si>
    <t>ELABORACIÓN Y COMERCIALIZACIÓN DE MERMELADAS Y CONSERVAS</t>
  </si>
  <si>
    <t>PF0762</t>
  </si>
  <si>
    <t>ORFEBRERÍA</t>
  </si>
  <si>
    <t>SAN IGNACIO</t>
  </si>
  <si>
    <t>DE ÑUBLE</t>
  </si>
  <si>
    <t>ARICA</t>
  </si>
  <si>
    <t>DE ARICA Y PARINACOTA</t>
  </si>
  <si>
    <t>FORMULACIÓN DE PROYECTOS DE MICROEMPRENDIMIENTO</t>
  </si>
  <si>
    <t>FUTRONO</t>
  </si>
  <si>
    <t>COQUIMBO</t>
  </si>
  <si>
    <t>PF0604</t>
  </si>
  <si>
    <t>OPERACIONES BÁSICAS DE PANADERÍA</t>
  </si>
  <si>
    <t>69060800-6</t>
  </si>
  <si>
    <t>CUIDADORES DE PERSONAS CON DISCAPACIDAD Y/O DEPENDENCIA MODERADA O SEVERA.</t>
  </si>
  <si>
    <t>RANCAGUA</t>
  </si>
  <si>
    <t>OLIVAR</t>
  </si>
  <si>
    <t>SAN FERNANDO</t>
  </si>
  <si>
    <t>NAVIDAD</t>
  </si>
  <si>
    <t>PERSONAS DERIVADAS POR GENDARMERIA</t>
  </si>
  <si>
    <t>PF0720</t>
  </si>
  <si>
    <t>LABORES EN VIVEROS</t>
  </si>
  <si>
    <t>MACHALÍ</t>
  </si>
  <si>
    <t>PF0715</t>
  </si>
  <si>
    <t>DISEÑO Y CONFECCIÓN DE ARTÍCULOS DECORATIVOS UTILIZANDO LA TÉCNICA DEL MOSAICO</t>
  </si>
  <si>
    <t>VALDIVIA</t>
  </si>
  <si>
    <t>LEBU</t>
  </si>
  <si>
    <t>YUNGAY</t>
  </si>
  <si>
    <t>PF0674</t>
  </si>
  <si>
    <t>OPERACIÓN DE EXCAVADORA</t>
  </si>
  <si>
    <t>TRAIGUÉN</t>
  </si>
  <si>
    <t>CHOLCHOL</t>
  </si>
  <si>
    <t>PURÉN</t>
  </si>
  <si>
    <t>LABORES DE INSTALACIONES SANITARIAS</t>
  </si>
  <si>
    <t>07. MIÉRCOLES - MAÑANA / 10. JUEVES - MAÑANA / 13. VIERNES - MAÑANA</t>
  </si>
  <si>
    <t>VALLENAR</t>
  </si>
  <si>
    <t>COPIAPÓ</t>
  </si>
  <si>
    <t>LOS VILOS</t>
  </si>
  <si>
    <t>TRABAJADORES POR CUENTA PROPIA CON RENTA INFERIOR A 3 INGRESOS MENSUALES</t>
  </si>
  <si>
    <t>COLLIPULLI</t>
  </si>
  <si>
    <t>69180500-K</t>
  </si>
  <si>
    <t>PITRUFQUÉN</t>
  </si>
  <si>
    <t>CHILLAN VIEJO</t>
  </si>
  <si>
    <t>COIHUECO</t>
  </si>
  <si>
    <t>HUALPÉN</t>
  </si>
  <si>
    <t>PF0573</t>
  </si>
  <si>
    <t>DISEÑO Y ELABORACIÓN DE JOYAS DE PLATA MAPUCHES</t>
  </si>
  <si>
    <t>PF0778</t>
  </si>
  <si>
    <t>SERVICIO DE TAPICERÍA Y RESTAURACIÓN DE MUEBLES Y SU COMERCIALIZACIÓN</t>
  </si>
  <si>
    <t>69250500-K</t>
  </si>
  <si>
    <t>PF0575</t>
  </si>
  <si>
    <t>DISEÑO, CONFECCIÓN Y COMERCIALIZACIÓN DE ARTÍCULOS DE PLATA Y COBRE</t>
  </si>
  <si>
    <t>PEMUCO</t>
  </si>
  <si>
    <t>PF0527</t>
  </si>
  <si>
    <t>DIFUSIÓN DE INFORMACIÓN TURÍSTICA</t>
  </si>
  <si>
    <t>GRANEROS</t>
  </si>
  <si>
    <t>PAILLACO</t>
  </si>
  <si>
    <t>PINTO</t>
  </si>
  <si>
    <t>02. LUNES - TARDE / 05. MARTES - TARDE / 08. MIÉRCOLES - TARDE / 11. JUEVES - TARDE / 14. VIERNES - TARDE / 17. SÁBADO - TARDE</t>
  </si>
  <si>
    <t>LONQUIMAY</t>
  </si>
  <si>
    <t>CURACAUTÍN</t>
  </si>
  <si>
    <t>PF0587</t>
  </si>
  <si>
    <t>OPERARIO DE ARTEFACTOS DE GAS</t>
  </si>
  <si>
    <t>04. MARTES - MAÑANA / 07. MIÉRCOLES - MAÑANA / 10. JUEVES - MAÑANA / 13. VIERNES - MAÑANA</t>
  </si>
  <si>
    <t>SAAVEDRA</t>
  </si>
  <si>
    <t>PF1005</t>
  </si>
  <si>
    <t>TÉCNICAS DE SOLDADURA POR ARCO VOLTAICO</t>
  </si>
  <si>
    <t>CHILLAN</t>
  </si>
  <si>
    <t>MELIPEUCO</t>
  </si>
  <si>
    <t>VILLARRICA</t>
  </si>
  <si>
    <t>69151000-K</t>
  </si>
  <si>
    <t>PF0918</t>
  </si>
  <si>
    <t>DESARROLLO DEL TRABAJO COLABORATIVO</t>
  </si>
  <si>
    <t>PICA</t>
  </si>
  <si>
    <t>CONTULMO</t>
  </si>
  <si>
    <t>CURARREHUE</t>
  </si>
  <si>
    <t>SAN JAVIER</t>
  </si>
  <si>
    <t>TRABAJADORES INSCRITOS EN REGISTROS ESPECIALES (PESCADORES, FERIANTES, TAXIS Y COLECTIVOS, U OTROS ANÁLOGOS).</t>
  </si>
  <si>
    <t>CALAMA</t>
  </si>
  <si>
    <t>PF1244</t>
  </si>
  <si>
    <t>ASISTENCIA EN LA ELABORACIÓN DE PREPARACIONES GASTRONÓMICAS</t>
  </si>
  <si>
    <t>SALAMANCA</t>
  </si>
  <si>
    <t>PEÑALOLÉN</t>
  </si>
  <si>
    <t>QUINTERO</t>
  </si>
  <si>
    <t>PF1246</t>
  </si>
  <si>
    <t>GESTIÓN DE PROCESOS DE SERVICIOS TURÍSTICOS</t>
  </si>
  <si>
    <t>VALOR LICENCIA INDIVIDUAL</t>
  </si>
  <si>
    <t>DIAS FL</t>
  </si>
  <si>
    <t>DIAS FL 0</t>
  </si>
  <si>
    <t>VALOR HORA</t>
  </si>
  <si>
    <t>65192857-5</t>
  </si>
  <si>
    <t>¿TIENE EXPERIENCIA?</t>
  </si>
  <si>
    <t>¿TIENE MULTAS?</t>
  </si>
  <si>
    <t xml:space="preserve"> MAYOR NOTA PROPUESTA TÉCNICA</t>
  </si>
  <si>
    <t>¿TIENE MAYOR NOTA PROPUESTA TÉCNICA?</t>
  </si>
  <si>
    <t>¿TIENE  MAYOR NOTA COMPORTAMIENTO ANTERIOR?</t>
  </si>
  <si>
    <t>VALIDACIÓN NOTA EXPERIENCIA OFERENTE</t>
  </si>
  <si>
    <t>5.3                      EVALUACIÓN COMPORTAMIENTO ANTERIOR</t>
  </si>
  <si>
    <t xml:space="preserve">CURSOS </t>
  </si>
  <si>
    <t xml:space="preserve">Máx. de CURSOS </t>
  </si>
  <si>
    <t>OBSERVACIONES SENCE</t>
  </si>
  <si>
    <t>POCENTAJE DE MULTAS PONDERADA</t>
  </si>
  <si>
    <t>(en blanco)</t>
  </si>
  <si>
    <t>Suma de TOTAL DEL CURSO</t>
  </si>
  <si>
    <t>INICIAL</t>
  </si>
  <si>
    <t>5.4.2.1             RELACIÓN METODOLOGÍA Y COMPETENCIA  MAYOR QUE 1</t>
  </si>
  <si>
    <t>NOTA PROPUESTA FORMATIVA A NIVEL DE PLAN 5,4,1,1( 35%)</t>
  </si>
  <si>
    <t>NOTA PROPUESTA FORMATIVA A NIVEL DE MODULOS 5,4,1,2 (65%)</t>
  </si>
  <si>
    <t>NOTA METODOLOGÍA (55%)</t>
  </si>
  <si>
    <t>NOTA  EVALUACIÓN PROPUESTA FORMATIVA (45%)</t>
  </si>
  <si>
    <t>Mín. de VHA DEL CURSO A CONSIDERAR EN EVA EC</t>
  </si>
  <si>
    <t>77413768-8</t>
  </si>
  <si>
    <t>NOMBRE PLAN transversal</t>
  </si>
  <si>
    <t>CODIGO PLAN transversal</t>
  </si>
  <si>
    <t>CODIGO SENCE+A:B</t>
  </si>
  <si>
    <t>65194168-7</t>
  </si>
  <si>
    <t>ÑUÑOA</t>
  </si>
  <si>
    <t>SERVICIOS TURÍSTICOS GUIADOS</t>
  </si>
  <si>
    <t>GORBEA</t>
  </si>
  <si>
    <t>Cuenta de CODIGO DEL CURSO (PLAN FORMATIVO 1)</t>
  </si>
  <si>
    <t>LOS ÁNGELES</t>
  </si>
  <si>
    <t>RUT ENTIDAD  REQUIRENTE</t>
  </si>
  <si>
    <t xml:space="preserve">NOMBRE ENTIDAD REQUIRENTE </t>
  </si>
  <si>
    <t xml:space="preserve"> HORAS CURSO (PLAN FORMATIVO 1 )</t>
  </si>
  <si>
    <t>CONVOCATORIA</t>
  </si>
  <si>
    <t>DURACIÓN TOTAL DEL CURSO EN HORAS</t>
  </si>
  <si>
    <t>DURACIÓN TOTAL DEL CURSO EN DIAS</t>
  </si>
  <si>
    <t>VALOR HORA ALUMNO CAPACITACIÓN</t>
  </si>
  <si>
    <t>VALOR ALUMNO SUBSIDIO ÚTILES, INSUMO  Y HERRAMIENTAS</t>
  </si>
  <si>
    <t>VALOR ALUMNO SUBSIDIO PARA INSTRUMENTO HABILITANTE Y/O REFERENCIAL</t>
  </si>
  <si>
    <t>VALOR CAPACITACIÓN</t>
  </si>
  <si>
    <t>VALOR TOTAL SUBSIDIO DIARIO</t>
  </si>
  <si>
    <t>VALOR TOTAL SUBSIDIO ÚTILES, INSUMO Y HERRAMIENTAS</t>
  </si>
  <si>
    <t>VALOR TOTAL SUBSIDIO DE CUIDADOS</t>
  </si>
  <si>
    <t>VALOR TOTAL SUBSIDIO PARA INSTRUMENTO HABILITANTE Y/O REFERENCIAL</t>
  </si>
  <si>
    <t>VALOR TOTAL DEL CURSO</t>
  </si>
  <si>
    <t>ADMISIBILIDAD DE OFERTA-CURSO (SI/NO) Numeral 7.1.2 Bases Administrativas</t>
  </si>
  <si>
    <t>7.2 EVALUACIÓN EXPERIENCIA DEL OFERENTE (10%)</t>
  </si>
  <si>
    <t>7.3 EVALUACIÓN COMPORTAMIENTO (10%)</t>
  </si>
  <si>
    <t>CURSO PREADJUDICADO (SI/NO)</t>
  </si>
  <si>
    <t>Nombre encargado del curso en OTEC</t>
  </si>
  <si>
    <t>Email  encargado del curso en OTEC</t>
  </si>
  <si>
    <t>Teléfono  encargado del curso en OTEC</t>
  </si>
  <si>
    <t>Dirección (Sede donde se imparte el curso)</t>
  </si>
  <si>
    <t>Objetivo del Curso</t>
  </si>
  <si>
    <t>Descripción del Curso</t>
  </si>
  <si>
    <t>7.4.4.1            Relación entre metodología y competencia (30%)</t>
  </si>
  <si>
    <t>7.4.4.2   Proceso de Aprendizaje (30%)</t>
  </si>
  <si>
    <t>7.4.4.3          Uso de equipos y herramientas (20%)</t>
  </si>
  <si>
    <t>7.4.4.5            Uso de la infraestructura (10%)</t>
  </si>
  <si>
    <t>7.4.2.1                              Cumple con todos los componentes exigidos para el plan formativo (50%)</t>
  </si>
  <si>
    <t>7.4.2.2                               Se identifican los requisistos de ingreso del participante al plan formativo. (50 %)</t>
  </si>
  <si>
    <t>7.4.3.1                     Relación entre los componentes del módulo propuesto (15%)</t>
  </si>
  <si>
    <t>7.4.3.2                      Relación de la competencia y el nombre del módulo se relaciona con la competencia y el nombre del plan formativo (25%)</t>
  </si>
  <si>
    <t>7.4.3.3     Relación de los aprendizajes esperados del módulo con la competencia del módulo. (20%)</t>
  </si>
  <si>
    <t>7.4.3.4                          Los criterios de evaluación permiten evidenciar los aprendizajes esperados de cada módulo. (25 %)</t>
  </si>
  <si>
    <t>7.4.3.5                                         Los contenidos abordados permiten desarrollar los aprendizajes esperados de cada módulo. (15%)</t>
  </si>
  <si>
    <t>Número de cursos  rechazados  por inadmisibilidad de la propuesta.</t>
  </si>
  <si>
    <t>N° cursos presentadas  en apertura de propuestas</t>
  </si>
  <si>
    <t>N°de cursos de propuestas declaradas inadmisibles</t>
  </si>
  <si>
    <t>N° de cursos de propuestas a evaluar</t>
  </si>
  <si>
    <t>N° de cursos de propuestas en revisión</t>
  </si>
  <si>
    <t>Validación de cantidad de cursos de propuestas a evaluar</t>
  </si>
  <si>
    <t>Justificación OTEC declarada inadmisible.</t>
  </si>
  <si>
    <t xml:space="preserve">Total Cursos </t>
  </si>
  <si>
    <t>7.4.3.3        Relación de los aprendizajes esperados del módulo con la competencia del módulo. (20%)</t>
  </si>
  <si>
    <t>7.4.4.2     Proceso de Aprendizaje (30%)</t>
  </si>
  <si>
    <t>7.4.4.4      Uso y distribución de materiales e insumos (10%)</t>
  </si>
  <si>
    <t>7.5    EVALUACIÓN ECONÓMICA (5%)</t>
  </si>
  <si>
    <t>7.4.4.3              Uso de equipos y herramientas (20%)</t>
  </si>
  <si>
    <t>8           NOTA FINAL</t>
  </si>
  <si>
    <t>8                 NOTA FINAL</t>
  </si>
  <si>
    <t>7.4.4.4          Uso y distribución de materiales e insumos (10%)</t>
  </si>
  <si>
    <t>NOTA PROPUESTA FORMATIVA A NIVEL DE PLAN 7.4.2( 35%)</t>
  </si>
  <si>
    <t>NOTA PROPUESTA FORMATIVA A NIVEL DE MODULOS 7.4.3 (65%)</t>
  </si>
  <si>
    <t>OBSERVACIÓN IMPUGNACIÓN</t>
  </si>
  <si>
    <t>(Todas)</t>
  </si>
  <si>
    <t>Máx. de 7.3 EVALUACIÓN COMPORTAMIENTO (10%)</t>
  </si>
  <si>
    <t>Máx. de 7.2 EVALUACIÓN EXPERIENCIA DEL OFERENTE (10%)</t>
  </si>
  <si>
    <t>DESCRIPCION POBLACIÓN OBJETIVO</t>
  </si>
  <si>
    <t>VALOR TOTAL SUBSIDIO CUIDADOS</t>
  </si>
  <si>
    <t>VALOR TOTAL SUBSIDIO DE  HERRAMIENTAS</t>
  </si>
  <si>
    <t>VALOR TOTAL LICENCIAS</t>
  </si>
  <si>
    <t>VALOR TOTAL  CURSO</t>
  </si>
  <si>
    <t>PF1454</t>
  </si>
  <si>
    <t>LICENCIA DE CONDUCIR CLASE B.</t>
  </si>
  <si>
    <t>ABIERTA</t>
  </si>
  <si>
    <t>CERRADA</t>
  </si>
  <si>
    <t>LICENCIA DE CONDUCTOR PROFESIONAL CLASE A-2.</t>
  </si>
  <si>
    <t>SIN PLAN FORMATIVO</t>
  </si>
  <si>
    <t>TÉCNICAS DE MANIPULACIÓN DE ALIMENTOS</t>
  </si>
  <si>
    <t>PF1432</t>
  </si>
  <si>
    <t>CERTIFICACIÓN COMO SOLDADOR.</t>
  </si>
  <si>
    <t>LICENCIAS DE CONDUCIR CLASE D.</t>
  </si>
  <si>
    <t>PF1424</t>
  </si>
  <si>
    <t>69030200-4</t>
  </si>
  <si>
    <t>BRECHA DIGITAL CERO: ILUMINANDO EL ACCESO A LA INFORMACIÓN DESDE LAS PLATAFORMA DIGITALES</t>
  </si>
  <si>
    <t>PF1426</t>
  </si>
  <si>
    <t>TÉCNICAS DE CONSTRUCCIÓN DE INVERNADEROS TRADICIONALES</t>
  </si>
  <si>
    <t>PF1374</t>
  </si>
  <si>
    <t>MECÁNICA BÁSICA AUTOMOTRIZ EN INYECCIÓN ELECTRÓNICA</t>
  </si>
  <si>
    <t>PF0801</t>
  </si>
  <si>
    <t>LICENCIA DE CONDUCTOR PROFESIONAL CLASE A-3.</t>
  </si>
  <si>
    <t>01. LUNES - MAÑANA / 07. MIÉRCOLES - MAÑANA</t>
  </si>
  <si>
    <t>EL QUISCO</t>
  </si>
  <si>
    <t>SANTA CRUZ</t>
  </si>
  <si>
    <t>LICENCIA DE INSTALADOR DE GAS, CLASE 3, EMITIDA POR EL SEC.</t>
  </si>
  <si>
    <t>69150400-K</t>
  </si>
  <si>
    <t>INTRODUCCION A LA INTERCULTURALIDAD Y COSMOVISION MAPUCHE</t>
  </si>
  <si>
    <t>PF1357</t>
  </si>
  <si>
    <t>69170500-5</t>
  </si>
  <si>
    <t>SAN PABLO</t>
  </si>
  <si>
    <t>69254600-8</t>
  </si>
  <si>
    <t>ORG TECNICO INTERMEDIO PARA CAPACITACION DEL              SECTOR SILVOAGROPECUARIO</t>
  </si>
  <si>
    <t xml:space="preserve">73188700-4
</t>
  </si>
  <si>
    <t xml:space="preserve">ASIMET </t>
  </si>
  <si>
    <t>69.220.300-3</t>
  </si>
  <si>
    <t>69.071.300-4</t>
  </si>
  <si>
    <t>69.070.900-7</t>
  </si>
  <si>
    <t>BANOTIC</t>
  </si>
  <si>
    <t xml:space="preserve">81.897.500-7
</t>
  </si>
  <si>
    <t xml:space="preserve">65.034.895-8
</t>
  </si>
  <si>
    <t xml:space="preserve">65.045.095-7
</t>
  </si>
  <si>
    <t>ONG CASA DE ACOGIDA LA ESPERANZA</t>
  </si>
  <si>
    <t xml:space="preserve">ARREGLO DE MÁQUINAS DE COSER
</t>
  </si>
  <si>
    <t>CREDENCIAL ESPECIAL DE HABILITACIÓN DE CONSERJES Y MAYORDOMOS DE CONDOMINIOS HABITACIONALES EN MATERIAS DE SEGURIDAD DE CARABINEROS DE CHILE, UNA VEZ RENDIDO EL EXAMEN RESPECTIVO ANTE LA AUTORIDAD FISCALIZADORA EN PROVINCIAS O EN LA SALA DE EXAMEN DIGITAL EN LA REGIÓN METROPOLITANA; (DE ACUERDO A LA RESOLUCIÓN N° 59 DEL 30/09/2017 CARABINEROS DE CHILE).</t>
  </si>
  <si>
    <t>65214530-2</t>
  </si>
  <si>
    <t>PUCHUNCAVÍ</t>
  </si>
  <si>
    <t>65886170-0</t>
  </si>
  <si>
    <t>OPERACIONES DE MECÁNICA BÁSICA EN BICICLETAS</t>
  </si>
  <si>
    <t>PF0804</t>
  </si>
  <si>
    <t xml:space="preserve">TÉCNICAS DE JOYERÍA
</t>
  </si>
  <si>
    <t>04. MARTES - MAÑANA / 05. MARTES - TARDE / 10. JUEVES - MAÑANA / 11. JUEVES - TARDE</t>
  </si>
  <si>
    <t xml:space="preserve">TÉCNICAS DE ORFEBRERIA AVANZADA
</t>
  </si>
  <si>
    <t>71440800-3</t>
  </si>
  <si>
    <t>FUNDACION TRABAJO PARA UN HERMANO</t>
  </si>
  <si>
    <t>82648400-4</t>
  </si>
  <si>
    <t>65034895-8</t>
  </si>
  <si>
    <t>73188700-4</t>
  </si>
  <si>
    <t>CENTRO INTERMEDIO PARA CAPACITACION PROFORMA</t>
  </si>
  <si>
    <t>60.107.000-6</t>
  </si>
  <si>
    <t>10073-0</t>
  </si>
  <si>
    <t>10397-7</t>
  </si>
  <si>
    <t>10749-2</t>
  </si>
  <si>
    <t>12062-6</t>
  </si>
  <si>
    <t>1213-0</t>
  </si>
  <si>
    <t>1335-8</t>
  </si>
  <si>
    <t>14759-1</t>
  </si>
  <si>
    <t>16754-1</t>
  </si>
  <si>
    <t>16844-0</t>
  </si>
  <si>
    <t>2443-0</t>
  </si>
  <si>
    <t>4805-4</t>
  </si>
  <si>
    <t>62000770-6</t>
  </si>
  <si>
    <t>65113891-4</t>
  </si>
  <si>
    <t>65187935-3</t>
  </si>
  <si>
    <t>65791700-1</t>
  </si>
  <si>
    <t>69071300-4</t>
  </si>
  <si>
    <t>71540100-2</t>
  </si>
  <si>
    <t>71629400-5</t>
  </si>
  <si>
    <t>76012388-9</t>
  </si>
  <si>
    <t>76022830-3</t>
  </si>
  <si>
    <t>76033205-4</t>
  </si>
  <si>
    <t>76038690-1</t>
  </si>
  <si>
    <t>76334086-4</t>
  </si>
  <si>
    <t>76345356-1</t>
  </si>
  <si>
    <t>76387924-0</t>
  </si>
  <si>
    <t>76424217-3</t>
  </si>
  <si>
    <t>76463603-1</t>
  </si>
  <si>
    <t>76606960-6</t>
  </si>
  <si>
    <t>76661795-6</t>
  </si>
  <si>
    <t>76681269-4</t>
  </si>
  <si>
    <t>76774494-3</t>
  </si>
  <si>
    <t>76881451-1</t>
  </si>
  <si>
    <t>76891428-1</t>
  </si>
  <si>
    <t>76913981-8</t>
  </si>
  <si>
    <t>76963817-2</t>
  </si>
  <si>
    <t>76971235-6</t>
  </si>
  <si>
    <t>76993458-8</t>
  </si>
  <si>
    <t>77014247-4</t>
  </si>
  <si>
    <t>77068711-k</t>
  </si>
  <si>
    <t>77093819-8</t>
  </si>
  <si>
    <t>77100591-8</t>
  </si>
  <si>
    <t>77151924-5</t>
  </si>
  <si>
    <t>77199625-6</t>
  </si>
  <si>
    <t>77228717-8</t>
  </si>
  <si>
    <t>77243267-4</t>
  </si>
  <si>
    <t>77252819-1</t>
  </si>
  <si>
    <t>77256082-6</t>
  </si>
  <si>
    <t>77302633-5</t>
  </si>
  <si>
    <t>77310225-2</t>
  </si>
  <si>
    <t>77328091-6</t>
  </si>
  <si>
    <t>77338113-5</t>
  </si>
  <si>
    <t>77365504-9</t>
  </si>
  <si>
    <t>77372454-7</t>
  </si>
  <si>
    <t>77442150-5</t>
  </si>
  <si>
    <t>77666900-8</t>
  </si>
  <si>
    <t>77706510-6</t>
  </si>
  <si>
    <t>78702720-2</t>
  </si>
  <si>
    <t>79642040-5</t>
  </si>
  <si>
    <t>9579-6</t>
  </si>
  <si>
    <t>9860-4</t>
  </si>
  <si>
    <t>NOTA FINAL DEL CURSO SENCE</t>
  </si>
  <si>
    <t>VALIDACIÓN VALOR INDIVIDUAL SH SEGÚN LÍNEA</t>
  </si>
  <si>
    <t>Máx. de 8                 NOTA FINAL</t>
  </si>
  <si>
    <t>7.5         EVALUACIÓN ECONÓMICA (5%)</t>
  </si>
  <si>
    <r>
      <t>¿TIENEN PF? (</t>
    </r>
    <r>
      <rPr>
        <b/>
        <sz val="9"/>
        <color rgb="FFFF0000"/>
        <rFont val="Calibri"/>
        <family val="2"/>
        <scheme val="minor"/>
      </rPr>
      <t xml:space="preserve">Para los </t>
    </r>
    <r>
      <rPr>
        <b/>
        <u/>
        <sz val="9"/>
        <color rgb="FFFF0000"/>
        <rFont val="Calibri"/>
        <family val="2"/>
        <scheme val="minor"/>
      </rPr>
      <t>cursos sin plan formativo verificar</t>
    </r>
    <r>
      <rPr>
        <b/>
        <sz val="9"/>
        <color rgb="FFFF0000"/>
        <rFont val="Calibri"/>
        <family val="2"/>
        <scheme val="minor"/>
      </rPr>
      <t xml:space="preserve"> que en la columna J de la planilla  "Preadjudicación OTIC", se indique "</t>
    </r>
    <r>
      <rPr>
        <b/>
        <u/>
        <sz val="9"/>
        <color rgb="FFFF0000"/>
        <rFont val="Calibri"/>
        <family val="2"/>
        <scheme val="minor"/>
      </rPr>
      <t>SIN PLA N FORMATIVO"</t>
    </r>
    <r>
      <rPr>
        <b/>
        <sz val="9"/>
        <color rgb="FFFF0000"/>
        <rFont val="Calibri"/>
        <family val="2"/>
        <scheme val="minor"/>
      </rPr>
      <t>)</t>
    </r>
  </si>
  <si>
    <t>¿TIENE EVALUACIÓN PLAN FORMATIVO?</t>
  </si>
  <si>
    <t>¿TIENE MENOS PORCENTAJE COMPORTAMIENTO?</t>
  </si>
  <si>
    <t>¿PRE ADJUDICA SEGÚN OTIC?</t>
  </si>
  <si>
    <t xml:space="preserve">VALIDACIÓN ¿SE EVALUA PROPUESTA FORMATIVA SEGÚN TENGA O NO PLAN FORMATIVO EL CURSO? </t>
  </si>
  <si>
    <t>VALIDACIÓN ¿TIENE LICENCIA?</t>
  </si>
  <si>
    <t>VALIDACIÓN VERIFICACIÓN DE REQUISITOS (Comparación Validación Requisitos OTIC  y SENCE)</t>
  </si>
  <si>
    <r>
      <t xml:space="preserve">VALIDACIÓN SUBSIDIO DIARIO FASE LECTIVA </t>
    </r>
    <r>
      <rPr>
        <b/>
        <sz val="9"/>
        <color rgb="FFFF0000"/>
        <rFont val="Calibri"/>
        <family val="2"/>
        <scheme val="minor"/>
      </rPr>
      <t>(Si el curso tiene o no este subsidio en BD OFICIAL)</t>
    </r>
  </si>
  <si>
    <r>
      <t xml:space="preserve">VALIDACIÓN SUBSIDIO CUIDADOS </t>
    </r>
    <r>
      <rPr>
        <b/>
        <sz val="9"/>
        <color rgb="FFFF0000"/>
        <rFont val="Calibri"/>
        <family val="2"/>
        <scheme val="minor"/>
      </rPr>
      <t xml:space="preserve"> (Si el curso tiene o no este subsidio en BD OFICIAL)</t>
    </r>
  </si>
  <si>
    <r>
      <t xml:space="preserve">VALIDACIÓN SUBSIDIO DE HERRAMIENTAS  </t>
    </r>
    <r>
      <rPr>
        <b/>
        <sz val="9"/>
        <color rgb="FFFF0000"/>
        <rFont val="Calibri"/>
        <family val="2"/>
        <scheme val="minor"/>
      </rPr>
      <t xml:space="preserve"> (Si el curso tiene o no este subsidio en BD OFICIAL)</t>
    </r>
  </si>
  <si>
    <t>VALIDACIÓN VHA SEGÚN TRAMO DE CURSO EN BD OFICIAL</t>
  </si>
  <si>
    <t>VALIDACIÓN LÍNEA SEGÚN BD OFICIAL</t>
  </si>
  <si>
    <t>VALIDACIÓN CÓDIGOS PLAN FORMATIVO 1 SEGÚN BD OFICIAL</t>
  </si>
  <si>
    <t>VALIDACIÓN DE CÓDIGO(S) PLAN (ES) TRANSVERSAL(ES) SEGÚN BD OFICIAL</t>
  </si>
  <si>
    <t>VALIDACIÓN COMUNA SEGÚN BD OFICIAL</t>
  </si>
  <si>
    <t>VALIDACIÓN NOMBRE POBLACIÓN OBJETIVO SEGÚN BD OFICIAL</t>
  </si>
  <si>
    <t>VALIDACIÓN TIPO SALIDA (DEPENDIENTE O INDEPENDIENTE) SEGÚN BD OFICIAL</t>
  </si>
  <si>
    <t>VALIDACIÓN CUPO SEGÚN BD OFICIAL</t>
  </si>
  <si>
    <t>VALIDACIÓN HORAS DIARIAS SEGÚN BD OFICIAL</t>
  </si>
  <si>
    <t>VALIDACIÓN CONVOCATORIA SEGÚN BD OFICIAL</t>
  </si>
  <si>
    <r>
      <t xml:space="preserve">VALIDACIÓN TRAMO SEGÚN BD OFICIAL </t>
    </r>
    <r>
      <rPr>
        <b/>
        <sz val="9"/>
        <color rgb="FFFF0000"/>
        <rFont val="Calibri"/>
        <family val="2"/>
        <scheme val="minor"/>
      </rPr>
      <t>(En caso de los cursos de mandato aparezca 1 verificar si OTIC informó cambio de tramo, en caso que se hayan modificado se debe cambiar el tramo en la hoja BDOFICIAL)</t>
    </r>
  </si>
  <si>
    <t>VALIDACIÓN TOTAL HORAS  CURSO ENTRE N° PRESENTADO  POR EL OTEC Y LO QUE INDICA LA  BD OFICIAL</t>
  </si>
  <si>
    <t>VALIDACIÓN N°DÍAS FL ENTRE N° PRESENTADO  POR EL OTEC Y LO QUE INDICA LA  BD OFICIAL</t>
  </si>
  <si>
    <t>DIFERENCIA ENTRE VC PRESENTADO POR EL OTEC Y EL QUE CORRESPONDE  SEGÚN VHA PRESENTADO POR EL OTEC Y EL CUPO Y HORAS DE BD OFICIAL</t>
  </si>
  <si>
    <r>
      <t>VALIDACIÓN VALOR TOTAL SUBSIDIO FASE LECTIVA (</t>
    </r>
    <r>
      <rPr>
        <b/>
        <sz val="9"/>
        <color rgb="FFFF0000"/>
        <rFont val="Calibri"/>
        <family val="2"/>
        <scheme val="minor"/>
      </rPr>
      <t>Comparación entre cantidad presentada por el OTEC y BD Oficial)</t>
    </r>
  </si>
  <si>
    <r>
      <t xml:space="preserve">RUTOTEC </t>
    </r>
    <r>
      <rPr>
        <b/>
        <sz val="10"/>
        <color rgb="FFFF0000"/>
        <rFont val="Calibri"/>
        <family val="2"/>
        <scheme val="minor"/>
      </rPr>
      <t>(Eliminar los puntos del RUT)</t>
    </r>
  </si>
  <si>
    <t>CONVOCATORIA (ABIERTA O CERRADA)</t>
  </si>
  <si>
    <t>ADJUDICA</t>
  </si>
  <si>
    <t>Mín. de POCENTAJE DE MULTAS PONDERADA</t>
  </si>
  <si>
    <r>
      <t xml:space="preserve">VERIFICACIÓN DE REQUISITOS DEL CURSO SEGÚN SENCE             </t>
    </r>
    <r>
      <rPr>
        <b/>
        <sz val="9"/>
        <color rgb="FFFF0000"/>
        <rFont val="Calibri"/>
        <family val="2"/>
        <scheme val="minor"/>
      </rPr>
      <t>Rechazado =NO/Aprobado=SI</t>
    </r>
  </si>
  <si>
    <t>MENOR VHA DE CURSO APROBADO EN EXPERIENCIA</t>
  </si>
  <si>
    <t>VHA DEL CURSO APROBADO EN EXPERIENCIA</t>
  </si>
  <si>
    <t>¿TIENE MENOR VALOR HORA ENTRE LOS CURSO APROBADOS?</t>
  </si>
  <si>
    <t>N° LLAMADO</t>
  </si>
  <si>
    <t>CURSOS</t>
  </si>
  <si>
    <t>NOTA</t>
  </si>
  <si>
    <t>10781-6</t>
  </si>
  <si>
    <t>12033-2</t>
  </si>
  <si>
    <t>76018228-1</t>
  </si>
  <si>
    <t>76074266-k</t>
  </si>
  <si>
    <t>76788595-4</t>
  </si>
  <si>
    <t>76985386-3</t>
  </si>
  <si>
    <t>77111541-1</t>
  </si>
  <si>
    <t>77344241-K</t>
  </si>
  <si>
    <t>77490587-1</t>
  </si>
  <si>
    <t>77514584-6</t>
  </si>
  <si>
    <t>77514607-9</t>
  </si>
  <si>
    <t>77539699-7</t>
  </si>
  <si>
    <t>77580448-3</t>
  </si>
  <si>
    <t>77592829-8</t>
  </si>
  <si>
    <t>77679463-5</t>
  </si>
  <si>
    <t>77681841-0</t>
  </si>
  <si>
    <t>77705016-8</t>
  </si>
  <si>
    <t>77721727-5</t>
  </si>
  <si>
    <t>79549510-K</t>
  </si>
  <si>
    <t>MULTAS PONDERADAS</t>
  </si>
  <si>
    <t>N° CURSOS</t>
  </si>
  <si>
    <t>PORCENTAJE NACIONAL</t>
  </si>
  <si>
    <t>71500500-k</t>
  </si>
  <si>
    <t>76048887- 9</t>
  </si>
  <si>
    <t>76190287- 3</t>
  </si>
  <si>
    <t>76950592-K</t>
  </si>
  <si>
    <t>CORP DE CAPACITACION DE LA CAMARA NACIONAL DE COMERCIO DE CHILE</t>
  </si>
  <si>
    <t>ACTIVIDADES DE CUIDADOS PARA PERSONAS CON DEPENDENCIA SEVERA</t>
  </si>
  <si>
    <t>PF1498</t>
  </si>
  <si>
    <t>CONVOCATORIA CERRADA</t>
  </si>
  <si>
    <t>76651820-6</t>
  </si>
  <si>
    <t>CORP DE CAPACITACION Y EMPLEO DE SOC DE FOMENTO FABRIL</t>
  </si>
  <si>
    <t>ASISTENCIA EN EL MANTENIMIENTO ELÉCTRICO DE BAJA TENSIÓN</t>
  </si>
  <si>
    <t>PF0638</t>
  </si>
  <si>
    <t>ESTUDIANTES DE CUARTO AÑO DE ENSEÑANZA MEDIA O DE LICEOS TÉCNICOS PROFESIONALES.</t>
  </si>
  <si>
    <t>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t>
  </si>
  <si>
    <t>HOMBRE Y MUJERES DE 18 AÑOS, ALUMNOS DE CUARTO AÑO MEDIO DE LOS DISTINTOS LICEOS TECNICO PROFESIONALES DE LA CIUDAD DE SANTIAGO QUE SON ADMINISTRADOS POR CORPORACION SOFOFA</t>
  </si>
  <si>
    <t>MECÁNICA AUTOMOTRIZ ELECTROMECÁNICA</t>
  </si>
  <si>
    <t>PF0585</t>
  </si>
  <si>
    <t>MOVILIZADOR DE CARGA</t>
  </si>
  <si>
    <t>PF0739</t>
  </si>
  <si>
    <t>PROCESOS LOGÍSTICOS EN BODEGAS, CENTROS DE DISTRIBUCIÓN Y CENTROS DE TRANSFERENCIA</t>
  </si>
  <si>
    <t>PF1444</t>
  </si>
  <si>
    <t>CONTROL DE CALIDAD EN LA INDUSTRIA ALIMENTARIA</t>
  </si>
  <si>
    <t>- Aplicar normas del Reglamento Sanitario de los Alimentos (RSA) y la Ley 20.606 sobre
etiquetado nutricional.
- Reconocer y aplicar Buenas Prácticas de Manufactura (BPM) en procesos productivos
alimentarios.
- Implementar principios del sistema HACCP para el control de peligros alimentarios.
- Manejar herramientas e instrumentos de medición para evaluación sensorial,
fisicoquímica y microbiológica básica.
- Interpretar y registrar resultados de control de calidad, reportando no conformidades
según protocolos establecidos.
- Aplicar criterios de auditoría y trazabilidad conforme a estándares ISO 22000 y BRC Food.</t>
  </si>
  <si>
    <t>HOMBRES Y MUJERES, ESTUDIANTES DE CUARTO AÑO MEDIO DE LICEOS TECNICO PROFESIONAL DE LA COMUNA DE SANTIAGOL, CON ENSEÑANZA MEDIA COMPLETA PREFERENTEMENTE</t>
  </si>
  <si>
    <t>INTEGRACIÓN DE COMPETENCIAS ESPECIALIZADAS DE PRODUCCIÓN LECHERA, EN LA FORMACIÓN DE TÉCNICOS AGROPECUARIOS.</t>
  </si>
  <si>
    <t>FRESIA</t>
  </si>
  <si>
    <t>10. JUEVES - MAÑANA</t>
  </si>
  <si>
    <t>"1.-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t>
  </si>
  <si>
    <t>PUYEHUE</t>
  </si>
  <si>
    <t>04. MARTES - MAÑANA</t>
  </si>
  <si>
    <t>07. MIÉRCOLES - MAÑANA</t>
  </si>
  <si>
    <t>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t>
  </si>
  <si>
    <t>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t>
  </si>
  <si>
    <t>OPERACIONES DE CARGA FRONTAL</t>
  </si>
  <si>
    <t>PF0795</t>
  </si>
  <si>
    <t>EMPRENDEDORES/AS INFORMALES O PERSONAS VULNERABLES PERTENECIENTES AL 80% MAS VULNERABLE</t>
  </si>
  <si>
    <t>HOMBRES Y MUJERES DE 18 AÑOS O MAS, AGRESADOS DE LA EDUCACIÓN MEDIA, QUE ESTUDIERON EN LICEOS TECNICO PROFESIONALES DE LA COMUNA DE RENCA O RESIDAN EN DICHA COMUNA, CON ESPECIALIDAD EN TEMATICAS ASOCIADAS A LOGISTICA Y QUE TENGAN EDUCACION MEDIA COMPLETA.</t>
  </si>
  <si>
    <t>corporación Nueva Ciaspo</t>
  </si>
  <si>
    <t>CENTRO DE FORMACIÓN TECNICA PRODATA LTDA</t>
  </si>
  <si>
    <t>CENTRO DE CAPACITACIÓN TÉCNICA Y ESTUDIOS FEI LIMITADA</t>
  </si>
  <si>
    <t>77681176-9</t>
  </si>
  <si>
    <t>CENTRO DE CAPACITACIÓN EMPRESARIAL SPA</t>
  </si>
  <si>
    <t>77030281-1</t>
  </si>
  <si>
    <t>Vision Capacitacion Ltda</t>
  </si>
  <si>
    <t>76473790-3</t>
  </si>
  <si>
    <t>Servicios de Capacitación y Formación Profesional Ltda.</t>
  </si>
  <si>
    <t>INSTITUTO DE CALIDAD Y MEDIOAMBIENTE DE CHILE IGNACIO JAVIER CARO AGUILERA E.I.R.L</t>
  </si>
  <si>
    <t>FUNDACION DE CAPACITACION PARA EL BUEN TRABAJO</t>
  </si>
  <si>
    <t>SOCIEDAD OTC CAPACITACIÓN LTDA</t>
  </si>
  <si>
    <t>Servicios de Capacitación Kavas SpA</t>
  </si>
  <si>
    <t>78122194-5</t>
  </si>
  <si>
    <t>Sociedad de capacitación y asesorías varias</t>
  </si>
  <si>
    <t>77172955-K</t>
  </si>
  <si>
    <t>IRV CAPACITA SPA</t>
  </si>
  <si>
    <t>Pamela Vera Mauricio Cea y Cia Ltda</t>
  </si>
  <si>
    <t>Instituto profesional de capacitacion y perfeccionamiento laboral Ltda.</t>
  </si>
  <si>
    <t>76151025-8</t>
  </si>
  <si>
    <t>Centro de Capacitacion Profesional Proyecto Creces SpA</t>
  </si>
  <si>
    <t>78107238-9</t>
  </si>
  <si>
    <t>Conceptual SpA</t>
  </si>
  <si>
    <t>Véliz, Núñez y Cía. Ltda.</t>
  </si>
  <si>
    <t>AUSO CAPACITACIONES SPA</t>
  </si>
  <si>
    <t>77476826-2</t>
  </si>
  <si>
    <t>OTEC CRECIENDO CON IDENTIDAD SPA</t>
  </si>
  <si>
    <t>76826771-5</t>
  </si>
  <si>
    <t>EL CONQUISTADOR LIMITADA</t>
  </si>
  <si>
    <t>NAEDU LTDA</t>
  </si>
  <si>
    <t>77703557-6</t>
  </si>
  <si>
    <t>LA ESPERANZA SPA</t>
  </si>
  <si>
    <t>TEMPUS CONSULTORES LTDA</t>
  </si>
  <si>
    <t>CAPACITACIONES INNOVA PYMES LTDA</t>
  </si>
  <si>
    <t>OTEC  CFT LAPLACE</t>
  </si>
  <si>
    <t>78346080-7</t>
  </si>
  <si>
    <t>Institucion de Capacitacion DECIN Spa</t>
  </si>
  <si>
    <t>76998987-0</t>
  </si>
  <si>
    <t>Soc. Coresol de Capacitación Ltda.</t>
  </si>
  <si>
    <t>ISOLUTION CAPACITACION EN GESTION LILITADA</t>
  </si>
  <si>
    <t>COMPUNET CAPACITACIÓN SPA</t>
  </si>
  <si>
    <t>77847253-8</t>
  </si>
  <si>
    <t>Edudown capacitaciones spa</t>
  </si>
  <si>
    <t>77825617-7</t>
  </si>
  <si>
    <t>Corporación de capacitación Comunidad Vínculos</t>
  </si>
  <si>
    <t>65133614-7</t>
  </si>
  <si>
    <t>MINERVA MINDSET CAPACITACIONES SPA</t>
  </si>
  <si>
    <t>78012362-1</t>
  </si>
  <si>
    <t>CRUZ DE LOS ANDES SA</t>
  </si>
  <si>
    <t>ID Capacitación Ltda.</t>
  </si>
  <si>
    <t>76014819-9</t>
  </si>
  <si>
    <t>OTEC CECADES Y CIA LTDA</t>
  </si>
  <si>
    <t>CAPACITACION INTEGRAL LTDA</t>
  </si>
  <si>
    <t>INIA Educa SpA</t>
  </si>
  <si>
    <t>76145675-K</t>
  </si>
  <si>
    <t>INSTITUTO ISEG SPA.</t>
  </si>
  <si>
    <t>77490687-8</t>
  </si>
  <si>
    <t>SERVICIOS DE CAPACITACIÓN COGNOSONLINE SpA</t>
  </si>
  <si>
    <t>77042533-6</t>
  </si>
  <si>
    <t>SOCIEDAD INTELEKTAS CAPACITACIONES LIMITADA</t>
  </si>
  <si>
    <t>PROMUEVE SPA</t>
  </si>
  <si>
    <t>78008942-3</t>
  </si>
  <si>
    <t>SOCIEDAD DE CAPACITACIÓN LTDA</t>
  </si>
  <si>
    <t>Sociedad para la Gestión y Desarrollo de la Capacitación Limitada</t>
  </si>
  <si>
    <t>Centro de Formación y Capacitación Limitada</t>
  </si>
  <si>
    <t>Centro de Capacitación Inforcap SPA</t>
  </si>
  <si>
    <t>Centro de Capacitación Lechero del Sur</t>
  </si>
  <si>
    <t>76962968-8</t>
  </si>
  <si>
    <t>Sociedad de Educación y Capacitación Limitada</t>
  </si>
  <si>
    <t>OTEC GEMA CHILE SpA</t>
  </si>
  <si>
    <t>77921968-2</t>
  </si>
  <si>
    <t>Fundacion capacitacion y futuro</t>
  </si>
  <si>
    <t>65089867-2</t>
  </si>
  <si>
    <t>Centro de Investigación para el Desarrollo y Capacitación Limitada</t>
  </si>
  <si>
    <t>Fundaciòn Forpe Chile</t>
  </si>
  <si>
    <t>MOLINA &amp; DIAZ SERVICIOS DE CAPACITACIÓN LIMITADA</t>
  </si>
  <si>
    <t>76291821-8</t>
  </si>
  <si>
    <t>PONTIFICIA UNIVERSIDAD CATOLICA DE VALPARAISO</t>
  </si>
  <si>
    <t>INGENIERIA DE FORMACION EN CAPACITACION LABORAL SOLANES Y SAPIAIN</t>
  </si>
  <si>
    <t>77823470-k</t>
  </si>
  <si>
    <t>Lilian Rosario Rivas Avila Capacitación en el Trabajo EIRL</t>
  </si>
  <si>
    <t>ORO VERDE CAPACITACION LTDA</t>
  </si>
  <si>
    <t>Otec Capacita San Joaquín</t>
  </si>
  <si>
    <t>Centro de Estudios Capacitacion Laboral Ltda.</t>
  </si>
  <si>
    <t>Centro de Formación de Competencias Laborales SpA</t>
  </si>
  <si>
    <t>Sociedad de Capacitación Capacita Spa.</t>
  </si>
  <si>
    <t>Centro Avanzado de Entrenamiento y Capacitación Ltda</t>
  </si>
  <si>
    <t>workmed capacitaciones SPa</t>
  </si>
  <si>
    <t>77865316-8</t>
  </si>
  <si>
    <t>GESTCAP CHILE LTDA</t>
  </si>
  <si>
    <t>Fundación de Capacitación Afodegama</t>
  </si>
  <si>
    <t>Capacitacion Ríos y Huilipán Compañia Limitada</t>
  </si>
  <si>
    <t>76171691-3</t>
  </si>
  <si>
    <t>Laborem S.A</t>
  </si>
  <si>
    <t>FUNDACION INFOCAP JOVENES</t>
  </si>
  <si>
    <t>CENTRO DE FORMACION Y CAPACITACION PROFESIONAL SPA</t>
  </si>
  <si>
    <t>77086577-8</t>
  </si>
  <si>
    <t>Blase Pascal Capacitación Limitada</t>
  </si>
  <si>
    <t>SERVICIOS DE CAPACITACION SERCONT CHILE LIMITADA</t>
  </si>
  <si>
    <t>asociación de capacitación juvenil boreal</t>
  </si>
  <si>
    <t>Innovación y Desarrollo  Organizacional Capacitación Ltda.</t>
  </si>
  <si>
    <t>76191207-0</t>
  </si>
  <si>
    <t>Actitud Chile Formación Ltda</t>
  </si>
  <si>
    <t>INFOLAND CAPACITACION LIMITADA</t>
  </si>
  <si>
    <t>CENTRO TECNICO INDURA LIMITADA</t>
  </si>
  <si>
    <t>orgaizacion tecnica de capacitación ortecap jerez e hijos y compañia limitada</t>
  </si>
  <si>
    <t>SOCIEDAD MULTIMUNDO CAPACITACION LIMITADA</t>
  </si>
  <si>
    <t>CAPACITACIONES SINAPSIS SPA</t>
  </si>
  <si>
    <t>77153644-1</t>
  </si>
  <si>
    <t>ARENAS Y URETA CAPACITACIONES LTDA</t>
  </si>
  <si>
    <t>ADALID INMARK SERVICIOS DE CAPACITACIÓN LIMITADA</t>
  </si>
  <si>
    <t>FUNDACION HISPANO CHILENA ADALID DE FORMACION TECNICA PARA EL DESARROLLO DEL CONOCIMIENTO</t>
  </si>
  <si>
    <t>OTEC BRITO PRADENAS ASESORIA Y CAPACITACION LIMITADA</t>
  </si>
  <si>
    <t>Aspasia servicios de formación de personas limitada</t>
  </si>
  <si>
    <t>SERVICIOS DE CAPACITACION PARA EL DESARROLLO SOCIAL LTDA.</t>
  </si>
  <si>
    <t>76326847-0</t>
  </si>
  <si>
    <t>Capacitacion Play Comp Ltda</t>
  </si>
  <si>
    <t>CAPACITACIÓN SOFO LTDA</t>
  </si>
  <si>
    <t>76562600-5</t>
  </si>
  <si>
    <t>ORGANISMO TÉCNICO DE CAPACITACIÓN  JUVENA LTDA</t>
  </si>
  <si>
    <t>Centro de Estudios Regionales y de Capacitación Ltda.</t>
  </si>
  <si>
    <t>76018710-0</t>
  </si>
  <si>
    <t>ORGANISMO TECNICO DE CAPACITACION GUILLEN MACIAS HERMANOS LIMITADA</t>
  </si>
  <si>
    <t>77476528-k</t>
  </si>
  <si>
    <t>Formación y Capacitación Descubreme SpA</t>
  </si>
  <si>
    <t>Servicios de Capacitación Caitec S.A.</t>
  </si>
  <si>
    <t>Servicio de capacitación y formación de personas TEKNÉ SpA</t>
  </si>
  <si>
    <t>cade capacitacion y desarrollo empresarial e.i.r.l</t>
  </si>
  <si>
    <t>jennt alvarez gonzalezE.I.R.L</t>
  </si>
  <si>
    <t>P &amp; M CAPACITA SPA</t>
  </si>
  <si>
    <t>77924933-6</t>
  </si>
  <si>
    <t>servicio de capacitacion urbanotec spa</t>
  </si>
  <si>
    <t>CENTRO DE ESTUDIOS Y CAPACITACION SER MAS LTDA.</t>
  </si>
  <si>
    <t>MONGETUN CAPACITACIONES SpA</t>
  </si>
  <si>
    <t>78008177-5</t>
  </si>
  <si>
    <t>INSTITUTO PARA EL TRABAJO DE EMPRESAS LTDA,</t>
  </si>
  <si>
    <t>79676750-2</t>
  </si>
  <si>
    <t>Mutual de Seguridad Capacitación S.a.</t>
  </si>
  <si>
    <t>76410180-4</t>
  </si>
  <si>
    <t>Numeral 6.1.1. ítem 4 Valor que presenta en el Resumen de la Propuesta no corresponde a la sumatoria de los cursos.</t>
  </si>
  <si>
    <t>Numeral 6.1.1. ítem 5 - Presenta certificado de vigencia de la personalidad jurídica, fuera de plazo
Nuemral 6.1.1. ítem 6 - Presenta Certificado de vigencia de la personería del Representante Legal, fuera de plazo.</t>
  </si>
  <si>
    <t>Numeral 6.1.1. ítem 2 - No presenta Anexo 5
Numeral 6.1.1. ítem 3 - No presenta la documentación dentro del plazo
Numeral 6.1.1. ítem 4 - No presenta Anexo 6
Numeral 6.1.1. ítem 5 - No presenta certificado de vigencia de la personalidad jurídica. 
Numeral 6.1.1. ítem 6 - No presenta certificado de vigencia de la personería del Representante Legal
Numeral 6.1.1. ítem 7 - Propuesta no fue presentada en el medio en que el Otic indicó en Anexo 1</t>
  </si>
  <si>
    <t>65181652-1</t>
  </si>
  <si>
    <t>65140022-8</t>
  </si>
  <si>
    <t>FUTURO DEL TRABAJO</t>
  </si>
  <si>
    <t>LICENCIA DE CONDUCIR CLASE D</t>
  </si>
  <si>
    <t>CORPORACION DE CAPACITACION Y EMPLEO SOFOFA (LICEOS)</t>
  </si>
  <si>
    <t>53333861-5</t>
  </si>
  <si>
    <t>FUNDACIÓN DE BENEFICENCIA PÚBLICA, CIENTÍFICA Y EDUCACIONAL TRES HOJAS</t>
  </si>
  <si>
    <t>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t>
  </si>
  <si>
    <t>JÓVENES DE IV° MEDIO DE LICEO BICENTENARIO PEOPLE HELP PEOPLE PILMAIQUÉN (PUYEHUE). ENTRE LOS REQUISITOS QUE DEBEN TENER LOS OTEC PARA PODER POSTULAR:
1 - Sala de simulación de partos con modelo a escala real de hembra bovina para partos distócicos.
2 - Acceso a predios lecheros y salas de ordeña.
3 - Acceso a predios que implementen agricultura regenerativa</t>
  </si>
  <si>
    <t>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t>
  </si>
  <si>
    <t>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t>
  </si>
  <si>
    <t>ALVARO CARLOS</t>
  </si>
  <si>
    <t>a.avila@innovapymes.org</t>
  </si>
  <si>
    <t>Montevideo 2550, Renca</t>
  </si>
  <si>
    <t>Capacitar al participante para organizar, ejecutar y controlar actividades de movilización y distribución de cargas, aplicando normas de seguridad y procedimientos administrativos en entornos portuarios o industriales.</t>
  </si>
  <si>
    <t>Este curso entrega conocimientos técnicos y prácticos para movilizar cargas de forma segura y eficiente, incluyendo el uso de equipos de izaje, señalética manual, documentación de faena y evaluación del rendimiento operativo del turno</t>
  </si>
  <si>
    <t>NUMERAL 6.1.2. ÍTEM 7 - EL OFERENTE NO PRESENTA LA ESTRUCTURA DE COSTOS PARA EL CURSO (ANEXO N° 3).</t>
  </si>
  <si>
    <t>Osvaldo Sotomayor Baeza</t>
  </si>
  <si>
    <t>gerencia@caitec.cl</t>
  </si>
  <si>
    <t>Avenida La hacienda N° 1589, Renca</t>
  </si>
  <si>
    <t>NUMERAL 6.1.2. ÍTEM 6 - ERROR VALOR TOTAL DEL CURSO; OTEC ESTÁ CONSIDERANDO SUBSIDIO DE CUIDADO EN ANEXO 3, CUANDO NO ESTÁ CONTEMPLADO.</t>
  </si>
  <si>
    <t>Marcela Guerrero Rojas</t>
  </si>
  <si>
    <t>mliriag@gmail.com</t>
  </si>
  <si>
    <t>Dieciocho 182, Santiago</t>
  </si>
  <si>
    <t>Formar conductores responsables y seguros, capaces de operar vehículos motorizados livianos bajo normativa vigente, aplicando técnicas de conducción preventiva y respetando las reglas del tránsito</t>
  </si>
  <si>
    <t>Este curso entrega conocimientos teóricos, prácticos y psicométricos para obtener la Licencia Clase B, incluyendo normativa vial, señalética, mecánica básica, conducción defensiva y evaluación de habilidades psicofísicas.</t>
  </si>
  <si>
    <t>CLAUDIA NUÑEZ</t>
  </si>
  <si>
    <t>CLAUDIA.NUNEZ@AUSOCAPACITACIONES.CL</t>
  </si>
  <si>
    <t>DOMINGO SANTA MARÍA # 392, Renca</t>
  </si>
  <si>
    <t>Pia fuentes corcoran</t>
  </si>
  <si>
    <t>pfuentescorcoran@gmail.com</t>
  </si>
  <si>
    <t>PROVENIR #458, COMUNA DE SANTIAGO, Santiago</t>
  </si>
  <si>
    <t>SALA DE CLASES: AVENIDA VENTISQUERO 1225, BODEGA 75, COMUNA DE RENCA TALLER: AV. PDTE. EDUARDO FREI, Renca</t>
  </si>
  <si>
    <t>Capacitar al participante en la operación segura y eficiente de cargadores frontales, aplicando procedimientos técnicos, normas de seguridad y criterios de mantenimiento preventivo en contextos de construcción, minería o logística.</t>
  </si>
  <si>
    <t>Este curso entrega conocimientos prácticos sobre el manejo de cargadores frontales, incluyendo inspección preoperacional, técnicas de carguío, uso de controles, prevención de riesgos y mantenimiento básico del equipo, conforme a normativa vigente y condiciones operativas del entorno</t>
  </si>
  <si>
    <t>"SALA DE CLASES: AVENIDA VENTISQUERO 1225, BODEGA 75, COMUNA DE RENCA TALLER: AV. PDTE. EDUARDO FREI, Renca</t>
  </si>
  <si>
    <t>ALEJANDRA HUANCHICAY</t>
  </si>
  <si>
    <t>becaslaborales@cade.cl</t>
  </si>
  <si>
    <t>Blanco Encalada Nº 1335, Renca</t>
  </si>
  <si>
    <t>GUILLERMO</t>
  </si>
  <si>
    <t>ggonzalez@isolution.cl</t>
  </si>
  <si>
    <t>LOS GERANIOS #3203, Renca</t>
  </si>
  <si>
    <t>SANDRA VIDAL JIMENES</t>
  </si>
  <si>
    <t>CONTACTO@CCLS.CL</t>
  </si>
  <si>
    <t>Ruta Internacional CH215, km 43 S/N – Puyehue, Puyehue</t>
  </si>
  <si>
    <t>Fortalecer las competencias técnicas de estudiantes agropecuarios en producción lechera, mediante la integración de conocimientos especializados, prácticas sustentables y bienestar animal, para mejorar su empleabilidad en el sector lácteo.</t>
  </si>
  <si>
    <t>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t>
  </si>
  <si>
    <t>Camino a Mision Quilacahuin, Liceo Quilacahuin San Pablo, Los Lagos, San Pablo</t>
  </si>
  <si>
    <t>Av. René Soriano 2615, Osorno, Los Lagos, Osorno</t>
  </si>
  <si>
    <t>Bernardo Ohiggins 210, DE LOS LAGOS, FRESIA, Fresia</t>
  </si>
  <si>
    <t>EMILY RODRIGUEZ</t>
  </si>
  <si>
    <t>ERODRIGUEZ@institutoasiste.cl</t>
  </si>
  <si>
    <t>PASAJE VIRGINIO ARIAS 1926, Renca</t>
  </si>
  <si>
    <t>Capacitar al participante para asistir en tareas de mantenimiento eléctrico de baja tensión, aplicando procedimientos técnicos, normas de seguridad y uso adecuado de herramientas, bajo supervisión especializada.</t>
  </si>
  <si>
    <t>Este curso entrega conocimientos básicos para apoyar labores de mantenimiento preventivo y correctivo en instalaciones eléctricas de baja tensión. Incluye identificación de componentes, uso de instrumentos de medición, aplicación de protocolos de seguridad y asistencia en inspecciones, limpieza y reparación de equipos eléctricos.</t>
  </si>
  <si>
    <t>Formar técnicos capacitados en el diagnóstico, mantenimiento y reparación de sistemas electromecánicos de vehículos automotrices, integrando conocimientos de mecánica, electricidad y electrónica bajo estándares de seguridad, calidad y sustentabilidad.</t>
  </si>
  <si>
    <t>Este curso entrega competencias para intervenir sistemas de propulsión, eléctricos, electrónicos y de confort de vehículos livianos y pesados. Incluye diagnóstico computarizado, mantenimiento preventivo y correctivo, gestión de servicio técnico y aplicación de normativas vigentes en electromovilidad y mecánica automotriz</t>
  </si>
  <si>
    <t>José Beniscelli</t>
  </si>
  <si>
    <t>jbeniscelli@cenfor.cl</t>
  </si>
  <si>
    <t>Av. Miraflore 8414, Renca</t>
  </si>
  <si>
    <t>ESTEBAN VEGA TORO</t>
  </si>
  <si>
    <t>contacto@forpe.cl</t>
  </si>
  <si>
    <t>Padre Miguel de Olivares 1324, Santiago</t>
  </si>
  <si>
    <t>Capacitar al participante en la aplicación de procedimientos de control de calidad en la industria alimentaria, asegurando la inocuidad, trazabilidad y cumplimiento de estándares técnicos y normativos en cada etapa del proceso productivo.</t>
  </si>
  <si>
    <t>Este curso entrega herramientas para implementar controles de calidad en alimentos, desde la recepción de materias primas hasta el producto final. Incluye análisis microbiológicos, físicos y sensoriales, gestión de riesgos, buenas prácticas de manufactura y trazabilidad en procesos alimentarios.</t>
  </si>
  <si>
    <t>Vicuña Makena 1020, Renca</t>
  </si>
  <si>
    <t>Capacitar al participante en la gestión eficiente de procesos logísticos en bodegas, centros de distribución y centros de transferencia, aplicando técnicas de almacenamiento, manejo de inventarios y control operativo conforme a estándares de calidad y seguridad.</t>
  </si>
  <si>
    <t>Este curso entrega conocimientos prácticos sobre recepción, almacenamiento, preparación de pedidos y despacho de mercancías. Aborda el diseño de layout, flujo de materiales, optimización de espacios, rotación de inventarios y buenas prácticas logísticas para mejorar la eficiencia operativa en distintos tipos de instalaciones.</t>
  </si>
  <si>
    <t>Capacitar al participante en la aplicación de técnicas de soldadura por Oxigás, Arco Voltaico, TIG y MIG sobre piezas metálicas, cumpliendo con normas de seguridad, calidad y procedimientos operativos del sector metalmecánico.</t>
  </si>
  <si>
    <t>Este curso entrega conocimientos prácticos para ejecutar soldaduras en distintos procesos y posiciones, utilizando equipos adecuados y aplicando normas de higiene, seguridad y calidad. Incluye preparación de superficies, configuración de parámetros, ejecución de cordones y registro de procedimientos técnicos.</t>
  </si>
  <si>
    <t>Marianela Núñez Véliz</t>
  </si>
  <si>
    <t>surorienteemprende@gmail.com</t>
  </si>
  <si>
    <t>Las Margaritas 3875, Renca</t>
  </si>
  <si>
    <t>Pedro Lagos 1414, Santiago</t>
  </si>
  <si>
    <t>NUMERAL 6.1.2. ÍTEM 6 - ERROR EN ESTRUCTURA DE COSTOS (ÍTEM F, H, J, K, M Y N)</t>
  </si>
  <si>
    <t>Juan Landaeta</t>
  </si>
  <si>
    <t>jlandaeta@capchile.cl</t>
  </si>
  <si>
    <t>Pilmaiquén S/N, San Pablo</t>
  </si>
  <si>
    <t>Patricio Lynch 1866, Osorno</t>
  </si>
  <si>
    <t>Circunvalación 401, Fresia</t>
  </si>
  <si>
    <t>Jorge Aranguiz</t>
  </si>
  <si>
    <t>jaranguiz@otc.cl</t>
  </si>
  <si>
    <t>PASAJE LANCO 4862, Renca</t>
  </si>
  <si>
    <t>JUDITH TORO</t>
  </si>
  <si>
    <t>judith.toro@icmchile.cl</t>
  </si>
  <si>
    <t>La Marquesita 3962, Renca</t>
  </si>
  <si>
    <t>Viviana Díaz Salazar</t>
  </si>
  <si>
    <t>DIAZSAVC@airproducts.com</t>
  </si>
  <si>
    <t>Por confirmar, Renca</t>
  </si>
  <si>
    <t>EDUARDO VASQUEZ</t>
  </si>
  <si>
    <t>naedultda@gmail.com</t>
  </si>
  <si>
    <t>San Francisco 126,, Fresia</t>
  </si>
  <si>
    <t>PARRAL 1398, Osorno</t>
  </si>
  <si>
    <t>COLON, San Pablo</t>
  </si>
  <si>
    <t>Lilian Rosario Rivas Avila</t>
  </si>
  <si>
    <t>vanguardiaotec@gmail.com</t>
  </si>
  <si>
    <t>avenida padre alonso de Ovalle 1638, Santiago</t>
  </si>
  <si>
    <t>CAROLINA ANDREA GONZALEZ MIRANDA</t>
  </si>
  <si>
    <t>c.gonzalez.miranda8@gmail.com</t>
  </si>
  <si>
    <t>El Jardín S/N, Fresia, Fresia</t>
  </si>
  <si>
    <t>Amengual 585, Osorno, Osorno</t>
  </si>
  <si>
    <t>Entre Lagos S/N, Puyehue, Puyehue</t>
  </si>
  <si>
    <t>NUMERAL 6.1.2. ÍTEM 1 - NO ADJUNTA ANEXO DE PROPUESTA PARA EL CURSO 14389.</t>
  </si>
  <si>
    <t>Elizabeth Sepúlveda Moya</t>
  </si>
  <si>
    <t>otec.tekne@gmail.com</t>
  </si>
  <si>
    <t>LA HACIENDA 1549, Renca</t>
  </si>
  <si>
    <t>NUMERAL 6.1.2. ÍTEM 11: NO PRESENTA FOTOS QUE ACREDITEN LAS CARACTERISTICAS DESCRITAS EN LA PROPUESTA</t>
  </si>
  <si>
    <t>Luis Alejandro Pizarro Mora</t>
  </si>
  <si>
    <t>alejandro@idconsulting.cl</t>
  </si>
  <si>
    <t>Av. Domingo Sta. María 2704, Renca</t>
  </si>
  <si>
    <t>ALEJANDRA GALLARDO</t>
  </si>
  <si>
    <t>borealicitaciones@gmail.com</t>
  </si>
  <si>
    <t>Mín. de VALOR HORA ALUMNO CAPACITACIÓN</t>
  </si>
  <si>
    <t xml:space="preserve">PPTO </t>
  </si>
  <si>
    <t>AÑO REQUERIMIENTO</t>
  </si>
  <si>
    <t>CODIGODELCURSO(PLANFORMATIVO1)</t>
  </si>
  <si>
    <t>VALOR TOTAL SUBISIDO</t>
  </si>
  <si>
    <t>29. NOMBRE DE LA EMPRESA APORTANTE</t>
  </si>
  <si>
    <t>30. RUT DE LA EMPRESA APORTANTE</t>
  </si>
  <si>
    <t>31. NOMBRE DE LA ENTIDAD BENEFICIARIA</t>
  </si>
  <si>
    <t>32. RUT DE LA ENTIDAD BENEFICIARIA O REGISTRO</t>
  </si>
  <si>
    <t>FONDOS REGIONALES</t>
  </si>
  <si>
    <t>SERVICIO NACIONAL DE CAPACITACION Y EMPLEO</t>
  </si>
  <si>
    <t>SAN PEDRO DE LA PAZ</t>
  </si>
  <si>
    <t>TRABAJADORES INSCRITOS EN REGISTROS ESPECIALES (PESCADORES, FERIANTES, TAXIS Y COLECTIVOS, U OTROS ANÁLOGOS)</t>
  </si>
  <si>
    <t>MUJERES Y HOMBRES PERTENECIENTES A LA ASOCIACIÓN DE FERIANTES DE 18 AÑOS O MÁS.   EDUCACIÓN BÁSICA COMPLETA, PREFERENTEMENTE; NIVEL DE MANEJO COMPUTACIONAL BÁSICO (O NIVEL USUARIO),</t>
  </si>
  <si>
    <t>PERSONAS DE 18 AÑOS O MÁS EN SITUACIÓN DE DISCAPACIDAD</t>
  </si>
  <si>
    <t>MUJERES Y HOMBRES MAYORES DE 18 AÑOS, CON DISCAPACIDAD VISUAL DE LA PROVINCIA DE CONCEPCIÓN.  QUE CUENTEN CON EDUCACIÓN MEDIA COMPLETA, PREFERENTEMENTE.</t>
  </si>
  <si>
    <t>PERSONAS DESOCUPADAS (CESANTES Y PERSONAS QUE BUSCAN TRABAJO POR PRIMERA VEZ)</t>
  </si>
  <si>
    <t>MUJERES Y HOMBRES MAYORES DE 18 AÑOS, DESOCUPADOS DE LA ISLA SANTA MARIA.  QUE CUENTEN CON EDUCACIÓN MEDIA COMPLETA, PREFERENTEMENTE.</t>
  </si>
  <si>
    <t>MUJERES Y HOMBRES MAYORES DE 18 AÑOS, DESOCUPADOS DE LA ISLA SANTA MARIA.  QUE CUENTEN CON EDUCACIÓN BÁSICA COMPLETA, PREFERENTEMENTE; NIVEL DE MANEJO COMPUTACIONAL BÁSICO (O NIVEL USUARIO),</t>
  </si>
  <si>
    <t>MUJERES Y HOMBRES PERTENECIENTES A LA ASOCIACIÓN INDIGENA ANTU AYELEN DE 18 AÑOS O MÁS CON EDUCACIÓN MEDIA COMPLETA, PREFERENTEMENTE.</t>
  </si>
  <si>
    <t>ARAUCO</t>
  </si>
  <si>
    <t>MUJERES Y HOMBRES PERTENECIENTES A LA AGRUPACIÓN DE LOCATARIOS DEL MERCADO MUNICIPAL DE 18 AÑOS O MÁS.   EDUCACIÓN BÁSICA COMPLETA, PREFERENTEMENTE; NIVEL DE MANEJO COMPUTACIONAL BÁSICO (O NIVEL USUARIO),
PREFERENTEMENTE.</t>
  </si>
  <si>
    <t>ALTO BIOBÍO</t>
  </si>
  <si>
    <t>HOMBRES Y MUJERES, MAYORES DE 18 AÑOS, PERTENECIENTES A PUEBLOS ORIGINARIOS DE LA COMUNA DE ALTO BIOBÍO, DESOCUPADOS. QUE CUENTEN CON EDUCACIÓN BÁSICA COMPLETA, PREFERENTEMENTE.</t>
  </si>
  <si>
    <t>LABORES DE CARPINTERÍA DE OBRA GRUESA BÁSICA</t>
  </si>
  <si>
    <t>PF1566</t>
  </si>
  <si>
    <t>HOMBRES Y MUJERES, MAYORES DE 18 AÑOS, PERTENECIENTES A PUEBLOS ORIGINARIOS DE LA COMUNA DE ALTO BIOBÍO, DESOCUPADOS. QUE CUENTEN CON EDUCACIÓN MEDIA COMPLETA, PREFERENTEMENTE</t>
  </si>
  <si>
    <t>FONDO INDUSTRIAL</t>
  </si>
  <si>
    <t>DESARROLLO DEL TRABAJO COLABORATIVO  / ORIENTACIONES GENERALES SOBRE EL ENFOQUE DE GÉNERO</t>
  </si>
  <si>
    <t>PF0918 / PF1473</t>
  </si>
  <si>
    <t>PERSONAS DE 18 AÑOS O MÁS PERTENECIENTES AL 80 % MÁS VULNERABLE</t>
  </si>
  <si>
    <t xml:space="preserve">MUJERES Y HOMBRES  PERTENECIENTES AL 80 % MÁS  VULNERABLE DE ACUERDO AL RSH,  ENTRE 18 Y 65 AÑOS DE EDAD, QUE CUENTEN CON EDUCACION BÁSICA COMPLETA DE PREFERENCIA, NOCIONES BASICAS DE OPERACIONES MATEMATICAS. PERSONAS QUE SERÁN DERIVADAS POR LA OMIL DE RENCA Y QUE REQUIEREN CAPACITARSE EN "TÉCNICAS DE SOLDADURA POR OXIGAS, ARCO VOLTAICO, TIG Y MIG", EN BENEFICIO DE GENERAR INGRESOS PARA SUS FAMILIAS. </t>
  </si>
  <si>
    <t xml:space="preserve">MUJERES Y HOMBRES  PERTENECIENTES AL 80 % MÁS  VULNERABLE DE ACUERDO AL RSH,  ENTRE 18 Y 65 AÑOS DE EDAD, QUE CUENTEN CON EDUCACIÓN BÁSICA COMPLETA DE PREFERENCIA, NOCIONES BÁSICAS DE OPERACIONES MATEMÁTICAS. PERSONAS QUE SERÁN DERIVADAS POR LA OMIL DE PUERTO MONTT Y QUE REQUIEREN CAPACITARSE EN "TÉCNICAS DE SOLDADURA POR OXIGAS, ARCO VOLTAICO, TIG Y MIG", EN BENEFICIO DE GENERAR INGRESOS PARA SUS FAMILIAS. </t>
  </si>
  <si>
    <t xml:space="preserve">MUJERES Y HOMBRES  PERTENECIENTES AL 80 % MÁS  VULNERABLE DE ACUERDO AL RSH,  ENTRE 18 Y 65 AÑOS DE EDAD, QUE CUENTEN CON EDUCACION BÁSICA COMPLETA DE PREFERENCIA, NOCIONES BASICAS DE OPERACIONES MATEMATICAS. PERSONAS QUE SERÁN DERIVADAS POR LA OMIL DE TALCAHUANO Y QUE REQUIEREN CAPACITARSE EN "TÉCNICAS DE SOLDADURA POR OXIGAS, ARCO VOLTAICO, TIG Y MIG", EN BENEFICIO DE GENERAR INGRESOS PARA SUS FAMILIAS. </t>
  </si>
  <si>
    <t>53334038-5</t>
  </si>
  <si>
    <t>CAMACOES</t>
  </si>
  <si>
    <t>PERSONAS VULNERABLES PERTENECIENTES AL 80 % MÁS VULNERABLE</t>
  </si>
  <si>
    <t>EDUCACIÓN BÁSICA COMPLETA, DE PREFERENCIA; NOCIONES BÁSICAS DE OPERACIONES MATEMÁTICAS (SUMA, RESTA,
MULTIPLICACIÓN, DIVISIÓN).</t>
  </si>
  <si>
    <t>CONVOCATORIA ABIERTA</t>
  </si>
  <si>
    <t>VICTORIA</t>
  </si>
  <si>
    <t>RENAICO</t>
  </si>
  <si>
    <t>PERSONAS CON 18 AÑOS CUMPLIDOS, DESEMPLEADOS, HOMBRES Y MUJERES DE LA COMUNA DE CABRERO. QUE TENGAN EDUCACIÓN MEDIA COMPLETA</t>
  </si>
  <si>
    <t>MASISA S.A.</t>
  </si>
  <si>
    <t>96802690-9</t>
  </si>
  <si>
    <t>RUT 69151000-K MUNICIPALIDAD DE CABRERO. PERSONAS DERIVADAS POR OMIL DE CABRERO, ESPECÍFICAMENTE QUE PERTENECEN AL 80% MAS VULNERABLES</t>
  </si>
  <si>
    <t>TÉCNICAS DE SOLDADURA POR TIG</t>
  </si>
  <si>
    <t>PF1003</t>
  </si>
  <si>
    <t>JOVENES DE 17 AÑOS O MÁS DERIVADAS DE SENAME,  REINSERCIÓN O EL SERVICIO QUE LO REEMPLACE</t>
  </si>
  <si>
    <t xml:space="preserve">PERSONAS ENTRE 18 Y 65 AÑOS QUE SE ENCUENTREN CUMPLIENDO CONDENA EN EL SISTEMA CERRADO O EN EL SISTEMA ABIERTO, DE ACUERDO CON LA LEY N°20.603 O LEY N°18.216, CON PENAS SUSTITUTIVAS O ALTERNATIVAS A LA RECLUSIÓN, REQUISITOS DE INGRESO AL PF EDUCACIÓN BÁSICA COMPLETA, DE PREFERENCIA; NOCIONES BÁSICAS DE OPERACIONES MATEMÁTICAS (SUMA, RESTA, MULTIPLICACIÓN, DIVISIÓN)
</t>
  </si>
  <si>
    <t xml:space="preserve">KOMATSU CHILE S.A
</t>
  </si>
  <si>
    <t xml:space="preserve">96843130-7
</t>
  </si>
  <si>
    <t xml:space="preserve">Fundación Reinventarse
</t>
  </si>
  <si>
    <t>65070018-k</t>
  </si>
  <si>
    <t>LA POBLACIÓN OBJETIVO NO SON PERSONAS QUE ESTÁN PRIVADAS DE LIBERTAD. SON PERSONAS MAYORES DE 18 AÑOS CON ANTECEDENTES PENALES QUE CUMPLEN SU CONDENA EN LIBERTAD DERIVADOS DEL SISTEMA ABIERTO (PILSA) DE GENDARMERIA DE CHILE, CON EDUCACIÓN BÁSICA COMPLETA, DE PREFERENCIA; NOCIONES BÁSICAS DE OPERACIONES MATEMÁTICAS (SUMA, RESTA, MULTIPLICACIÓN, DIVISIÓN);</t>
  </si>
  <si>
    <t>BANCO DE CREDITO E INVERSIONES, COPEC S.A, TRANSPORTE DE COMBUSTIBLES</t>
  </si>
  <si>
    <t>97006000-6, 99520000-7, 79904920-1</t>
  </si>
  <si>
    <t>FUNDACION PATERNITAS</t>
  </si>
  <si>
    <t>72026600-8</t>
  </si>
  <si>
    <t>NESTLE CHILE S.A.</t>
  </si>
  <si>
    <t>90703000-8</t>
  </si>
  <si>
    <t>TOCOPILLA</t>
  </si>
  <si>
    <t>EMPRENDEDORES HOMBRES Y MUJERES DE 18 AÑOS O MÁS, QUE PERTENECEN AL 80% MÁS VULNERABLE SEGÚN EL REGISTRO SOCIAL DE HOGARES, RESIDAN EN LA COMUNA DE TOCOPILLA Y CUENTEN CON EDUCACIÓN BASICA COMPLETA, DE PREFERENCIA, NOCIONES BASICAS DE OPERACIONES MATEMATICAS (SUMA, RESTA, MULTIPLICACIÓN, DIVISIÓN)</t>
  </si>
  <si>
    <t>SQM INDUSTRIA S.A.</t>
  </si>
  <si>
    <t>79947100-0</t>
  </si>
  <si>
    <t>RUT 69020100-3 MUNICIPALIDAD DE TOCOPILLA, PERSONAS DERIVADAS POR OMIL DE TOCOPILLA, ESPECÍFICAMENTE QUE PERTENECEN AL 80% MAS VULNERABLES</t>
  </si>
  <si>
    <t>69020100-3</t>
  </si>
  <si>
    <t>HOMBRES Y MUJERES DE 18 AÑOS O MAS, QUE PERTENECEN AL 80% MAS VULNERABLES, RESIDEN EN LA COMUNA DE CABRERO Y QUE TENGAN EDUCACIÓN BÁSICA COMPLETA DE PREFERENCIA; NOCIONES BÁSICAS DE OPERACIONES MATEMÁTICAS (SUMA, RESTA, MULTIPLICACIÓN, DIVISIÓN).</t>
  </si>
  <si>
    <t>COLBUN S.A.</t>
  </si>
  <si>
    <t>96505760-9</t>
  </si>
  <si>
    <t>PERSONAS DERIVADAS POR OMIL DE CABRERO, ESPECÍFICAMENTE QUE PERTENECEN AL 80% MAS VULNERABLES</t>
  </si>
  <si>
    <t>HOMBRES Y MUJERES DE 18 AÑOS O MAS, QUE PERTENECEN AL 80% MAS VULNERABLES, RESIDEN EN LA COMUNA DE COLBUN Y QUE TENGAN EDUCACIÓN BÁSICA COMPLETA DE PREFERENCIA; NOCIONES BÁSICAS DE OPERACIONES MATEMÁTICAS (SUMA, RESTA, MULTIPLICACIÓN, DIVISIÓN).</t>
  </si>
  <si>
    <t>RUT 69130500-7 MUNICIPALIDAD DE COLBÚN. PERSONAS DERIVADAS POR OMIL DE COLBÚN, ESPECÍFICAMENTE QUE PERTENECEN AL 80% MAS VULNERABLES</t>
  </si>
  <si>
    <t>MUJERES Y HOMBRES PERTENECIENTES A LA AGRUPACIÓN DE LUGUEROS Y RECOLECTORES  DE LA ORILLA CALETA LO ROJAS  EN LA COMUNA DE CORONEL DE 18 AÑOS O MÁS.   EDUCACIÓN BÁSICA COMPLETA, DE PREFERENCIA; NOCIONES BÁSICAS DE OPERACIONES MATEMÁTICAS (SUMA, RESTA, MULTIPLICACIÓN, DIVISIÓN).</t>
  </si>
  <si>
    <t>MUJERES Y HOMBRES PERTENECIENTES A LA FUNDACIÓN HONRA PERTENECIENTE A SENDA EN LA COMUNA DE CONCEPCION DE 17 AÑOS O MÁS.   EDUCACIÓN BÁSICA COMPLETA, DE PREFERENCIA; NOCIONES BÁSICAS DE OPERACIONES MATEMÁTICAS (SUMA, RESTA, MULTIPLICACIÓN, DIVISIÓN).</t>
  </si>
  <si>
    <t>DE ACUERDO AL ARTÍCULO CUARTO DEL DECRETO 32 DEL 31 DE ENERO 2024. SOLO PODRÁN DESEMPEÑARSE COMO GUARDIA DE
SEGURIDAD LAS PERSONAS QUE REÚNAN LOS SIGUIENTES REQUISITOS: SER MAYOR DE EDAD, SIN ANTECEDENTES PENALES, HABER
CURSADO LA EDUCACIÓN MEDIA O SU EQUIVALENTE Y LOS DEMÁS REQUISITOS QUE SE EXIJAN EN AQUELLA NORMA.</t>
  </si>
  <si>
    <t>CERTIFICADO DE APROBACIÓN Y TARJETA DE IDENTIFICACIÓN. CREDENCIAL DE GUARDIA PRIVADO DE SEGURIDAD OS-10 OTORGADA POR LA PREFECTURA DE SEGURIDAD PRIVADA DE CARABINEROS DE CHILE</t>
  </si>
  <si>
    <t>VILCÚN</t>
  </si>
  <si>
    <t xml:space="preserve">MUJERES Y HOMBRES ENTRE 18 Y 35 AÑOS DE EDAD, DE ACUERDO AL ARTÍCULO CUARTO DEL DECRETO 32 DEL 31 DE ENERO 2024. SOLO PODRÁN DESEMPEÑARSE COMO GUARDIA DE
 SEGURIDAD LAS PERSONAS QUE REÚNAN LOS SIGUIENTES REQUISITOS: SER MAYOR DE EDAD, SIN ANTECEDENTES PENALES, HABER
 CURSADO LA EDUCACIÓN MEDIA O SU EQUIVALENTE Y LOS DEMÁS REQUISITOS QUE SE EXIJAN EN AQUELLA NORMA, QUE SE ENCUENTREN DESOCUPADOS Y HABITEN EN LA COMUNA DE MAIPÚ
</t>
  </si>
  <si>
    <t xml:space="preserve">BANCO CHILE
</t>
  </si>
  <si>
    <t xml:space="preserve">97.004.000-5
</t>
  </si>
  <si>
    <t xml:space="preserve">Ilustre Municipalidad de Maipú
</t>
  </si>
  <si>
    <t xml:space="preserve">69.070.900-7
</t>
  </si>
  <si>
    <t>SANTA BÁRBARA</t>
  </si>
  <si>
    <t>HOMBRES Y MUJERES DE 18 AÑOS O MAS, QUE PERTENECEN AL 80% MAS VULNERABLES, RESIDEN EN LA COMUNA DE SANTA BARBARA Y QUE DEBEN CUMPLIR LOS SIGUIENTES REQUISITOS: SIN ANTECEDENTES PENALES, HABER CURSADO LA EDUCACIÓN MEDIA O SU EQUIVALENTE Y LOS DEMÁS REQUISITOS QUE SE EXIJAN EN AQUELLA NORMA.</t>
  </si>
  <si>
    <t>RUT 69170200-6 MUNICIPALIDAD D SANTA BÁRBARA. PERSONAS DERIVADAS POR OMIL DE SANTA BÁRBARA, ESPECÍFICAMENTE QUE PERTENECEN AL 80% MAS VULNERABLES</t>
  </si>
  <si>
    <t>69170200-6</t>
  </si>
  <si>
    <t>HOMBRES Y MUJERES, ENTRE 18 Y 65 AÑOS, DESOCUPADOS O QUE BUSCAN TRABAJO POR PRIMERA VEZ, QUE ESTÁN DENTRO DEL 80% MÁS VULNERABLE, QUE VIVEN EN LA COMUNA DE LA PINTANA. DE ACUERDO AL ARTÍCULO CUARTO DEL DECRETO 32 DEL 31 DE ENERO 2024. SOLO PODRÁN DESEMPEÑARSE COMO GUARDIA DE
 SEGURIDAD LAS PERSONAS QUE REÚNAN LOS SIGUIENTES REQUISITOS: SER MAYOR DE EDAD, SIN ANTECEDENTES PENALES, HABER
 CURSADO LA EDUCACIÓN MEDIA O SU EQUIVALENTE Y LOS DEMÁS REQUISITOS QUE SE EXIJAN EN AQUELLA NORMA.</t>
  </si>
  <si>
    <t>Ilustre Municipalidad de la Pintana</t>
  </si>
  <si>
    <t>69.253.800-5</t>
  </si>
  <si>
    <t>PERSONAS PERTENECIENTES AL 80% DE LA POBLACIÓN VULNERABLE, DE RANGO ETAREO DESDE LOS 18 A 60, HOMBRES Y MUJERES QUE RESIDEN EN LA REGION DE SANTIAGO Y QUE SON USUARIOS DE LA FUNDACIÓN</t>
  </si>
  <si>
    <t>COPEC S.A, TRANSPORTE DE COMBUSTIBLES, HENNES &amp; MAURITZ SPL</t>
  </si>
  <si>
    <t>99520000-7, 79904920-1, 76218187-8</t>
  </si>
  <si>
    <t>AVANZA INCLUSION</t>
  </si>
  <si>
    <t>65077645-3</t>
  </si>
  <si>
    <t xml:space="preserve">MUJERES Y HOMBRES DESOCUPADOS, QUE TENGAN ENTRE LOS 55 A 75 AÑOS, QUE CUENTEN CON CONOCIMIENTOS DE LECTOESCRITURA Y CÁLCULOS MATEMÁTICOS BÁSICOS, PERTENECIENTES AL 80% MÁS VULNERABLE POR EL RSH Y QUE VIVAN EN LA COMUNA DE MAIPÚ. TENER 18 AÑOS DE EDAD CUMPLIDOS; TENER, A LO MENOS, OCTAVO AÑO DE EDUCACIÓN BÁSICA APROBADO, O; EQUIVALENTE; NO
 HABER SIDO CONDENADO NI ESTAR SOMETIDO A PROCESO POR CRIMEN O SIMPLE DELITO; (DE ACUERDO A LA RESOLUCIÓN N° 59
 DEL 30/09/2017 CARABINEROS DE CHILE) </t>
  </si>
  <si>
    <t>OPERACIÓN DE EXCAVADORA COMPACTA</t>
  </si>
  <si>
    <t>PF0657</t>
  </si>
  <si>
    <t xml:space="preserve">PERSONAS MAYORES DE 18 AÑOS, HOMBRES Y MUJERES, HABITANTE DE LA COMUNA LLANQUIHUE, CON ENSEÑANZA MEDIA COMPLETA. PRINCIPALMENTE EN RIESGO SOCIAL Y DESEMPLEADOS.
</t>
  </si>
  <si>
    <t>LICENCIA CONDUCIR CLASE D.</t>
  </si>
  <si>
    <t xml:space="preserve">Ilustre Municipalidad de Llanquihue
</t>
  </si>
  <si>
    <t xml:space="preserve">69.220.300-3
</t>
  </si>
  <si>
    <t>MUJERES Y HOMBRES PERTENECIENTES A LA COMUNA DE CURANILAHUE CON UNA EDAD MINIMA DE 20 AÑOS DE EDAD; EDUCACIÓN MEDIA COMPLETA, PREFERENTEMENTE ; LICENCIA DE CONDUCTOR CLASE B, CON ANTIGÜEDAD MÍNIMA DE 2 AÑOS Y VIGENTE ; EXAMEN PSICOLÓGICO</t>
  </si>
  <si>
    <t>LICENCIA DE CONDUCIR CLASE A3</t>
  </si>
  <si>
    <t>HOMBRES Y MUJERES DE 18 AÑOS O MAS QUE RESIDEN EN LA COMUNA DE PUCHUNCAVI, PERTENECEN AL 80% MAS VULNERABLE SEGÚN REGISTRO SOCIAL DE HOGARES Y CUENTAN CON EDUCACIÓN BASICA COMPLETA.</t>
  </si>
  <si>
    <t>PUERTO VENTANAS S.A.</t>
  </si>
  <si>
    <t>96602640-5</t>
  </si>
  <si>
    <t>RUT 69060800-6 MUNICIPALIDAD DE PUCHUNCAVÍ. PERSONAS DERIVADAS POR OMIL DE PUCHUNCAVÍ, ESPECÍFICAMENTE QUE PERTENECEN AL 80% MAS VULNERABLES</t>
  </si>
  <si>
    <t>MEJILLONES</t>
  </si>
  <si>
    <t>HOMBRES Y MUJERES DE 18 AÑOS O MAS QUE RESIDEN EN LA COMUNA DE MEJILLONES, PERTENECEN AL 80% MAS VULNERABLE SEGÚN REGISTRO SOCIAL DE HOGARES Y CUENTAN CON EDUCACIÓN BASICA COMPLETA.</t>
  </si>
  <si>
    <t>RUT 69020400-2 MUNICIPALIDAD DE MEJILLONES. PERSONAS DERIVADAS POR OMIL DE MEJILLONES Y SUS ALREDEDORES, ESPECÍFICAMENTE QUE PERTENECEN AL 80% MAS VULNERABLES</t>
  </si>
  <si>
    <t>69020400-2</t>
  </si>
  <si>
    <t>COPEC S.A, TRANSPORTE DE COMBUSTIBLES, IDEAL S.A.</t>
  </si>
  <si>
    <t>99520000-7, 79904920-1, 82623500-4</t>
  </si>
  <si>
    <t>HOMBRES Y MUJERES MAYORES DE 18 AÑOS PERTENECIENTES AL 80% MÁS VULNERABLES, CORRESPINDIENTES A COLLIPULLI</t>
  </si>
  <si>
    <t>CMPC PULP SPA</t>
  </si>
  <si>
    <t>96532330-9</t>
  </si>
  <si>
    <t>RUT 69180500-K MUNICIPALIDAD COLLIPULLI, PERSONAS DERIVADAS POR OMIL DE COLLIPULLI Y ALREDEDORES, ESPECÍFICAMENTE QUE PERTENECEN AL 80% MAS VULNERABLES</t>
  </si>
  <si>
    <t>HOMBRES Y MUEJERES MAYORES DE 18 AÑOS PERTENECIENTES AL 80% MÁS VULNERABLES, CORRESPONDIENTES A COLLIPULLI</t>
  </si>
  <si>
    <t>HOMBRES Y MUJERES MAYORES DE 18 AÑOS PERTENECIENTES AL 80% MÁS VULNERABLES, CORRESPINDIENTES A RENAICO</t>
  </si>
  <si>
    <t>PERSONAS DERIVADAS POR OMIL DE RENAICO Y ALREDEDORES, ESPECÍFICAMENTE QUE PERTENECEN AL 80% MAS VULNERABLES</t>
  </si>
  <si>
    <t>69180400-3</t>
  </si>
  <si>
    <t>HOMBRES Y MUJERES DE 18 AÑOS O MAS, QUE PERTENECEN AL 80% MAS VULNERABLES, RESIDEN EN LA COMUNA DE MULCHEN Y TENER EDUCACIÓN BÁSICA COMPLETA</t>
  </si>
  <si>
    <t>RUT 69170500-5 MUNICIPALIDAD DE MULCHÉN. PERSONAS DERIVADAS POR OMIL DE MULCHÉN, ESPECÍFICAMENTE QUE PERTENECEN AL 80% MAS VULNERABLES</t>
  </si>
  <si>
    <t>HOMBRES Y MUJERES DE 18 AÑOS O MAS, QUE PERTENECEN AL 80% MAS VULNERABLES, RESIDEN EN LA COMUNA DE PUERTO MONTT Y TENER EDUCACIÓN BÁSICA COMPLETA</t>
  </si>
  <si>
    <t>RUT 69220100-0 MUNICIPALIDAD DE PUERTO MONTT. PERSONAS DERIVADAS POR OMIL DE PUERTO MONTT, ESPECÍFICAMENTE QUE PERTENECEN AL 80% MAS VULNERABLES.</t>
  </si>
  <si>
    <t>69220100-0</t>
  </si>
  <si>
    <t>TALTAL</t>
  </si>
  <si>
    <t>HOMBRES Y MUJERES DE 18 AÑOS O MAS, QUE PERTENECEN AL 80% MAS VULNERABLES, RESIDEN EN LA COMUNA DE TAL TAL Y TENER EDUCACIÓN BÁSICA COMPLETA</t>
  </si>
  <si>
    <t>PERSONAS DERIVADAS RUT MUNICIPALIDAD DE TALTAL 69020500-9. PERSONAS DERIVADAS POR OMIL DE TALTAL ESPECÍFICAMENTE QUE PERTENECEN AL 80% MAS VULNERABLES</t>
  </si>
  <si>
    <t>69020500-9</t>
  </si>
  <si>
    <t>HOMBRES Y MUJERES MAYORES DE 18 AÑOS, CESANTES O QUE BUSCA TRABAJO POR PRIMERA VEZ, CON EDUCACIÓN BÁSICA COMPLETA, HABITANTES DE LA COMUNA DE CORONEL</t>
  </si>
  <si>
    <t>CEMENTO POLPAICO S.A., ARIDOS ACONCAGUA S.A, COACTIVA SPA, INDUSTRIAL Y MINERA LOS ESTEROS DE MARGA MARGA LTDA.</t>
  </si>
  <si>
    <t>91337000-7, 76414510-0, 77454381-3, 96720190-1</t>
  </si>
  <si>
    <t>RUT 69151200-2 MUNICIPALIDAD DE CORONEL. PERSONAS CESANTES, DESOCUPADAS O QUE BUSCAN TRABAJO POR PRIMERA VEZ, DERIVADAS POR OMIL DE LA COMUNA DE CORONEL.</t>
  </si>
  <si>
    <t>69151200-2</t>
  </si>
  <si>
    <t>MUJERES MAYORES DE 18 AÑOS, DE LA COMUNA DE LLANQUIHUE, CON ENSEÑANZA MEDIA COMPLETA, QUE SE ENCUENTRAN DESEMPLEADAS Y QUE SE EXPONEN A RIESGO SOCIAL.</t>
  </si>
  <si>
    <t xml:space="preserve">DAMAS O VARONES DE 35 A 50 AÑOS, E. MEDIA COMPLETA,  CESANTES QUE CUENTEN  CON UN FINIQUITO DE MÁXIMO 3 MESES DE ANTIGUEDAD, REGISTRO SOCIAL DE HOGARES  HASTA EL 80% DE VULNERABILIDAD RESIDENTES DE TALCAHUANO  
</t>
  </si>
  <si>
    <t xml:space="preserve">Ilustre Municipalidad de Talcahuano
</t>
  </si>
  <si>
    <t xml:space="preserve">69.150.800-5
</t>
  </si>
  <si>
    <t>PERSONAS MAYORES DE 18 AÑOS, QUE SE ENCUENTREN DENTRO DE 80% DE LA POBLACIÓN VULNERABLE DE ACUERDO AL REGISTRO SOCIAL DE HOGARES, CON EDUCACIÓN MEDIA PREFERENTEMENTE QUE RESIDAN EN LA COMUNA DE CABRERO Y SUS ALREDEDORES</t>
  </si>
  <si>
    <t>RUT 69151000-K</t>
  </si>
  <si>
    <t>03. LUNES - VESPERTINO / 06. MARTES - VESPERTINO / 09. MIÉRCOLES - VESPERTINO / 12. JUEVES - VESPERTINO</t>
  </si>
  <si>
    <t>HOMBRE Y MUJERES DE 18 AÑOS O MAS, CON EDUCACION BASICA COMPLETA, PERTENECIENTES AL 80% DE LA POBLACION MAS VULNERABLE.</t>
  </si>
  <si>
    <t xml:space="preserve">MINERA PELAMBRES
</t>
  </si>
  <si>
    <t xml:space="preserve">96790240-3
</t>
  </si>
  <si>
    <t xml:space="preserve">FUNDACIÓN MINERA LOS PELAMBRES
</t>
  </si>
  <si>
    <t xml:space="preserve">MUJERES Y HOMBRES, MAYORES DE 18 AÑOS, EDUCACIÓN BÁSICA COMPLETA Y QUE PERTENEZCAN AL 80% SEGÚN REGISTRO SOCIAL DE HOGARES.
</t>
  </si>
  <si>
    <t xml:space="preserve">65214530-2
</t>
  </si>
  <si>
    <t>EDUCACIÓN MEDIA COMPLETA, PREFERENTEMENTE</t>
  </si>
  <si>
    <t>MUJERES DE 18 AÑOS O MÁS, QUE CUENTEN CON ENSEÑANZA MEDIA COMPLETA PREFERENTEMENTE Y RESIDAN EN LA REGIÓN DE ARICA Y PARINACOTA.</t>
  </si>
  <si>
    <t>PERSONAS DE 18 AÑOS  A MAS ,QUE CUENTEN CON ENSEÑANZA MEDIA COMPLETA  PREFERENTEMENTE , QUE RESIDAN EN LA REGIÓN DE ARICA Y PARINACOTA.</t>
  </si>
  <si>
    <t xml:space="preserve">PERSONAS DE 18 AÑOS  A MAS QUE CUENTEN CON ENSEÑANZA MEDIA COMPLETA PREFERENTEMENTE, QUE RESIDAN EN LA REGIÓN DE ARICA Y PARINACOTA.
</t>
  </si>
  <si>
    <t>PERSONAS DE 18 AÑOS A MAS QUE CUENTEN CON ENSEÑANZA MEDIA COMPLETA PREFERENTEMENTE, QUE RESIDAN EN LA REGIÓN DE ARICA Y PARINACOTA.</t>
  </si>
  <si>
    <t xml:space="preserve">PROMAULE
</t>
  </si>
  <si>
    <t xml:space="preserve">CORPORACION DE CAPACITACION PROMAULE
</t>
  </si>
  <si>
    <t>MUJERES U HOMBRES ENTRE 18 Y 65 AÑOS DE LA COMUNA DE SAN BERNARDO QUE POSEAN ENSEÑANZA MEDIA COMPLETA Y QUE NO SE ENCUENTREN TRABAJANDO.</t>
  </si>
  <si>
    <t>LICENCIA DE CONDUCIR CLASE D.</t>
  </si>
  <si>
    <t>PF ALIMENTOS</t>
  </si>
  <si>
    <t>91004000-6</t>
  </si>
  <si>
    <t>Municipalidad de San Bernardo</t>
  </si>
  <si>
    <t xml:space="preserve"> 69072700-5</t>
  </si>
  <si>
    <t xml:space="preserve">MUJERES U HOMBRES DE LA COMUNA DE TALCA, PERTENECIENTES A LAS JUNTAS DE VECINOS DEL SECTOR 3, ENTRE 18 Y 65 AÑOS QUE POSEAN ENSEÑANZA MEDIA COMPLETA Y QUE NO SE ENCUENTREN TRABAJANDO.
</t>
  </si>
  <si>
    <t>PF Alimentos</t>
  </si>
  <si>
    <t>Municipalidad de Talca</t>
  </si>
  <si>
    <t>69110400-1</t>
  </si>
  <si>
    <t>HOMBRES Y MUJERES DE 18 AÑOS O MAS, QUE PERTENECEN AL 80% MAS VULNERABLES, RESIDEN EN LA COMUNA DE CORONEL Y QUE CUENTAN CON EDUCACIÓN MEDIA COMPLETA, PREFERENTEMENTE</t>
  </si>
  <si>
    <t>RUT 69151200-2 MUNICIPALIDAD DE CORONEL. PERSONAS DERIVADAS POR OMIL DE CORONEL, ESPECÍFICAMENTE QUE PERTENECEN AL 80% MAS VULNERABLES</t>
  </si>
  <si>
    <t xml:space="preserve">PERSONAS MAYORES DE 18 AÑOS, CON ENSEÑANZA MEDIA COMPLETA, HABITANTES DE LA COMUNA DE LLANQUIHUE, HOMBRES Y MUJERES, PRINCIPALMENTE EN RIESGO SOCIAL Y DESEMPLEADOS.
</t>
  </si>
  <si>
    <t xml:space="preserve">DAMAS O VARONES DE 20 A 55 AÑOS, ENSEÑANZA MEDIA COMPLETA, CESANTES,  REGISTRO SOCIAL DE HOGARES  HASTA EL 80% DE VULNERABILIDAD RESIDENTES DE TALCAHUANO 
</t>
  </si>
  <si>
    <t>HOMBRES Y MUJERES DE 18 AÑOS O MAS PERTENECIENTES AL 80% MAS VULNERABLE, CON EDUCACION MEDIA COMPLETA PREFERENTEMENTE QUE RESIDAN EN LA COMUNA DE QUILPUÉ Y SUS AL REDERDORES</t>
  </si>
  <si>
    <t xml:space="preserve">99520000-7, 79904920-1, 76218187-8
</t>
  </si>
  <si>
    <t xml:space="preserve">AVANZA INCLUSION
</t>
  </si>
  <si>
    <t xml:space="preserve">65077645-3
</t>
  </si>
  <si>
    <t>LA CRUZ</t>
  </si>
  <si>
    <t xml:space="preserve">HOMBRE Y MUJERES  DE 18 AÑOS O MÁS PERTENECIENTES AL 80% DE LA POBLACIÓN MÁS VULNERABLE, SEGÚN REGISTRO SOCIAL DE HOGARES. EDUCACIÓN BÁSICA PREFERENTEMENTE.
</t>
  </si>
  <si>
    <t xml:space="preserve">ANGLO AMERICAN CHILE LTDA.
</t>
  </si>
  <si>
    <t xml:space="preserve">77905330-K
</t>
  </si>
  <si>
    <t xml:space="preserve"> FEDERACION DE TRABAJADORES CONTRATISTAS ANGLO AMERICAN 
</t>
  </si>
  <si>
    <t xml:space="preserve">65886170-0
</t>
  </si>
  <si>
    <t xml:space="preserve">HOMBRE Y MUJERES DE 18 AÑOS O MÁS PERTENECIENTES AL 80% DE LA POBLACIÓN MÁS VULNERABLE, SEGÚN REGISTRO SOCIAL DE HOGARES. EDUCACIÓN MEDIA COMPLETA, PREFERENTEMENTE.
</t>
  </si>
  <si>
    <t xml:space="preserve">HOMBRE Y MUJERES DE  18 AÑOS O MÁS PERTENECIENTES AL 80% DE LA POBLACIÓN MÁS VULNERABLE, SEGÚN REGISTRO SOCIAL DE HOGARES. EDUCACIÓN MEDIA COMPLETA, PREFERENTEMENTE.
</t>
  </si>
  <si>
    <t>HOMBRES Y MUJERES MAYORES DE 18 AÑOS DE LA COMUNA DE COIHUECO, CON REGISTRO SOCIAL DE HOGARES MENOR A 80 %, SIN TRABAJO REMUNERADO FORMAL Y PARTICIPANTES DEL PROGRAMA SEGURIDAD Y OPORTUNIDADES DEL MINISTERIO DE DESARROLLO SOCIAL Y FAMILIA REGIÓN DE ÑUBLE,  LAS PARTICIPANTES DEBERÁN CONTAR CON EDUCACIÓN MEDIA COMPLETA PREFERENTEMENTE, CON ESTE CURSO LOS PARTICIPANTES PODRÁN OPERAR GRÚA HORQUILLA TRADICIONAL O ELÉCTRICA PARA EL TRASLADO DE PRODUCTOS LOGÍSTICOS DE ACUERDO CON LOS PROTOCOLAS ESTABLECIDOS Y NORMATIVAS ASOCIADAS, AL TÉRMINO DEL CURSO OBTENDRÁN INSTRUMENTO HABILITANTE (LICENCIA CLASE D).</t>
  </si>
  <si>
    <t xml:space="preserve"> HOMBRES Y MUJERES DE 20 AÑOS O MAS, QUE PERTENECEN AL 80% MAS VULNERABLES, RESIDEN EN LA COMUNA DE LOS ANDES Y TENER MÍNIMO 20 AÑOS DE EDAD; EDUCACIÓN MEDIA COMPLETA, PREFERENTEMENTE ; LICENCIA DE CONDUCTOR CLASE B, CON ANTIGÜEDAD MÍNIMA DE 2 AÑOS Y VIGENTE ; EXAMEN PSICOLÓGICO RECONOCIDO PARA EL EFECTO, APROBADO</t>
  </si>
  <si>
    <t>RUT 69051100-2 MUNICIPALIDAD DE LOS ANDES. PERSONAS DERIVADAS POR OMIL DE LOS ANDES, ESPECÍFICAMENTE QUE PERTENECEN AL 80% MAS VULNERABLES</t>
  </si>
  <si>
    <t>HOMBRES Y MUJERES MAYORES DE 20 AÑOS DE LA COMUNA DE CHILLAN, CON REGISTRO SOCIAL DE HOGARES MENOR A 80 %, SIN TRABAJO REMUNERADO FORMAL, Y CON LICENCIA CLASE B CON ANTIGUEDAD MAYOR A 2 AÑOS,  LOS PARTICIPANTES DEBERÁN ADEMÁS CONTAR CON EDUCACIÓN MEDIA COMPLETA PREFERENTEMENTE Y EXAMEN PSICOLÓGICO APROBADO CON ESTE CURSO LOS PARTICIPANTES PODRÁN CONDUCIR VEHÍCULOS DE PASAJEROS VINCULADOS AL PROCESO DE TRANSPORTE DE PASAJEROS, AL TÉRMINO DEL CURSO OBTENDRÁN INSTRUMENTO HABILITANTE (LICENCIA CLASE A-3 PROFESIONAL), MEJORANDO CON ESTO SU TRABAJO DEPENDIENTE Y CUMPLIR CON LA NORMATIVO DE LA NUEVA LEY UBER</t>
  </si>
  <si>
    <t>HOMBRES Y MUJERES MAYORES DE 18 AÑOS CON REGISTRO SOCIAL DE HOGARES MENOR A 80 %, SIN TRABAJO REMUNERADO, PERTENECIENTES AL PROGRAMA DE SEGURIDAD Y OPORTUNIDADES DEL MINISTERIO DE DESARROLLO SOCIAL Y FAMILIA, CON EDUCACIÓN MEDIA COMPLETA CIENTÍFICO HUMANISTA O ALUMNOS/AS DE LICEOS DE EDUCACIÓN TÉCNICO PROFESIONAL EGRESADOS O  CURSANDO EL ÚLTIMO AÑO DE LA ESPECIALIDAD DE INSTALACIONES SANITARIAS ACREDITABLE, UNA VEZ TERMINADO EL CURSO, LOS OPERARIOS A ARTEFACTOS A GAS PODRÁN INSTALAR, MANTENER Y/O CONVERTIR ARTEFACTOS DE GAS Y REDES DE GAS EN INSTALACIONES INTERIORES DE BAJA PRESIÓN, CUYA POTENCIA TOTAL INSTALADA SEA IGUAL O SUPERIOR A 60 KW Y CON EL MÓDULO TRANSVERSAL DE TÉCNICAS DE EMPRENDIMIENTO Y LICENCIA EMITIDA SEC DE INSTALADOR DE GAS CLASE A-3, LE PERMITIRÁ GENERAR UN EMPRENDIENDO EN EL RUBRO APRENDIDO Y DESARROLLAR TRABAJOS PARTICULARES CUMPLIENDO LA NORMATIVA VIGENTE Y AUMENTANDO EL INGRESO DEL GRUPO FAMILIAR.</t>
  </si>
  <si>
    <t>MANTENIMIENTO DE INSTALACIONES ELÉCTRICAS EN LA INDUSTRIA METALÚRGICA METALMECÁNICA</t>
  </si>
  <si>
    <t>PF0506</t>
  </si>
  <si>
    <t xml:space="preserve">MUJERES Y HOMBRES  PERTENECIENTES AL 80 % MÁS  VULNERABLE DE ACUERDO AL RSH,  ENTRE 18 Y 65 AÑOS DE EDAD, QUE CUENTEN CON EDUCACIÓN MEDIA COMPLETA, LICENCIA DE INSTALADOR ELÉCTRICO SEC CLASE A O B OBTENIDA DE ACUERDO A LOS REQUISITOS ESTABLECIDOS POR LA SEC EN DS 92/1983. PERSONAS QUE SERÁN DERIVADAS POR LA OMIL DE PUERTO VARAS Y QUE REQUIEREN CAPACITARSE EN "MANTENIMIENTO DE INSTALACIONES ELÉCTRICAS EN LA INDUSTRIA METALÚRGICA METALMECÁNICA ", EN BENEFICIO DE GENERAR INGRESOS PARA SUS FAMILIAS. </t>
  </si>
  <si>
    <t>PROCESO DE FABRICACIÓN Y MONTAJE DE ESTRUCTURAS METÁLICAS</t>
  </si>
  <si>
    <t>PF1254</t>
  </si>
  <si>
    <t xml:space="preserve">MUJERES Y HOMBRES  PERTENECIENTES AL 80 % MÁS  VULNERABLE DE ACUERDO AL RSH,  ENTRE 18 Y 65 AÑOS DE EDAD, QUE CUENTEN CON EDUCACION MEDIA COMPLETA. PERSONAS QUE SERÁN DERIVADAS POR LA OMIL DE LLANQUIHUE QUE REQUIEREN CAPACITARSE EN "PROCESO DE FABRICACIÓN Y MONTAJE DE ESTRUCTURAS METÁLICAS", EN BENEFICIO DE GENERAR INGRESOS PARA SUS FAMILIAS. </t>
  </si>
  <si>
    <t>INSTALACIÓN Y MANTENIMIENTO DE SISTEMAS SOLARES FOTOVOLTAICOS</t>
  </si>
  <si>
    <t>PF1188</t>
  </si>
  <si>
    <t xml:space="preserve">MUJERES Y HOMBRES  PERTENECIENTES AL 80 % MÁS  VULNERABLE DE ACUERDO AL RSH,  ENTRE 18 Y 65 AÑOS DE EDAD, QUE CUENTEN CON EDUCACIÓN MEDIA COMPLETA Y CERTIFICACIÓN COMO INSTALADOR ELÉCTRICO AUTORIZADO POR LA SEC CLASE A,B,C O D. PERSONAS QUE SERÁN DERIVADAS POR LA OMIL DE CONCEPCIÓN  Y QUE REQUIEREN CAPACITARSE EN "INSTALACIÓN Y MANTENIMIENTO DE SISTEMAS SOLARES FOTOVOLTAICOS", EN BENEFICIO DE GENERAR INGRESOS PARA SUS FAMILIAS. </t>
  </si>
  <si>
    <t>ESTACIÓN CENTRAL</t>
  </si>
  <si>
    <t xml:space="preserve">MUJERES Y HOMBRES  PERTENECIENTES AL 80 % MÁS  VULNERABLE DE ACUERDO AL RSH,  ENTRE 18 Y 65 AÑOS DE EDAD, QUE CUENTEN CON EDUCACIÓN MEDIA COMPLETA Y CERTIFICACIÓN COMO INSTALADOR ELECTRICO AUTORIZADO POR LA SEC CLASE A,B,C O D. PERSONAS QUE SERÁN DERIVADAS POR LA OMIL DE ESTACIÓN CENTRAL  Y QUE REQUIEREN CAPACITARSE EN "INSTALACIÓN Y MANTENIMIENTO DE SISTEMAS SOLARES FOTOVOLTAIC OS", EN BENEFICIO DE GENERAR INGRESOS PARA SUS FAMILIAS. </t>
  </si>
  <si>
    <t>ASISTENTE DE LOGÍSTICA OPERATIVA</t>
  </si>
  <si>
    <t>PF0673</t>
  </si>
  <si>
    <t xml:space="preserve">MUJERES Y HOMBRES  PERTENECIENTES AL 80 % MÁS  VULNERABLE DE ACUERDO AL RSH,  ENTRE 18 Y 65 AÑOS DE EDAD, QUE CUENTEN CON EDUCACION BÁSICA COMPLETA, PREFERENTEMENTE. PERSONAS QUE SERÁN DERIVADAS POR LA OMIL DE RANCAGUA Y QUE REQUIEREN CAPACITARSE EN "ASISTENTE DE LOGÍSTICA OPERATIVA",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</si>
  <si>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MAIPÚ Y QUE REQUIEREN CAPACITARSE EN "ASISTENTE DE LOGÍSTICA OPERATIVA",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</si>
  <si>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HUECHURABA Y QUE REQUIEREN CAPACITARSE EN "ASISTENTE DE LOGÍSTICA OPERATIVA",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</si>
  <si>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TALCAHUANO QUE REQUIEREN CAPACITARSE EN "ACTIVIDADES AUXILIARES DE BODEGA",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</si>
  <si>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RENCA QUE REQUIEREN CAPACITARSE EN "ACTIVIDADES AUXILIARES DE BODEGA",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</si>
  <si>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MAIPÚ QUE REQUIEREN CAPACITARSE EN "ACTIVIDADES AUXILIARES DE BODEGA",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</si>
  <si>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ESTACIÓN CENTRAL QUE REQUIEREN CAPACITARSE EN "ACTIVIDADES AUXILIARES DE BODEGA", EN BENEFICIO DE GENERAR INGRESOS PARA SUS FAMILIAS. </t>
  </si>
  <si>
    <t>EDUCACIÓN BÁSICA COMPLETA, PREFERENTEMENTE; NIVEL DE MANEJO COMPUTACIONAL BÁSICO (O NIVEL USUARIO),
PREFERENTEMENTE.</t>
  </si>
  <si>
    <t>GALVARINO</t>
  </si>
  <si>
    <t>SERVICIOS DE INSTALACIÓN Y MANTENIMIENTO DE ARTEFACTOS DE CALEFACCIÓN A PELLET</t>
  </si>
  <si>
    <t>PF1409</t>
  </si>
  <si>
    <t>MUJERES DERIVADAS POR SENAMEG O PRODEMU</t>
  </si>
  <si>
    <t>EDUCACIÓN MEDIA COMPLETA, PREFERENTEMENTE Y DERIVADAS POR PRODEMU ARAUCANIA</t>
  </si>
  <si>
    <t>TOLTÉN</t>
  </si>
  <si>
    <t>CARAHUE</t>
  </si>
  <si>
    <t>LABORES DE CARPINTERÍA DE TERMINACIONES AVANZADAS</t>
  </si>
  <si>
    <t>PF1567</t>
  </si>
  <si>
    <t>LOS SAUCES</t>
  </si>
  <si>
    <t>PF1575</t>
  </si>
  <si>
    <t>EDUCACIÓN MEDIA COMPLETA, PREFERENTEMENTE. Y HABER CURSADO EL CURSO DE “LABORES DE SOPORTE EN INSTALACIONES
SANITARIAS” O EXPERIENCIA DE DOS AÑOS COMO “AYUDANTE INSTALACIONES SANITARIAS”, DEMOSTRABLE.</t>
  </si>
  <si>
    <t>PERQUENCO</t>
  </si>
  <si>
    <t>LUMACO</t>
  </si>
  <si>
    <t>MUJERES Y HOMBRES EMPRENDEDORES ENTRE 18 A 70 AÑOS, QUE POSEAN RSH HASTA EL 80% DE VULNERABILIDAD, QUE CUENTEN CON ENSEÑANZA MEDIA COMPLETA Y HABITEN EN LA COMUNA DE MAIPÚ</t>
  </si>
  <si>
    <t>HOMBRES Y MUJERES MAYORES DE 18 AÑOS, CESANTES O QUE BUSCA TRABAJO POR PRIMERA VEZ, PREFERENTEMENTE CON EDUCACIÓN BÁSICA COMPLETA, HABITANTES DE LA COMUNA DE MEJILLONES</t>
  </si>
  <si>
    <t>RUT 69020400-2 MUNICIPALIDAD DE MEJILLONES. PERSONAS CESANTES, DESOCUPADAS O QUE BUSCAN TRABAJO POR PRIMERA VEZ, DERIVADAS POR OMIL DE LA COMUNA DE MEJILLONES.</t>
  </si>
  <si>
    <t>MARCHIHUE</t>
  </si>
  <si>
    <t>HOMBRES Y MUJERES DE 18 AÑOS O MAS, QUE PERTENECEN AL 80% MAS VULNERABLES, RESIDEN EN LA COMUNA DE MARCHIGUE Y TENER EDUCACIÓN BÁSICA COMPLETA</t>
  </si>
  <si>
    <t>RUT 69091300-3 MUNICIPALIDAD DE MARCHIGÜE. PERSONAS DERIVADAS POR OMIL DE MARCHIGÜE, ESPECÍFICAMENTE QUE PERTENECEN AL 80% MAS VULNERABLES</t>
  </si>
  <si>
    <t>69091300-3</t>
  </si>
  <si>
    <t>ILLAPEL</t>
  </si>
  <si>
    <t>HOMBRES Y MUJERES MAYORES DE 18 AÑOS, CESANTES O QUE BUSCA TRABAJO POR PRIMERA VEZ, CON EDUCACIÓN BÁSICA COMPLETA, HABITANTES DE LA COMUNA DE ILLAPEL</t>
  </si>
  <si>
    <t>RUT 69041200-4 MUNICIPALIDAD DE ILLAPEL. PERSONAS CESANTES, DESOCUPADAS O QUE BUSCAN TRABAJO POR PRIMERA VEZ, DERIVADAS POR OMIL DE LA COMUNA DE ILLAPEL.</t>
  </si>
  <si>
    <t>69041200-4</t>
  </si>
  <si>
    <t>MUJERES Y HOMBRES QUE SEAN EMPRENDEDORES, QUE TENGAN ENSEÑANZA MEDIA COMPLETA, QUE TENGAN ENTRE LOS 25 A 70 AÑOS, QUE CUENTEN CON CONOCIMIENTOS DE LECTOESCRITURA Y CÁLCULOS MATEMÁTICOS BÁSICOS Y QUE VIVAN EN LA COMUNA DE MAIPÚ.</t>
  </si>
  <si>
    <t>HOMBRES Y MUJERES MAYORES DE 18 AÑOS, CESANTES O QUE BUSCA TRABAJO POR PRIMERA VEZ, PREFERENTEMENTE CON EDUCACIÓN MEDIA COMPLETA PREFERENTEMENTE, HABITANTES DE LA COMUNA DE CALAMA.</t>
  </si>
  <si>
    <t>PERSONAS CESANTES, DESOCUPADAS O QUE BUSCAN TRABAJO POR PRIMERA VEZ, DERIVADAS POR OMIL DE LA COMUNA DE CALAMA.</t>
  </si>
  <si>
    <t>69.020.200-K</t>
  </si>
  <si>
    <t>ADULTOS MAYORES DE 18 AÑOS, EMPLEADOS Y/O DESEMPLEADOS, HOMBRES Y MUJERES, CHILENOS Y EXTRANJEROS, QUE RESIDAN EN LA REGION METROPOLITANA Y QUE CUENTEN CON EDUCACIÓN MEDIA COMPLETA</t>
  </si>
  <si>
    <t>BANCO BICE</t>
  </si>
  <si>
    <t>97080000-k</t>
  </si>
  <si>
    <t>SOCIEDAD DE INSTRUCCIÓN PRIMARIA DE SANTIAGO</t>
  </si>
  <si>
    <t xml:space="preserve">1. PERSONAS, HOMBRE Y MUJERES,  EN SITUACIÓN DE DISCAPACIDAD FISICA ENTRE 18 Y 60 AÑOS, CON ESTUDIOS DE ENSEÑANZA BÁSICA COMPLETA, MEDIA INCOMPLETA Y COMPLETA, USUARIOS O EX USUARIOS DE TELETON, RESIDENTES EN LA REGIÓN DE TARAPACÁ, ESPECÍFICAMENTE EN LA COMUNA DE IQUIQUE, QUE SE ENCUENTRAN DESOCUPADOS, CESANTES O REALIZAN UNA ACTIVIDAD EN EL MERCADO INFORMAL QUE LES REPORTA ESCASOS INGRESOS, QUE REQUIEREN ADQUIRIR CONOCIMIENTOS PARA MEJORAR SUS POSIBILIDADES DE INCLUSIÓN LABORAL.     
</t>
  </si>
  <si>
    <t>BANCO CHILE</t>
  </si>
  <si>
    <t>97.004.000-5</t>
  </si>
  <si>
    <t>SOCIEDAD PRO AYUDA AL NIÑO LISIADO (TELETÓN)</t>
  </si>
  <si>
    <t>81.897.500-7</t>
  </si>
  <si>
    <t xml:space="preserve">HOMBRES Y MUJERES, ENTRE 18 Y 64 AÑOS DE EDAD, QUE RESIDAN EN LA COMUNA DE SAN JOAQUÍN U ALEDAÑAS, REGIÓN METROPOLITANA, QUE PERTENEZCAN AL 80% DE LA POBLACIÓN MÁS VULNERABLE SEGÚN REGISTRO SOCIAL DE HOGARES. YA SEAN PERSONAS CESANTES, QUE BUSCAN TRABAJO POR PRIMERA VEZ O QUE SE ENCUENTRAN ACTUALMENTE REALIZANDO TRABAJOS PRECARIOS, INFORMALES O DE BAJA CALIFICACIÓN, Y REQUIERAN REALIZAR UNA RECONVERSIÓN LABORAL.
 </t>
  </si>
  <si>
    <t xml:space="preserve">PRISA MEDIA CHILE S.A
</t>
  </si>
  <si>
    <t xml:space="preserve">79.947.310-0
</t>
  </si>
  <si>
    <t xml:space="preserve">ONG CASA DE ACOGIDA LA ESPERANZA
</t>
  </si>
  <si>
    <t xml:space="preserve">73.188.700-4
</t>
  </si>
  <si>
    <t>TRABAJADORES ACTIVOS O EN PROCESO DE RECONVERSIÓN LABORAL, HOMBRES Y MUJERES, DE 18 AÑOS DE EDAD O MÁS, CON EDUCACIÓN MEDIA COMPLETA PREFERENTEMENTE Y QUE RESIDEN EN LA REGION DE VALPARAISO</t>
  </si>
  <si>
    <t>EBCO S.A.</t>
  </si>
  <si>
    <t>76525290-3</t>
  </si>
  <si>
    <t>FUNDACIÓN DE BENEFICENCIA ALDEA DE NIÑOS CARDENAL RAÚL SILVA HENRÍQUEZ</t>
  </si>
  <si>
    <t>71404100-2</t>
  </si>
  <si>
    <t xml:space="preserve">1.-PERSONAS ENTRE 18 Y 64 AÑOS DE EDAD, 
2. CESANTES O DE MENOR CALIFICACIÓN 
3.-MUJERES Y HOMBRES 
4.-PREFERENTEMENTE ENSEÑANZA MEDIA COMPLETA,
5.-JEFAS DE HOGAR, 
6.- ONG CASA DE ACOGIDA LA ESPERANZA 
7.- PERTENECIENTES A LA COMUNA DE SAN JOAQUÍN Y ALREDEDORES
8.- OFICIOS INFORMALES 
9.-MANEJO DE OPERACIONES MATEMÁTICAS BÁSICAS
</t>
  </si>
  <si>
    <t xml:space="preserve">
FAENADORA SAN VICENTE </t>
  </si>
  <si>
    <t>78843600-2</t>
  </si>
  <si>
    <t>ONG CASA ACOGIDA LA ESPERANZA</t>
  </si>
  <si>
    <t>MUJERES Y HOMBRES QUE SEAN EMPRENDEDORES, QUE TENGAN ENTRE LOS 55 A 70 AÑOS, QUE CUENTEN CON CONOCIMIENTOS DE LECTOESCRITURA Y CÁLCULOS MATEMÁTICOS BÁSICOS, CON ENSEÑANZA MEDIA COMPLETA, PERTENECIENTES AL 80% MÁS VULNERABLE  Y QUE VIVAN EN LA COMUNA DE MAIPÚ.</t>
  </si>
  <si>
    <t>HOMBRES Y MUJERES, ENTRE 18 Y 64 AÑOS DE EDAD, QUE RESIDAN EN LA COMUNA DE SANTA BÁRBARA U ALEDAÑAS, REGIÓN DEL BIO BIO,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</si>
  <si>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Enel Generación S.A.</t>
  </si>
  <si>
    <t>91.081.000-6</t>
  </si>
  <si>
    <t xml:space="preserve">Fundación World Vision
</t>
  </si>
  <si>
    <t xml:space="preserve">70.689.300-8
</t>
  </si>
  <si>
    <t>DE LOS RÍOS</t>
  </si>
  <si>
    <t>MAYORES DE 20 AÑOS. TRABAJADORES DE LA CORPORACIÓN DE ADELANTO INVOLUCRADOS EN LA REESTRUCTURACIÓN ORGANIZACIONAL, EN PROGRAMAS EDUCATIVOS, CULTURALES Y DE DESARROLLO DE PÚBLICO.
 EQUIPOS DE TRABAJO QUE NECESITEN FORTALECER ESTRATEGIAS COMUNICACIONALES. COLABORADORES INTERESADOS EN LA CONSTRUCCIÓN DE CANALES Y LINEAMIENTOS DE COMUNICACIÓN.</t>
  </si>
  <si>
    <t>BANCO DE CREDITO E INVERSIONES</t>
  </si>
  <si>
    <t>97006000-6</t>
  </si>
  <si>
    <t>CORPORACION DE ADALENTO AMIGOS PANGUIPULLI - TEATRO PANGUIPULLI</t>
  </si>
  <si>
    <t xml:space="preserve">65027784 -8       </t>
  </si>
  <si>
    <t>HOMBRES Y MUJERES ENTRE 25 Y 60 AÑOS, QUE TRABAJAN DIRECTAMENTE CON NIÑOS Y NIÑAS QUE VIVEN EN RESIDENCIAS, CON CONTRATO INDEFINIDO, DE LA COMUNA DE VALDIVIA. EDUCACIÓN MEDIA COMPLETA.</t>
  </si>
  <si>
    <t>COPEC S.A, TRANSPORTE DE COMBUSTIBLES</t>
  </si>
  <si>
    <t>99520000-7, 79904920-1</t>
  </si>
  <si>
    <t>FUNDACIÓN NIÑO Y PATRIA</t>
  </si>
  <si>
    <t>70235800-0</t>
  </si>
  <si>
    <t>EDUCADORES DE TRATO DIRECTOR O TUTORES, QUE TRABAJAN DIRECTAMENTE CON NIÑOS Y NIÑAS QUE VIVEN EN RESIDENCIAS, ENTRE LOS 25 Y 60 AÑOS, DE AMBOS SEXOS, CON CONTRATO INDEFINIDO, DE LA COMUNA DE VALDIVIA</t>
  </si>
  <si>
    <t>PEÑAFLOR</t>
  </si>
  <si>
    <t>HOMBRES Y MUJERES MAYORES DE 18 AÑOS, DE AMBOS SEXOS QUE TRABAJAN EN UNA RESIDENCIA DE CUIDADO TERAPÉUTICO DE NIÑOS, NIÑAS Y ADOLESCENTES.  CON EDUCACIÓN MEDIA COMPLETA, Y QUE RESIDAN EN LA COMUNA DE PEÑAFLOR Y SUS ALREDEDORES.</t>
  </si>
  <si>
    <t>FUNDACIÓN KOINOMADELFIA</t>
  </si>
  <si>
    <t>73238400-6</t>
  </si>
  <si>
    <t>PERSONAS VULNERABLES PERTENECIENTES AL 80% MÁS VULNERABLE, PREFERENTEMENTE ADULTOS MAYORES, HOMBRES Y MUJERES MAYORES DE 64 AÑOS DE EDAD,  QUE SE ENCUENTREN SIN TRABAJO, CUENTEN CON EDUCACIÓN MEDIA COMPLETA Y/O EXPERIENCIA LABORAL EN ÁREAS AFINES, COMO EL CUIDADO DE PERSONAS O ASISTENCIA EN SERVICIOS DE SALUD, PRESENTEN CERTIFICADO DE INHABILIDAD CORRESPONDIENTE, SIN CONOCIMIENTOS FORMALES EN EL OFICIO, QUE VIVAN EN LAS COMUNAS DE CERRO NAVIA, PUDAHUEL O LO PRADO, Y  ESTÉN VINCULADAS A LA FUNDACIÓN CERRO NAVIA JOVEN.</t>
  </si>
  <si>
    <t>DIMERCO COMERCIAL S.A.</t>
  </si>
  <si>
    <t>76.193.810-K</t>
  </si>
  <si>
    <t>FUNDACION CERRO NAVIA JOVEN</t>
  </si>
  <si>
    <t>72.517.200-1</t>
  </si>
  <si>
    <t xml:space="preserve">PERSONAS VULNERABLES PERTENECIENTES AL 80% MÁS VULNERABLE, PREFERENTEMENTE HOMBRES Y MUJERES  MAYORES DE 64 AÑOS, QUE SE ENCUENTREN SIN TRABAJO, CUENTEN CON EDUCACIÓN MEDIA COMPLETA Y/O EXPERIENCIA LABORAL EN ÁREAS AFINES, COMO EL CUIDADO DE PERSONAS O ASISTENCIA EN SERVICIOS DE SALUD, PRESENTEN  CERTIFICADO DE INHABILIDAD CORRESPONDIENTE, SIN CONOCIMIENTOS FORMALES EN EL OFICIO,  QUE VIVAN EN LAS COMUNAS DE CERRO NAVIA, PUDAHUEL O LO PRADO, Y VINCULADAS A LA FUNDACIÓN CERRO NAVIA JOVEN.
</t>
  </si>
  <si>
    <t xml:space="preserve">FUNDACION INVICA //  COOPERATIVA ABIERTA DE VIVIENDA PROVICOOP
</t>
  </si>
  <si>
    <t xml:space="preserve">81719700-0   70274600-0
</t>
  </si>
  <si>
    <t xml:space="preserve">FUNDACIÓN CERRO NAVIA
</t>
  </si>
  <si>
    <t xml:space="preserve">72.517.200-1
</t>
  </si>
  <si>
    <t>HOMBRES Y MUJERES, ENTRE 18 Y 64 AÑOS DE EDAD, QUE RESIDAN EN LA COMUNA DE MAIPÚ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</si>
  <si>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HOMBRES Y MUJERES, ENTRE 18 Y 64 AÑOS DE EDAD, QUE RESIDAN EN LA COMUNA DE PUERTO MONTT U ALEDAÑAS, REGIÓN DE LOS LAGOS,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</si>
  <si>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 xml:space="preserve">Banco Estado Microempresas S.A.
</t>
  </si>
  <si>
    <t xml:space="preserve">96781620-5
</t>
  </si>
  <si>
    <t xml:space="preserve">Fundación Proyecto B
</t>
  </si>
  <si>
    <t xml:space="preserve">HOMBRES Y MUJERES CON DISCAPACIDAD COGNITIVA, DE 18 AÑOS O MÁS,  EDUCACIÓN BÁSICA COMPLETA, PREFERENTEMENTE
</t>
  </si>
  <si>
    <t xml:space="preserve">76185232-9 
76109764-4 
79556300-8
</t>
  </si>
  <si>
    <t xml:space="preserve">JP MORGAN ASSET MANAGEMENT CHILE LTDA. 
JP MORGAN CORREDORA DE BOLSA SPA 
 INVERSIONES JP MORGAN LTDA
</t>
  </si>
  <si>
    <t xml:space="preserve"> FUNDACION DESCUBREME 
</t>
  </si>
  <si>
    <t xml:space="preserve">SAN JOAQUIN </t>
  </si>
  <si>
    <t xml:space="preserve">CYD INGENIERIA Y CONSTRUCCION LTDA
</t>
  </si>
  <si>
    <t xml:space="preserve">88359600-5
</t>
  </si>
  <si>
    <t xml:space="preserve">FUNDACION INFOCAP
</t>
  </si>
  <si>
    <t xml:space="preserve">72251100-K
</t>
  </si>
  <si>
    <t>AYUDANTE DE PASTELERÍA EN SUPERMERCADO</t>
  </si>
  <si>
    <t>PF0696</t>
  </si>
  <si>
    <t xml:space="preserve">PERSONAS DE 17 AÑOS O MÁS, A QUIENES SE LES HUBIERA APLICADO UNA SANCIÓN PENAL1). CON BENEFICIO DE LIBERTAD ASISTIDA, LIBERTAD ASISTIDA ESPECIAL, RÉGIMEN SEMICERRADO O CERRADO BAJO LA LEY N°20.084. REQUISITOS DE INGRESO A PF EDUCACIÓN BASICA COMPLETA, PREFERENTEMENTE.
</t>
  </si>
  <si>
    <t xml:space="preserve">JOY GLOBAL CHILE SA
</t>
  </si>
  <si>
    <t xml:space="preserve">95616000-6
</t>
  </si>
  <si>
    <t xml:space="preserve">65070018-k
</t>
  </si>
  <si>
    <t>CAMARONES</t>
  </si>
  <si>
    <t>HOMBRES Y MUJERES DE 18 AÑOS O MAS, QUE PERTENECEN AL 80% MAS VULNERABLES, RESIDEN EN LA COMUNA DE CAMARONES Y TENER EDUCACIÓN BÁSICA COMPLETA</t>
  </si>
  <si>
    <t>PERSONAS DERIVADAS POR OMIL DE CAMARONES, ESPECÍFICAMENTE QUE PERTENECEN AL 80% MAS VULNERABLES</t>
  </si>
  <si>
    <t>69251000-3</t>
  </si>
  <si>
    <t>RUT 69091300-3 MUNICIPALIDAD DE MARCHIHUE. PERSONAS DERIVADAS POR OMIL DE MARCHIHUE, ESPECÍFICAMENTE QUE PERTENECEN AL 80% MAS VULNERABLES</t>
  </si>
  <si>
    <t xml:space="preserve">HOMBRES Y MUJERES DE 18 AÑOS O MAS PERTENECIENTES AL 80% MAS VULNERABLE, CON EDUCACION MEDIA COMPLETA PREFERENTEMENTE QUE RECIDAN EN LA COMUNA DE VIÑA DEL MAR Y SUS ALREDERDORES </t>
  </si>
  <si>
    <t>COCINA INTERNACIONAL</t>
  </si>
  <si>
    <t>PF1439</t>
  </si>
  <si>
    <t>MUJERES MAYORES DE 18 AÑOS, PRIVADAS DE LIBERTAD EN EL CENTRO PENITENCIARIO FEMENINO DE SANTIAGO, EN SITUACIÓN DE VULNERABILIDAD SOCIAL (PERTENECIENTES AL 80% MÁS VULNERABLE), CON BAJA ESCOLARIDAD Y LIMITADA EXPERIENCIA LABORAL.</t>
  </si>
  <si>
    <t>PRINCIPAL ADMINISTRADORA GENERAL DE FONDOS S.A., PRINCIPAL COMPAÑÍA DE SEGUROS DE VIDA CHILE S.A., PRINCIPAL SERVICIOS CORPORATIVOS CHILE TDA., PRINCIPAL AHORRO E INVERSIONES S.A., COPEC S.A, TRANSPORTE DE COMBUSTIBLES</t>
  </si>
  <si>
    <t>91999000-7, 96588080-1, 76752060-3, 76613770-9, 99520000-7, 79904920-1</t>
  </si>
  <si>
    <t>CORPORACIÓN ABRIENDO PUERTAS</t>
  </si>
  <si>
    <t>65006242-6</t>
  </si>
  <si>
    <t xml:space="preserve">PERSONAS DE 17 AÑOS O MÁS, A QUIENES SE LES HUBIERA APLICADO UNA SANCIÓN PENAL1). CON BENEFICIO DE LIBERTAD ASISTIDA, LIBERTAD ASISTIDA ESPECIAL, RÉGIMEN SEMICERRADO O CERRADO BAJO LA LEY N°20.084. REQUISITOS DE INGRESO A PF EDUCACIÓN MEDIA COMPLETA, PREFERENTEMENTE
</t>
  </si>
  <si>
    <t xml:space="preserve">PERSONAS DE 17 AÑOS O MÁS, A QUIENES SE LES HUBIERA APLICADO UNA SANCIÓN PENAL1). CON BENEFICIO DE LIBERTAD ASISTIDA, LIBERTAD ASISTIDA ESPECIAL, RÉGIMEN SEMICERRADO O CERRADO BAJO LA LEY N°20.084.  REQUISITOS DE INGRESO A PF EDUCACIÓN MEDIA COMPLETA, PREFERENTEMENTE.
</t>
  </si>
  <si>
    <t>HOMBRES Y MUJERES ENTRE LOS 18 A 65 AÑOS, DESOCUPADOS, CON ENSEÑANZA MEDIA COMPLETA, QUE VIVAN EN LA COMUNA DE MAIPÚ Y CUENTEN CON RSH HASTA EL 80% DE VULNERABILIDAD</t>
  </si>
  <si>
    <t>HOMBRES Y MUJERES PERTENECIENTES HASTA EL 80% MÁS VULNERABLE SEGÚN RSH, ENTRE 18 Y 70 AÑOS DE EDAD.
PERSONAS QUE CUENTEN CON EDUCACIÓN MEDIA PREFERENTEMENTE, CON MANEJO BÁSICO DE REDES SOCIALES. RESIDEN EN LA COMUNA Y SERÁN DERIVADAS POR LA OMIL DE MAIPÚ.
LOS BENEFICIARIOS DEL GRUPO OBJETIVO UNA VEZ CAPACITADOS, PODRÁN ACCEDER A OPORTUNIDADES LABORALES EN EMPRESAS DE DIVERSOS SECTORES COMERCIALES, RETAIL, COMERCIO TRADICIONAL, EMPRENDIMIENTOS Y NEGOCIOS ENFOCADOS EN VENTAS Y COMERCIO DIGITAL. .</t>
  </si>
  <si>
    <t>96.573.590-9
96.819.130-6
76.039.758-K
96.643.410-4</t>
  </si>
  <si>
    <t>Municipalidad de Maipú</t>
  </si>
  <si>
    <t>MUJERES ENTRE 18 Y 64 AÑOS DE EDAD, QUE PERTENEZCAN AL PROGRAMA MUJERES JEFAS DE HOGAR, QUE RESIDAN EN LA COMUNA DE GRANEROS U ALEDAÑAS, REGIÓN DE O’HIGGINS,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</si>
  <si>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Servicio Nacional de la Mujer y la Equidad de Género
</t>
  </si>
  <si>
    <t xml:space="preserve">60.107.000-6
</t>
  </si>
  <si>
    <t>MUJERES Y HOMBRES ENTRE 18 Y 64 AÑOS DE EDAD, CESANTES
PREFERENTEMENTE ENSEÑANZA MEDIA COMPLETA,
PERTENECIENTES AL 80% DE LA POBLACIÓN MÁS VULNERABLE, SEGÚN REGISTRO SOCIAL DE HOGARES.
MANEJO DE OPERACIONES MATEMÁTICAS BÁSICAS, 
PERTENICIENTES A LA COMUNA DE PUDAHUEL</t>
  </si>
  <si>
    <t xml:space="preserve">Cyd Internacional S.A.
Barros &amp; Errazuriz Abogados Ltda.
Comercial Grafica Millantue Ltda.
</t>
  </si>
  <si>
    <t xml:space="preserve">Cyd Internacional S.A.	96717910-8
Barros &amp; Errazuriz Abogados Ltda.	79806660-9
Comercial Grafica Millantue Ltda.	86654600-2
</t>
  </si>
  <si>
    <t>ONG Casa de Acogida La Esperanza.</t>
  </si>
  <si>
    <t>HOMBRES Y MUJERES DE ENTRE 18 Y 64 AÑOS, PERTENECIENTES AL 80% DE LA POBLACIÓN MÁS VULNERABLE SEGÚN EL REGISTRO SOCIAL DE HOGARES. ESTÁ DIRIGIDO A PERSONAS QUE DESEEN APRENDER UN OFICIO Y DESARROLLARSE EN EL ÁMBITO LABORAL, CON EL OBJETIVO DE GENERAR AUTONOMÍA ECONÓMICA. NO SE REQUIERE EXPERIENCIA PREVIA EN EL ÁREA, YA QUE EL CURSO ESTÁ DISEÑADO PARA QUIENES BUSCAN ADQUIRIR NUEVOS CONOCIMIENTOS Y HABILIDADES. CON ENSEÑANZA MEDIA COMPLETA PREFERENTEMENTE Y HABILIDADES DE LECTOESCRITURA</t>
  </si>
  <si>
    <t>BANCO DE CREDITO E INVERSIONES, GASTON ESCUDERO JARA LTDA, SOC. COM. DE CARNES MULCHEN LTDA, GTD MANQUEHUE S.A., GTD INTESIS S.A., GTD GRUPO TELEDUCTOS S.A., GTD TELEDUCTOS S.A., RED PACÍFICO SPA, RURAL TELECOMUNCATIONS CHILE S.A., CÍA. NACIONAL DE TELÉFONOS TELEFÓNICA DEL SUR S.A, INMOBILIARIA SECURITY SA, SEGUROS VIDA SECURITY PREVISIÓN S.A, ADMINISTRADORA GENERAL DE FONDOS SECURITY S.A., VALORES SECURITY S.A. CORREDORES DE BOLSA, BANCO SECURITY, FACTORING SECURITY S.A., GRUPO SECURITY S.A., CAPITAL S.A., TRAVEL SECURITY S.A., CORREDORES DE SEGUROS SECURITY, COLBUN S.A., COPEC S.A, TRANSPORTE DE COMBUSTIBLES</t>
  </si>
  <si>
    <t>97006000-6; 79948040-9; 76008190-6; 93737000-8; 78159800-3; 94727000-1; 88983600-8; 76560668-3; 96956550-1; 90299000-3; 96786270-3; 99301000-6; 96639280-0; 96515580-5; 97053000-2; 96655860-1; 96604380-6; 96905260-1; 85633900-9; 77371990-K; 96505760-9; 99520000-7; 79904920-1</t>
  </si>
  <si>
    <t>DISEÑO Y COMERCIALIZACIÓN DE ORFEBRERÍA WUILLICHE CON ENCASTES DE PIEDRAS SEMIPRECIOSAS</t>
  </si>
  <si>
    <t>PF0713</t>
  </si>
  <si>
    <t>PERSONAS CON 18 AÑOS O MAS, QUE SE ENCUENTREN CESANTES O DESOCUPADOS, HOMBRES Y MUJERES DE LA COMUNA DE CABRERO. QUEPERSONAS CON 18 AÑOS O MAS, CESANTES O DEOSCUPADOS HOMBRES Y MUJERES DE LA COMUNA DE CABRERO. QUE TENGAN COMPETENCIAS BASICAQS, LECTOESCRITURA Y CUATRO OPERACIONES MATEMATICAS</t>
  </si>
  <si>
    <t>MUNICIPALIDAD DE CABRERO. PERSONAS DERIVADAS POR OMIL DE CABRERO,</t>
  </si>
  <si>
    <t xml:space="preserve">69151000-K
</t>
  </si>
  <si>
    <t>HOMBRES Y MUJERES MAYORES DE 18 AÑOS, CESANTES O QUE BUSCA TRABAJO POR PRIMERA VEZ, CON EDUCACIÓN BÁSICA COMPLETA, HABITANTES DE LA COMUNA DE LOS ÁNGELES, EN PARTICULAR DEL SECTOR DE LA SUERTE</t>
  </si>
  <si>
    <t>RUT MUNICIPALIDAD DE LOS ANGELES 69170100-K. PERSONAS DERIVADAS POR OMIL DE LOS ANGELES ESPECÍFICAMENTE PERSONAS DESOCUPADOS CESANTES Y PERSONAS QUE BUSCAN TRABAJO POR PRIMERA VEZ</t>
  </si>
  <si>
    <t>69170100-K</t>
  </si>
  <si>
    <t>HOMBRES Y MUJERES MAYORES DE 18 AÑOS Y MENOS DE 60, QUE PERTENEZCAN A LA COMUNA DE QUILICURA. QUE SON EMPRENDEDORES QUE ESTAN DENTRO DEL 80% MAS VULNERABLE Y QUE TIENEN EDUCACIÓN BASICA COMPLETA PREFERENTEMENTE</t>
  </si>
  <si>
    <t>IDEAL S.A.</t>
  </si>
  <si>
    <t>82623500-4</t>
  </si>
  <si>
    <t>RUT 69071300-4 MUNICIPALIDAD DE QUILICURA. PERSONAS DERIVADAS POR OMIL DE QUILICURA, ESPECÍFICAMENTE QUE PERTENECEN AL 80% MAS VULNERABLES</t>
  </si>
  <si>
    <t>INICIANDO MI NEGOCIO</t>
  </si>
  <si>
    <t>PF0838</t>
  </si>
  <si>
    <t>INSTALACIÓN Y MANTENIMIENTO DE EMPALMES DE REDES DE DISTRIBUCIÓN ELÉCTRICA</t>
  </si>
  <si>
    <t>PF1240</t>
  </si>
  <si>
    <t>HOMBRES Y MUJERES, ENTRE 18 Y 64 AÑOS DE EDAD, QUE RESIDAN EN LA COMUNA DE SAN JOAQUÍN U ALEDAÑAS, REGIÓN METROPOLITANA, QUE PERTENEZCAN AL 80% DE LA POBLACIÓN MÁS VULNERABLE SEGÚN REGISTRO SOCIAL DE HOGARES, CON EDUCACIÓN MEDIA COMPLETA. YA SEAN PERSONAS CESANTES, QUE BUSCAN TRABAJO POR PRIMERA VEZ O QUE SE ENCUENTRAN ACTUALMENTE REALIZANDO TRABAJOS PRECARIOS, INFORMALES O DE BAJA CALIFICACIÓN, Y REQUIERAN REALIZAR UNA RECONVERSIÓN LABORAL.</t>
  </si>
  <si>
    <t>HOMBRES Y MUJERES ENTRE LOS 55 A 75 AÑOS, QUE CUENTEN CON CONOCIMIENTOS DE LECTOESCRITURA Y CÁLCULOS MATEMÁTICOS BÁSICOS, HABITANTES DE LA COMUNA DE MAIPÚ , CON ENSEÑANZA MEDIA COMPLETA Y QUE POSEAN RSH HASTA EL 80% DE VULNERABILIDAD Y QUE POSEA  CERTIFICACIÓN COMO INSTALADOR ELÉCTRICO AUTORIZADO POR LA SEC CLASE A, B, C O D.</t>
  </si>
  <si>
    <t>LABORES EN BODEGA DE MATERIALES E INSUMOS</t>
  </si>
  <si>
    <t>PF0834</t>
  </si>
  <si>
    <t>HOMBRES Y MUJERES, ENTRE 18 Y 64 AÑOS DE EDAD, QUE RESIDAN EN LA COMUNA DE COPIAPÓ U ALEDAÑAS, REGIÓN DE ATACAMA, QUE ESTÉN EN SITUACIÓN DE DISCAPACIDAD, CON EDUCACIÓN BÁSICA COMPLETA PREFERENTEMENTE. YA SEAN PERSONAS CESANTES, QUE BUSCAN TRABAJO POR PRIMERA VEZ O QUE SE ENCUENTRAN ACTUALMENTE REALIZANDO TRABAJOS PRECARIOS, INFORMALES O DE BAJA CALIFICACIÓN, Y REQUIERAN REALIZAR UNA RECONVERSIÓN LABORAL.</t>
  </si>
  <si>
    <t>Banco Estado Microempresas S.A.</t>
  </si>
  <si>
    <t xml:space="preserve">Fundación Descúbreme
</t>
  </si>
  <si>
    <t>PENCO</t>
  </si>
  <si>
    <t>PERSONAS CON 18 AÑOS CUMPLIDOS PERTENENCIENTES AL 80% MÁS VULNERBLE, HOMBRE Y/O MUJERES DE LA COMUNA DE PENCO.</t>
  </si>
  <si>
    <t>VIDRIOS LIRQUEN S.A.</t>
  </si>
  <si>
    <t>90687000-2</t>
  </si>
  <si>
    <t xml:space="preserve">PERSONAS DERIVADAS POR OMIL DE PENCO, ESPECÍFICAMENTE QUE PERTENECEN AL 80% MAS VULNERABLES        </t>
  </si>
  <si>
    <t xml:space="preserve"> 69.150.501-4</t>
  </si>
  <si>
    <t>MUJERES ENTRE 18 Y 64 AÑOS DE EDAD, QUE PERTENEZCAN AL PROGRAMA MUJERES JEFAS DE HOGAR, QUE RESIDAN EN LA COMUNA DE PUQUELDÓN U ALEDAÑAS, REGIÓN DE LOS LAGOS,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</si>
  <si>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VICUÑA</t>
  </si>
  <si>
    <t>MUJERES ENTRE 18 Y 64 AÑOS DE EDAD, QUE PERTENEZCAN AL PROGRAMA MUJERES JEFAS DE HOGAR, QUE RESIDAN EN LA COMUNA DE VICUÑA U ALEDAÑAS, REGIÓN DE COQUIMBO,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</si>
  <si>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LOGÍSTICA ADMINISTRATIVA</t>
  </si>
  <si>
    <t>PF0877</t>
  </si>
  <si>
    <t xml:space="preserve">HOMBRES Y MUJERES, ENTRE 18 Y 64 AÑOS DE EDAD, QUE RESIDAN EN LA COMUNA DE SANTIAGO CENTRO,  REGIÓN METROPOLITANA, QUE PERTENEZCAN AL 80% DE LA POBLACIÓN MÁS VULNERABLE SEGÚN REGISTRO SOCIAL DE HOGARES, EDUCACIÓN MEDIA COMPLETA PREFERENTEMENTE, CON MANEJO DE PC Y PLANILLA DE CÁLCULO NIVEL INTERMEDIO. YA SEAN PERSONAS CESANTES, QUE BUSCAN TRABAJO POR PRIMERA VEZ O QUE SE ENCUENTRAN ACTUALMENTE REALIZANDO TRABAJOS PRECARIOS, INFORMALES O DE BAJA CALIFICACIÓN, QUIENES REQUIERAN REALIZAR UNA RECONVERSIÓN LABORAL.
</t>
  </si>
  <si>
    <t xml:space="preserve">TEPSAC S.A
</t>
  </si>
  <si>
    <t xml:space="preserve">76.556.170-1
</t>
  </si>
  <si>
    <t xml:space="preserve">FUCAP
</t>
  </si>
  <si>
    <t xml:space="preserve">77534810-0
</t>
  </si>
  <si>
    <t>MECÁNICA BÁSICA AUTOMOTRIZ</t>
  </si>
  <si>
    <t>PF0584</t>
  </si>
  <si>
    <t>PERSONAS CON 18 AÑOS CUMPLIDOS PERTENENCIENTES AL 80% MÁS VULNERABLE, HOMBRE Y/O MUJERES DE LA COMUNA DE PENCO. CON ENSEÑANZA MEDIA COMPLETA PREFERENTEMENTE.</t>
  </si>
  <si>
    <t>PERSONAS DERIVADAS POR OMIL DE PENCO</t>
  </si>
  <si>
    <t xml:space="preserve">69.150.501-4. </t>
  </si>
  <si>
    <t xml:space="preserve">HOMBRES Y MUJERES ENTRE LOS 18 A 65 AÑOS, DESOCUPADOS, CON ENSEÑANZA MEDIA COMPLETA, QUE VIVAN EN LA COMUNA DE MAIPÚ Y CUENTEN CON RSH HASTA EL 80% DE VULNERABILIDAD
</t>
  </si>
  <si>
    <t>ALTO HOSPICIO</t>
  </si>
  <si>
    <t>HOMBRES Y MUJERES MAYORES DE 18 AÑOS, CESANTES O QUE BUSCA TRABAJO POR PRIMERA VEZ, PREFERENTEMENTE CON EDUCACIÓN MEDIA COMPLETA, PREFERENTEMENTE HABITANTES DE LA COMUNA DE ALTO HOSPICIO</t>
  </si>
  <si>
    <t>RUT MUNICIPALIDAD DE ALTO HOSPICIO 69265100-6. PERSONAS DERIVADAS POR OMIL DE ALTO HOSPICIO ESPECÍFICAMENTE PERSONAS DESOCUPADOS CESANTES Y PERSONAS QUE BUSCAN TRABAJO POR PRIMERA VEZ</t>
  </si>
  <si>
    <t>69265100-6</t>
  </si>
  <si>
    <t xml:space="preserve">PERSONAS DE 17 AÑOS O MÁS, A QUIENES SE LES HUBIERA APLICADO UNA SANCIÓN PENAL1). CON BENEFICIO DE LIBERTAD ASISTIDA, LIBERTAD ASISTIDA ESPECIAL, RÉGIMEN SEMICERRADO O CERRADO BAJO LA LEY N°20.084. REQUISITOS DE INGRESO A PF EDUCACIÓN MEDIA COMPLETA, PREFERENTEMENTE.
</t>
  </si>
  <si>
    <t>MEJORANDO EL MARKETING DE MI NEGOCIO</t>
  </si>
  <si>
    <t>PF0840</t>
  </si>
  <si>
    <t>HOMBRES Y MUJERES MAYORES DE 18 AÑOS, CESANTES O QUE BUSCA TRABAJO POR PRIMERA VEZ, PREFERENTEMENTE CON EDUCACIÓN BÁSICA COMPLETA, HABITANTES DE LA COMUNA DE TEMUCO, HABILIDADES DE LECTO ESCRITURA, EXPERIENCIA COMO EMPRESARIO, CON INICIACIÓN DE ACTIVIDADES ANTE EL SERVICIO DE IMPUESTOS INTERNOS.</t>
  </si>
  <si>
    <t>RUT 69190700-7 MUNICIPALIDAD DE TEMUCO. PERSONAS CESANTES, DESOCUPADAS O QUE BUSCAN TRABAJO POR PRIMERA VEZ, DERIVADAS POR OMIL DE LA COMUNA DE TEMUCO.</t>
  </si>
  <si>
    <t>69190700-7</t>
  </si>
  <si>
    <t>RUT 69190700-7 MUNICIPALIDAD DE TEMUCO, OMIL DE LA COMUNA DE TEMUCO, PERSONAS CESANTES DE LA COMUNA.</t>
  </si>
  <si>
    <t>MONTAJE DE SISTEMAS SOLARES FOTOVOLTAICOS</t>
  </si>
  <si>
    <t>PF1418</t>
  </si>
  <si>
    <t>MUJERES ENTRE 18 Y 64 AÑOS DE EDAD QUE RESIDAN EN LA COMUNA DE LOS VILOS U ALEDAÑAS, REGIÓN DE COQUIMBO,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</si>
  <si>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PRODEMU
</t>
  </si>
  <si>
    <t xml:space="preserve">72.101.000-7
</t>
  </si>
  <si>
    <t>PUTRE</t>
  </si>
  <si>
    <t>MUJERES ENTRE 18 Y 64 AÑOS DE EDAD QUE RESIDAN EN LA COMUNA DE PUTRE U ALEDAÑAS, REGIÓN DE ARICA,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</si>
  <si>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MUJERES ENTRE 18 Y 64 AÑOS DE EDAD QUE RESIDAN EN LA COMUNA DE VALLENAR U ALEDAÑAS, REGIÓN DE ATACAMA,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</si>
  <si>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PERSONAS DE 17 AÑOS O MÁS, A QUIENES SE LES HUBIERA APLICADO UNA SANCIÓN PENAL1). CON BENEFICIO DE LIBERTAD ASISTIDA, LIBERTAD ASISTIDA ESPECIAL, RÉGIMEN SEMICERRADO O CERRADO BAJO LA LEY N°20.085. REQUISITOS DE INGRESO A PF EDUCACIÓN MEDIA COMPLETA, PREFERENTEMENTE</t>
  </si>
  <si>
    <t xml:space="preserve">KOMATSU HOLDING SOUTH AMERICA LTDA
</t>
  </si>
  <si>
    <t xml:space="preserve">76080246-9
</t>
  </si>
  <si>
    <t>PERSONAS CON MENOS DE UN AÑO DE EGRESO DE CUARTO AÑO DE ENSEÑANZA MEDIA O DE LICEOS TÉCNICOS PROFESIONALES</t>
  </si>
  <si>
    <t xml:space="preserve">HOMBRES Y MUJERES ENTRE 18 Y 64 AÑOS DE EDAD,  PERTENECIENTES AL 80% DE LA POBLACIÓN MÁS VULNERABLE, SEGÚN REGISTRO SOCIAL DE HOGARES. PREFERENTEMENTE ENSEÑANZA MEDIA COMPLETA. NO SE REQUI REQUISITOS DE INGRESO DEL PLAN FORMATIVO EDUCACIÓN BÁSICA COMPLETA, PREFERENTEMENTE; CONOCIMIENTOS DE LECTOESCRITURA BÁSICA; CONOCIMIENTOS DE CÁLCULOS MATEMÁTICOS BÁSICOS.ERE EXPERIENCIA EN EL ÁREA. 
</t>
  </si>
  <si>
    <t xml:space="preserve">Inversiones Ultramar Ltda. / Fidelitas SPA / Papiros S.A.
</t>
  </si>
  <si>
    <t xml:space="preserve">76549561-K /99542000-7 /96956180-8
</t>
  </si>
  <si>
    <t xml:space="preserve">ONG Casa de Acogida La Esperanza
</t>
  </si>
  <si>
    <t>PERSONAS PRIVADAS LIBERTAD MAYORES DE 18 AÑOS QUE CUMPLEN CONDENA EN EL SISTEMA CERRADO DE GENDARMERÍA DE CHILE, EN CENTRO ESTUDIO Y TRABAJO C.E.T. C.D.P. TALAGANTE, EDUCACIÓN BÁSICA COMPLETA, PREFERENTEMENTE; CONOCIMIENTOS DE LECTOESCRITURA BÁSICA; CONOCIMIENTOS DE CÁLCULOS MATEMÁTICOS BÁSICOS.</t>
  </si>
  <si>
    <t>BANCO DE CREDITO E INVERSIONES, COPEC S.A, TRANSPORTE DE COMBUSTIBLES, HENNES &amp; MAURITZ SPL</t>
  </si>
  <si>
    <t>97006000-6, 99520000-7, 79904920-1, 76218187-8</t>
  </si>
  <si>
    <t>PERSONAS DE 17 AÑOS O MÁS, A QUIENES SE LES HUBIERA APLICADO UNA SANCIÓN PENAL1). CON BENEFICIO DE LIBERTAD ASISTIDA, LIBERTAD ASISTIDA ESPECIAL, RÉGIMEN SEMICERRADO O CERRADO BAJO LA LEY N°20.084.  REQUISITOS DE INGRESO A PF EDUCACIÓN BÁSICA COMPLETA, PREFERENTEMENTE; CONOCIMIENTOS DE LECTOESCRITURA BÁSICA; CONOCIMIENTOS DE CÁLCULOS MATEMÁTICOS BÁSICOS.</t>
  </si>
  <si>
    <t xml:space="preserve">76080246-8
</t>
  </si>
  <si>
    <t>HOMBRES Y MUJERES PERTENECIENTES HASTA EL 80% MÁS VULNERABLE SEGÚN EL RSH, DE 20 A 55 AÑOS DE EDAD. 
PERSONAS CON EDUCACIÓN BÁSICA COMPLETA Y CONOCIMIENTOS DE LECTOESCRITURA BÁSICOS, CONOCIMIENTOS DE CÁLCULOS MATEMÁTICOS BÁSICOS.
RESIDEN EN LA COMUNA Y SERÁN DERIVADOS POR LA OMIL DE LLANQUIHUE.
LOS BENEFICIARIOS UNA VEZ CAPACITADOS PODRÁN DESEMPEÑARSE LABORALMENTE EN PANADERÍAS, AMASANDERÍAS O EMPRESAS DEL RUBRO CON FABRICACIÓN DE PAN.</t>
  </si>
  <si>
    <t>BBOSCH</t>
  </si>
  <si>
    <t>84.716.400- K</t>
  </si>
  <si>
    <t>Municipalidad de Llanquihue</t>
  </si>
  <si>
    <t>HOMBRES Y MUJERES PERTENECIENTES HASTA EL 80% MÁS VULNERABLE SEGÚN RSH, DE 18 A 65 AÑOS DE EDAD.
PERSONAS CON EDUCACIÓN BÁSICA COMPLETA, CONOCIMIENTOS EN LECTOESCRITURA BÁSICOS, CONOCIMIENTOS DE CÁLCULOS MATEMÁTICOS BÁSICOS.
RESIDEN EN LA COMUNA Y SERÁN DERIVADOS POR LA OMIL DE QUILICURA. 
LOS BENEFICIARIOS UNA VEZ CAPACITADOS, PODRÁN DESEMPEÑARSE EN CASINOS, RESTAURANTES, PASTELERÍAS, PANADERÍAS, EMPRESAS DEL RUBRO DE PASTELERÍA.</t>
  </si>
  <si>
    <t>Municipalidad de Quilicura</t>
  </si>
  <si>
    <t xml:space="preserve">MUJERES Y HOMBRES ENTRE 18 Y 35 AÑOS DE EDAD,  DESOCUPADOS, QUE CUENTEN CON ENSEÑANZA MEDIA COMPLETA, CON EL RSH BAJO EL 80% Y HABITEN EN LA COMUNA DE MAIPÚ
</t>
  </si>
  <si>
    <t>OPERACIONES DE PINTURA AUTOMOTRIZ</t>
  </si>
  <si>
    <t>PF1175</t>
  </si>
  <si>
    <t xml:space="preserve">PERSONAS DE 17 AÑOS O MÁS, A QUIENES SE LES HUBIERA APLICADO UNA SANCIÓN PENAL1). CON BENEFICIO DE LIBERTAD ASISTIDA, LIBERTAD ASISTIDA ESPECIAL, RÉGIMEN SEMICERRADO O CERRADO BAJO LA LEY N°20.084.  REQUISITOS DE INGRESO A PF EDUCACIÓN MEDIA COMPLETA, PREFERENTEMENTE.
</t>
  </si>
  <si>
    <t xml:space="preserve">PERSONAS DE 17 AÑOS O MÁS, A QUIENES SE LES HUBIERA APLICADO UNA SANCIÓN PENAL1). CON BENEFICIO DE LIBERTAD ASISTIDA, LIBERTAD ASISTIDA ESPECIAL, RÉGIMEN SEMICERRADO O CERRADO BAJO LA LEY N°20.084. REQUISITOS DE INGRESO AL PF EDUCACIÓN MEDIA COMPLETA, PREFERENTEMENTE
</t>
  </si>
  <si>
    <t>ORGANIZACIÓN DE EVENTOS</t>
  </si>
  <si>
    <t>PF0660</t>
  </si>
  <si>
    <t>LO ESPEJO</t>
  </si>
  <si>
    <t>ADULTOS MAYORES DE 18 AÑOS, EMPLEADOS Y/O DESEMPLEADOS, HOMBRES Y MUJERES, CHILENOS Y EXTRANJEROS, QUE RESIDAN EN LA REGION METROPOLITANA Y QUE CUENTEN CON EDUCACIÓN MEDIA COMPLETA Y MANEJO DE COMPUTACIÓN A NIVEL USUARIO.</t>
  </si>
  <si>
    <t>PLAN DE INTERVENCIÓN PSICOSOCIAL PARA PERSONAS EN SITUACIÓN DE VULNERACIÓN DE DERECHOS EN CONTEXTOS DE RESIDENCIAS</t>
  </si>
  <si>
    <t>PF1187</t>
  </si>
  <si>
    <t>TRABAJADORES ACTIVOS O EN PROCESO DE RECONVERSIÓN LABORAL, HOMBRES Y MUJERES, DE 18 AÑOS DE EDAD O MÁS, CON EDUCACIÓN MEDIA COMPLETA PREFERENTEMENTE Y QUE RESIDEN EN LA REGION DE VALPARAISO (CONSIDERAR QUE LA COMUNA ES EL QUISCO). DEBERÁN TENER PREFERENTEMENTE CON TÍTULO PROFESIONAL EN EL ÁREA DE PSICOLOGÍA, TRABAJO SOCIAL U OTRA CARRERA A FIN. EXPERIENCIA LABORAL DE AL MENOS 1 AÑO EN PUESTOS SIMILARES.</t>
  </si>
  <si>
    <t>PRODUCCIÓN DE HONGOS: DIGÜEÑE, CHANGLE Y MORCHELLA</t>
  </si>
  <si>
    <t>PF0768</t>
  </si>
  <si>
    <t>DALCAHUE</t>
  </si>
  <si>
    <t>HOMBRES Y MUJERES MAYORES DE 18 AÑOS, CESANTES O QUE BUSCA TRABAJO POR PRIMERA VEZ, PREFERENTEMENTE CON EDUCACIÓN BÁSICA COMPLETA, HABITANTES DE LA COMUNA DE DALCAHUE</t>
  </si>
  <si>
    <t>RUT 69230300-8 MUNICIPALIDAD DE DALCAHUE. PERSONAS CESANTES, DESOCUPADAS O QUE BUSCAN TRABAJO POR PRIMERA VEZ, DERIVADAS POR OMIL DE LA COMUNA DE DALCAHUE.</t>
  </si>
  <si>
    <t>69230300-8</t>
  </si>
  <si>
    <t xml:space="preserve">MUJERES ENTRE LOS 18 A 65 AÑOS, DESOCUPADAS, QUE TENGAN ENSEÑANZA MEDIA COMPLETA,PERTENECIENTES AL 80% MAS VULNERABLE SEGÚN EL RSH, QUE VIVAN EN LA COMUNA DE MAIPÚ </t>
  </si>
  <si>
    <t>SERVICIO DE REPOSICIÓN Y ORDEN DE PRODUCTOS EN SUPERMERCADOS Y GRANDES TIENDAS</t>
  </si>
  <si>
    <t>PF0592</t>
  </si>
  <si>
    <t>MUJERES ENTRE 18 Y 64 AÑOS QUE RESIDAN EN LA COMUNA DE LA UNIÓN U ALEDAÑAS, REGIÓN DE LOS RÍOS,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</si>
  <si>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CABO DE HORNOS</t>
  </si>
  <si>
    <t>MUJERES ENTRE 18 Y 64 AÑOS DE EDAD QUE RESIDAN EN LA COMUNA DE CABO DE HORNOS U ALEDAÑAS, REGIÓN DE MAGALLANES Y ANTÁRTICA CHILENA,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</si>
  <si>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HOMBRES Y MUJERES ENTRE 18 Y 64 AÑOS DE EDAD,  PERTENECIENTES AL 80% DE LA POBLACIÓN MÁS VULNERABLE, SEGÚN REGISTRO SOCIAL DE HOGARES. PREFERENTEMENTE ENSEÑANZA MEDIA COMPLETA. NO SE REQUIERE EXPERIENCIA EN EL ÁREA. 
</t>
  </si>
  <si>
    <t xml:space="preserve">Constructora Romeral SPA
</t>
  </si>
  <si>
    <t xml:space="preserve">76807664-2
</t>
  </si>
  <si>
    <t xml:space="preserve">MUJERES ENTRE LOS 18 A 65 AÑOS, DESOCUPADOS, CON ENSEÑANZA MEDIA COMPLETA, QUE VIVAN EN LA COMUNA DE MAIPÚ Y CUENTEN CON RSH HASTA EL 80% DE VULNERABILIDAD
</t>
  </si>
  <si>
    <t>SAN CLEMENTE</t>
  </si>
  <si>
    <t>HOMBRES Y MUJERES, ENTRE 18 Y 64 AÑOS DE EDAD, QUE RESIDAN EN LA COMUNA DE SAN CLEMENTE U ALEDAÑAS, REGIÓN DEL MAULE, QUE PERTENEZCAN AL 80% DE LA POBLACIÓN MÁS VULNERABLE SEGÚN REGISTRO SOCIAL DE HOGARES, CON EDUCACIÓN MEDIA COMPLETA PREFERENTEMENTE, TÍTULO TÉCNICO DE NIVEL MEDIO EN EL ÁREA DE TURISMO, O EXPERIENCIA DEMOSTRABLE CURSO DE PRIMEROS AUXILIOS DE MÍNIMO 32 HORAS. YA SEAN PERSONAS CESANTES, QUE BUSCAN TRABAJO POR PRIMERA VEZ O QUE SE ENCUENTRAN ACTUALMENTE REALIZANDO TRABAJOS PRECARIOS, INFORMALES O DE BAJA CALIFICACIÓN, Y REQUIERAN REALIZAR UNA RECONVERSIÓN LABORAL.</t>
  </si>
  <si>
    <t>PERSONAS DE 17 AÑOS O MÁS, A QUIENES SE LES HUBIERA APLICADO UNA SANCIÓN PENAL1). CON BENEFICIO DE LIBERTAD ASISTIDA, LIBERTAD ASISTIDA ESPECIAL, RÉGIMEN SEMICERRADO O CERRADO BAJO LA LEY N°20.084, REQUISITOS DE INGRESO A PF EDUCACIÓN MEDIA COMPLETA, PREFERENTEMENTE.</t>
  </si>
  <si>
    <t>HOMBRES Y MUJERES, ENTRE 18 Y 64 AÑOS DE EDAD, QUE RESIDAN EN LA COMUNA DE COPIAPÓ U ALEDAÑAS, REGIÓN DE ATACAMA,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</si>
  <si>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TECHO CHILE
</t>
  </si>
  <si>
    <t xml:space="preserve">65.533.130-1
</t>
  </si>
  <si>
    <t xml:space="preserve">MUJERES DE LA COMUNA DE TALCA, PERTENECIENTES A LA JUNTA DE VECINOS DE LA VILLA BICENTENARIO, ENTRE 18 Y 65 AÑOS QUE POSEAN ENSEÑANZA MEDIA COMPLETA Y QUE NO SE ENCUENTREN TRABAJANDO.
</t>
  </si>
  <si>
    <t>HOMBRES Y MUJERES, ENTRE 18 Y 64 AÑOS DE EDAD, QUE RESIDAN EN LA COMUNA DE TIL TIL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</si>
  <si>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VILLA ALEMANA</t>
  </si>
  <si>
    <t>HOMBRES Y MUJERES DE 18 AÑOS O MAS PERTENECIENTES AL 80% MAS VULNERABLE, CON EDUCACION MEDIA COMPLETA PREFERENTEMENTE QUE RECIDAN EN LA COMUNA DE VILLA ALEMANA Y SUS ALREDERDORES</t>
  </si>
  <si>
    <t xml:space="preserve">MUJERES Y HOMBRES DE 18 AÑOS O MÁS PERTENECIENTES AL 80% DE LA POBLACIÓN MÁS VULNERABLE, SEGÚN REGISTRO SOCIAL DE HOGARES. EDUCACIÓN MEDIA COMPLETA, PREFERENTEMENTE.
</t>
  </si>
  <si>
    <t>TÉCNICAS Y OPERACIONES DE GESTIÓN DE MERCADERÍAS EN BODEGA DE INSUMOS Y MATERIALES</t>
  </si>
  <si>
    <t>PF0902</t>
  </si>
  <si>
    <t>HOMBRES Y MUJERES, ENTRE 18 Y 64 AÑOS DE EDAD, QUE RESIDAN EN LA COMUNA DE VALPARAÍSO U ALEDAÑAS, REGIÓN DE VALPARAÍSO, QUE ESTÉN EN SITUACIÓN DE DISCAPACIDAD, CON EDUCACIÓN MEDIA COMPLETA PREFERENTEMENTE. YA SEAN PERSONAS CESANTES, QUE BUSCAN TRABAJO POR PRIMERA VEZ O QUE SE ENCUENTRAN ACTUALMENTE REALIZANDO TRABAJOS PRECARIOS, INFORMALES O DE BAJA CALIFICACIÓN, Y REQUIERAN REALIZAR UNA RECONVERSIÓN LABORAL.</t>
  </si>
  <si>
    <t>VULCANIZACIÓN DE NEUMÁTICOS DE EQUIPOS MINEROS MÓVILES MEDIANA MINERÍA</t>
  </si>
  <si>
    <t>PF0977</t>
  </si>
  <si>
    <t xml:space="preserve">HOMBRES Y MUJERES, ENTRE 18 Y 64 AÑOS DE EDAD, QUE RESIDAN EN LA COMUNA DE SANTIAGO,  REGIÓN METROPOLITANA, QUE PERTENEZCAN AL 80% DE LA POBLACIÓN MÁS VULNERABLE SEGÚN REGISTRO SOCIAL DE HOGARES, EDUCACIÓN BÁSICA COMPLETA PREFERENTEMENTE. YA SEAN PERSONAS CESANTES, QUE BUSCAN TRABAJO POR PRIMERA VEZ O QUE SE ENCUENTRAN ACTUALMENTE REALIZANDO TRABAJOS PRECARIOS, INFORMALES O DE BAJA CALIFICACIÓN, QUIENES REQUIERAN REALIZAR UNA RECONVERSIÓN LABORAL.
</t>
  </si>
  <si>
    <t xml:space="preserve">PERSONAS DE 17 AÑOS O MÁS, A QUIENES SE LES HUBIERA APLICADO UNA SANCIÓN PENAL1). CON BENEFICIO DE LIBERTAD ASISTIDA, LIBERTAD ASISTIDA ESPECIAL, RÉGIMEN SEMICERRADO O CERRADO BAJO LA LEY N°20.084  REQUISITOS DE INGRESO A PF EDUCACIÓN BÁSICA COMPLETA, PREFERENTEMENTE
</t>
  </si>
  <si>
    <t xml:space="preserve">ADMINISTRADOR DE OPERACIONES FINANCIERAS
</t>
  </si>
  <si>
    <t xml:space="preserve">"1. REALIZAR LA RECEPCIÓN Y ORDEN DE LA DOCUMENTACIÓN
PARA SU PROCESAMIENTO, CONFORME AL TIPO DE PRODUCTO Y
PROTOCOLOS ESTABLECIDOS EN EL SECTOR.
2. REGISTRAR LA DOCUMENTACIÓN EN LOS SISTEMAS DE
INFORMACIÓN, DE ACUERDO A LOS TIPOS DE PRODUCTOS Y A LOS
PROTOCOLOS ESTABLECIDOS EN EL SECTOR.
3. . PROCESAR DOCUMENTACIÓN, CONFORME A PROCEDIMIENTOS
ESTABLECIDOS EN EL SECTOR.
4. REALIZAR LA MANTENCIÓN Y SOPORTE DE PRODUCTOS, DE
ACUERDO A PROTOCOLOS ESTABLECIDOS EN EL SECTOR.
5. TRANSFERIR LA DOCUMENTACIÓN DE SOLICITUDES TRAMITADAS AL ÁREA CORRESPONDIENTE, DE ACUERDO A PROTOCOLOS DEL
SECTOR"
</t>
  </si>
  <si>
    <t>JÓVENES, HOMBRES Y MUJERES, ENTRE 17 Y 19 AÑOS, QUE SE ENCUENTRAN CURSANDO CUARTO MEDIO EN LICEOS VULNERABLES Y TÉCNICOS DE LA COMUNA DE RENGO, QUE PERTENECEN A FAMILIAS VULNERABLES, Y QUE TIENEN DISPONIBILIDAD DESPUÉS DE LA JORNADA ESTUDIANTIL PARA PODER CAPACITARSE EN UN CURSO QUE LES ENTREGARÁ HERRAMIENTAS PARA MEJORAR SUS COMPETENCIAS AL MOMENTO DE EGRESAR DEL COLEGIO</t>
  </si>
  <si>
    <t xml:space="preserve">Cámara Chileno-Alemana de Comercio e Industria
</t>
  </si>
  <si>
    <t xml:space="preserve">82.599.200-6
</t>
  </si>
  <si>
    <t>MALLOA</t>
  </si>
  <si>
    <t xml:space="preserve">JÓVENES, HOMBRES Y MUJERES, ENTRE 17 Y 19 AÑOS, QUE SE ENCUENTRAN CURSANDO CUARTO MEDIO EN LICEOS VULNERABLES Y TÉCNICOS DE LA COMUNA DE MALLOA, QUE PERTENECEN A FAMILIAS VULNERABLES, Y QUE TIENEN DISPONIBILIDAD DESPUÉS DE LA JORNADA ESTUDIANTIL PARA PODER CAPACITARSE EN UN CURSO QUE LES ENTREGARÁ HERRAMIENTAS PARA MEJORAR SUS COMPETENCIAS AL MOMENTO DE EGRESAR DEL COLEGIO
</t>
  </si>
  <si>
    <t>LAS CABRAS</t>
  </si>
  <si>
    <t xml:space="preserve">JÓVENES, HOMBRES Y MUJERES, ENTRE 17 Y 19 AÑOS, QUE SE ENCUENTRAN CURSANDO CUARTO MEDIO EN LICEOS VULNERABLES Y TÉCNICOS DE LA COMUNA DE LAS CABRAS, QUE PERTENECEN A FAMILIAS VULNERABLES, Y QUE TIENEN DISPONIBILIDAD DESPUÉS DE LA JORNADA ESTUDIANTIL PARA PODER CAPACITARSE EN UN CURSO QUE LES ENTREGARÁ HERRAMIENTAS PARA MEJORAR SUS COMPETENCIAS AL MOMENTO DE EGRESAR DEL COLEGIO
</t>
  </si>
  <si>
    <t>QUINTA DE TILCOCO</t>
  </si>
  <si>
    <t xml:space="preserve">JÓVENES, HOMBRES Y MUJERES, ENTRE 17 Y 19 AÑOS, QUE SE ENCUENTRAN CURSANDO CUARTO MEDIO EN LICEOS VULNERABLES Y TÉCNICOS DE LA COMUNA DE RENGO, QUE PERTENECEN A FAMILIAS VULNERABLES, Y QUE TIENEN DISPONIBILIDAD DESPUÉS DE LA JORNADA ESTUDIANTIL PARA PODER CAPACITARSE EN UN CURSO QUE LES ENTREGARÁ HERRAMIENTAS PARA MEJORAR SUS COMPETENCIAS AL MOMENTO DE EGRESAR DEL COLEGIO
</t>
  </si>
  <si>
    <t>MOLINA</t>
  </si>
  <si>
    <t xml:space="preserve">JÓVENES, HOMBRES Y MUJERES, ENTRE 17 Y 19 AÑOS, QUE SE ENCUENTRAN CURSANDO CUARTO MEDIO EN LICEOS VULNERABLES Y TÉCNICOS DE LA COMUNA DE TALCA, QUE PERTENECEN A FAMILIAS VULNERABLES, Y QUE TIENEN DISPONIBILIDAD DESPUÉS DE LA JORNADA ESTUDIANTIL PARA PODER CAPACITARSE EN UN CURSO QUE LES ENTREGARÁ HERRAMIENTAS PARA MEJORAR SUS COMPETENCIAS AL MOMENTO DE EGRESAR DEL COLEGIO
</t>
  </si>
  <si>
    <t xml:space="preserve">JÓVENES, HOMBRES Y MUJERES, ENTRE 17 Y 19 AÑOS, QUE SE ENCUENTRAN CURSANDO CUARTO MEDIO EN LICEOS VULNERABLES Y TÉCNICOS DE LA COMUNA DE SAN JAVIER, QUE PERTENECEN A FAMILIAS VULNERABLES, Y QUE TIENEN DISPONIBILIDAD DESPUÉS DE LA JORNADA ESTUDIANTIL PARA PODER CAPACITARSE EN UN CURSO QUE LES ENTREGARÁ HERRAMIENTAS PARA MEJORAR SUS COMPETENCIAS AL MOMENTO DE EGRESAR DEL COLEGIO
</t>
  </si>
  <si>
    <t xml:space="preserve">JÓVENES, HOMBRES Y MUJERES, ENTRE 17 Y 19 AÑOS, QUE SE ENCUENTRAN CURSANDO CUARTO MEDIO EN LICEOS VULNERABLES Y TÉCNICOS DE LA COMUNA DE RETIRO, QUE PERTENECEN A FAMILIAS VULNERABLES, Y QUE TIENEN DISPONIBILIDAD DESPUÉS DE LA JORNADA ESTUDIANTIL PARA PODER CAPACITARSE EN UN CURSO QUE LES ENTREGARÁ HERRAMIENTAS PARA MEJORAR SUS COMPETENCIAS AL MOMENTO DE EGRESAR DEL COLEGIO
</t>
  </si>
  <si>
    <t>APLICACIÓN DE TÉCNICAS DE MOTIVACIÓN COOPERATIVA DE ACUERDO CON METODOLOGÍA PMTO.</t>
  </si>
  <si>
    <t>MÓDULO 1: FUNDAMENTOS DEL MODELO PMTO
APRENDIZAJES ESPERADOS:
IDENTIFICAR LOS PRINCIPIOS CLAVE DE LA METODOLOGÍA PMTO.
RECONOCER EL IMPACTO DE LA MOTIVACIÓN COOPERATIVA EN EL DESARROLLO DE DINÁMICAS GRUPALES.
COMPRENDER EL ROL DEL MODELO PMTO EN LA MODIFICACIÓN DE COMPORTAMIENTOS.
MÓDULO 2: COMUNICACIÓN EFECTIVA Y COLABORATIVA
APRENDIZAJES ESPERADOS:
IMPLEMENTAR TÉCNICAS DE COMUNICACIÓN PARA FOMENTAR RESPETO, EMPATÍA Y ESCUCHA ACTIVA.
PROMOVER INTERACCIONES POSITIVAS ENTRE LOS INTEGRANTES DE UN EQUIPO.
FACILITAR EL ENTENDIMIENTO MUTUO PARA MEJORAR LA COOPERACIÓN GRUPAL.
DISTINGUIR ESTRATEGIAS DE REGULACIÓN EMOCIONAL Y COMUNICACIÓN EFECTIVA DE ACUERDO CON LA METODOLOGÍA PMTO.
MÓDULO 3: REFUERZOS POSITIVOS
APRENDIZAJES ESPERADOS:
DISEÑAR Y APLICAR ESTRATEGIAS BASADAS EN REFUERZOS POSITIVOS SEGÚN EL MODELO PMTO.
ANALIZAR CÓMO LOS REFUERZOS CONTRIBUYEN AL FORTALECIMIENTO DE HÁBITOS PRODUCTIVOS.
EVALUAR LA EFECTIVIDAD DE LOS REFUERZOS POSITIVOS EN CONTEXTOS COOPERATIVOS.
RECONOCER HERRAMIENTAS DE COOPERACIÓN Y SEGUIMIENTO DE CONDUCTAS PROSOCIALES DE ACUERDO CON ESTRATEGIAS DE INSTRUCCIONES PARENTALES.
MÓDULO 4: MANEJO DE CONFLICTOS Y GESTIÓN EMOCIONAL
APRENDIZAJES ESPERADOS:
IDENTIFICAR FACTORES DESENCADENANTES DE CONFLICTOS EN ENTORNOS LABORALES.
APLICAR ESTRATEGIAS DE GESTIÓN EMOCIONAL PARA REDUCIR TENSIONES Y RESOLVER CONFLICTOS.
FOMENTAR UN CLIMA DE TRABAJO ARMONIOSO BASADO EN EL RESPETO Y LA COLABORACIÓN.
DISTINGUIR ESTRATEGIAS DE REGULACIÓN EMOCIONAL DE ACUERDO CON LA METODOLOGÍA PMTO.
MÓDULO 5: PREVENCIÓN Y GESTIÓN DE DESAFÍOS
APRENDIZAJES ESPERADOS:
RECONOCER BARRERAS QUE PODRÍAN OBSTACULIZAR LA MOTIVACIÓN COOPERATIVA EN EQUIPOS DE TRABAJO.
DISEÑAR PLANES PREVENTIVOS PARA MINIMIZAR RIESGOS Y MEJORAR LA DINÁMICA GRUPAL.
IMPLEMENTAR MEDIDAS CORRECTIVAS ALINEADAS CON LOS PRINCIPIOS DE PMTO PARA SOLUCIONAR PROBLEMAS.
APLICAR TÉCNICAS DE DISCIPLINA EFECTIVA Y SOLUCIÓN DE PROBLEMAS DE ACUERDO CON LA METODOLOGÍA PMTO.
MÓDULO 6: LIDERAZGO COOPERATIVO
APRENDIZAJES ES</t>
  </si>
  <si>
    <t>ADULTOS CUIDADORES DE NIÑOS, NIÑAS ENTRE 4 A 10 AÑOS PERTENECIENTES AL 80% MÁS VULNERABLE, PERTENECIENTES A COMUNIDAD ESCOLAR DE ESTABLECIMIENTO RED SIP JORGE ALESSANDRI RODRÍGUEZ DE LA COMUNA DE RENCA. ADEMÁS, DEBE CONTAR CON HABILIDADES DE LECTOESCRITURA. CONOCIMIENTOS BÁSICOS DE COMUNICACIÓN EFECTIVA. CONOCIMIENTO DE MANEJO DE CONFLICTOS.</t>
  </si>
  <si>
    <t>APLICACIÓN DE TÉCNICAS DE PREVENCIÓN DE RIESGOS PSICOSOCIALES DE ACUERDO CON METODOLOGÍA FU</t>
  </si>
  <si>
    <t>RECONOCER ESTRATEGIAS DE ABORDAJE DE SITUACIONES DE CONFLICTO EN EL ÁMBITO PERSONAL, FAMILIAR Y LABORAL DE ACUERDO CON LINEAMIENTOS DE COMUNICACIÓN EFECTIVA. DISTINGUIR HERRAMIENTAS DE INVOLUCRAMIENTO POSITIVO Y MONITOREO DE LA CONDUCTA SEGÚN PARÁMETROS DE CONCILIACIÓN PSICO LABORAL. APLICAR ESTRATEGIAS DE PREVENCIÓN Y DISMINUCIÓN DE CONDUCTAS DE RIESGO SEGÚN METODOLOGÍA FU.</t>
  </si>
  <si>
    <t>COMUNIDAD DE FAMILIAS COLEGIO JORGE ALESSANDRI RODRÍGUEZ</t>
  </si>
  <si>
    <t>ATENCIÓN AL CLIENTE Y GARZONERÍA PARA PERSONAS CON DISCAPACIDAD</t>
  </si>
  <si>
    <t>"1.DESARROLLAR HABILIDADES DE COMUNICACIÓN EFECTIVA PARA INTERACTUAR CON CLIENTES DE MANERA EMPÁTICA Y RESPETUOSA EN DIVERSOS ENTORNOS COMERCIALES UTILIZANDO MATERIAL DE APOYO VISUAL.
 2.APRENDER TÉCNICAS PARA IDENTIFICAR LAS NECESIDADES Y EXPECTATIVAS DE LOS CLIENTES, ADAPTÁNDOSE A SUS REQUERIMIENTOS INDIVIDUALES.
 3.CONOCER Y APLICAR PROTOCOLOS DE ATENCIÓN AL CLIENTE ADAPTADOS A DIFERENTES RUBROS, CON EL APOYO DE PROFESIONALES.
 4.MANEJAR SITUACIONES DE CONFLICTO Y QUEJAS DE MANERA CALMADA Y RESOLUTIVA, BUSCANDO SOLUCIONES SATISFACTORIAS PARA EL CLIENTE.
 5.DOMINAR EL USO DE HERRAMIENTAS TECNOLÓGICAS Y SISTEMAS DE PUNTO DE VENTA PARA AGILIZAR PROCESOS DE ATENCIÓN AL CLIENTE.
 6.ADAPTAR EL LENGUAJE Y LA COMUNICACIÓN NO VERBAL SEGÚN LAS CAPACIDADES Y PREFERENCIAS DE LOS CLIENTES, INCLUYENDO AQUELLOS CON DISCAPACIDAD.
 7.COLABORAR EN LA CREACIÓN DE EXPERIENCIAS POSITIVAS PARA EL CLIENTE, DESDE EL SALUDO INICIAL HASTA LA DESPEDIDA FINAL.
 8.APRENDER A TRABAJAR EN EQUIPO CON COMPAÑEROS DE TRABAJO Y SUPERVISORES PARA MEJORAR LA EXPERIENCIA DEL CLIENTE.
 9.DEMOSTRAR ACTITUDES DE PROFESIONALISMO, COMPROMISO Y RESPETO HACIA LOS CLIENTES Y COMPAÑEROS DE TRABAJO, PROMOVIENDO LA INCLUSIÓN Y LA DIVERSIDAD EN EL ENTORNO LABORAL"</t>
  </si>
  <si>
    <t>PERSONAS EN SITUACIÓN DE DISCAPACIDAD, DE 18 AÑOS O MÁS, QUE SE ATIENDEN EN EDUDOWN, HOMBRES Y MUJERES, QUE TIENEN O NO EXPERIENCIA LABORAL, RESIDENTES DE LA REGIÓN METROPOLITANA Y QUE BUSCAN CON LA CAPACITACIÓN INSERTARSE AL MUNDO LABORAL.</t>
  </si>
  <si>
    <t>BANCO DE CHILE</t>
  </si>
  <si>
    <t>97004000-5</t>
  </si>
  <si>
    <t>CORPORACION EDUDOWN</t>
  </si>
  <si>
    <t>65073010-0</t>
  </si>
  <si>
    <t>CAPACITACIÓN LABORAL PARA EL TRABAJO</t>
  </si>
  <si>
    <t>PLANIFICACIÓN DEL PROYECTO OCUPACIONAL</t>
  </si>
  <si>
    <t>PF0920</t>
  </si>
  <si>
    <t>"1.DESARROLLAR HABILIDADES EMOCIONALES PARA MANEJAR EL ESTRÉS Y LA ANSIEDAD EN EL ÁMBITO LABORAL, CON EL APOYO DE PROFESIONALES.
 2.APRENDER TÉCNICAS EFECTIVAS PARA EL MANEJO DE CONFLICTOS Y LA COMUNICACIÓN ASERTIVA EN EL TRABAJO.
 3.ADQUIRIR CONOCIMIENTOS BÁSICOS SOBRE EL MANEJO DEL DINERO, INCLUYENDO EL PRESUPUESTO Y EL AHORRO CON MATERIAL DE APOYO VISUAL.
 4.DOMINAR HABILIDADES PRÁCTICAS RELACIONADAS CON EL USO DEL TRANSPORTE PÚBLICO O MÉTODOS DE DESPLAZAMIENTO INDEPENDIENTE.
 5.IDENTIFICAR Y GESTIONAR ADECUADAMENTE LOS RECURSOS DE APOYO DISPONIBLES EN EL ENTORNO LABORAL.
 6.PRACTICAR LA PUNTUALIDAD Y LA RESPONSABILIDAD EN LAS TAREAS ASIGNADAS.
 7.FOMENTAR LA AUTONOMÍA Y LA TOMA DE DECISIONES INFORMADAS EN EL CONTEXTO LABORAL.
 8.COLABORAR EN ACTIVIDADES DE GRUPO PARA PROMOVER EL TRABAJO EN EQUIPO Y LA SOLIDARIDAD.
 10.DEMOSTRAR ACTITUDES PROACTIVAS, COMPROMISO Y PERSEVERANCIA EN LA BÚSQUEDA Y MANTENIMIENTO DEL EMPLEO."</t>
  </si>
  <si>
    <t>COCINA INCLUSIVA CON APOYO</t>
  </si>
  <si>
    <t>"1.IDENTIFICAR Y UTILIZAR UTENSILIOS DE COCINA ADAPTADOS.
 2.SELECCIONAR Y PREPARAR INGREDIENTES FRESCOS Y BÁSICOS CON APOYO PROFESIONAL.
 3.SEGUIR INSTRUCCIONES SIMPLES PARA LA ELABORACIÓN DE RECETAS ADAPTADAS.
 4.APLICAR MEDIDAS DE HIGIENE Y SEGURIDAD EN LA COCINA CON ASISTENCIA Y MATERIAL ADAPTADO PARA SU COMPRENSIÓN. 
 5.RECONOCER SABORES Y TEXTURAS DE ALIMENTOS CON EL APOYO NECESARIO.
 6.UTILIZAR TÉCNICAS BÁSICAS DE CORTE Y PREPARACIÓN DE ALIMENTOS CON AYUDA Y USO DE ELEMENTOS ADAPTADOS. 
 7.ADAPTAR RECETAS SEGÚN NECESIDADES Y PREFERENCIAS INDIVIDUALES CON ORIENTACIÓN.
 8.COLABORAR EN ACTIVIDADES GRUPALES DE COCINA CON ASISTENCIA ADECUADA.
 9.PRESENTAR PLATOS DE FORMA SENCILLA Y ATRACTIVA CON APOYO DE PROFESIONALES."</t>
  </si>
  <si>
    <t>- APLICAR NORMAS DEL REGLAMENTO SANITARIO DE LOS ALIMENTOS (RSA) Y LA LEY 20.606 SOBRE
ETIQUETADO NUTRICIONAL.
- RECONOCER Y APLICAR BUENAS PRÁCTICAS DE MANUFACTURA (BPM) EN PROCESOS PRODUCTIVOS
ALIMENTARIOS.
- IMPLEMENTAR PRINCIPIOS DEL SISTEMA HACCP PARA EL CONTROL DE PELIGROS ALIMENTARIOS.
- MANEJAR HERRAMIENTAS E INSTRUMENTOS DE MEDICIÓN PARA EVALUACIÓN SENSORIAL,
FISICOQUÍMICA Y MICROBIOLÓGICA BÁSICA.
- INTERPRETAR Y REGISTRAR RESULTADOS DE CONTROL DE CALIDAD, REPORTANDO NO CONFORMIDADES
SEGÚN PROTOCOLOS ESTABLECIDOS.
- APLICAR CRITERIOS DE AUDITORÍA Y TRAZABILIDAD CONFORME A ESTÁNDARES ISO 22000 Y BRC FOOD.</t>
  </si>
  <si>
    <t>CURSO INSTALADOR ELECTRICO AUTORIZADO CLASE D</t>
  </si>
  <si>
    <t>SIERRA GORDA</t>
  </si>
  <si>
    <t xml:space="preserve">"1. CONOCIMIENTO DE LA NORMATIVA ELÉCTRICA Y SEGURIDAD
 • APRENDER A APLICAR LAS NORMATIVAS ELÉCTRICAS VIGENTES EN CHILE, EN ESPECIAL LAS REGULACIONES DE LA SEC (COMO EL REGLAMENTO DE INSTALACIONES ELÉCTRICAS Y LAS NORMAS NCH).
 • COMPRENDER LAS NORMATIVAS DE SEGURIDAD ELÉCTRICA PARA PROTEGER A LAS PERSONAS Y LOS BIENES, TANTO EN INSTALACIONES RESIDENCIALES COMO COMERCIALES E INDUSTRIALES.
 • IDENTIFICAR LAS SEÑALES Y PRECAUCIONES DE SEGURIDAD AL TRABAJAR CON SISTEMAS ELÉCTRICOS, Y SABER CÓMO ACTUAR ANTE EMERGENCIAS ELÉCTRICAS.
 • DESARROLLAR UNA COMPRENSIÓN PROFUNDA DE LA LEY 20.123 QUE REGULA EL EJERCICIO PROFESIONAL DE LOS INSTALADORES ELÉCTRICOS Y SUS IMPLICANCIAS LEGALES.
 2. FUNDAMENTOS DE ELECTRICIDAD
 • EXPLICAR LOS PRINCIPIOS BÁSICOS DE LA ELECTRICIDAD, COMO CORRIENTE ELÉCTRICA, VOLTAJE, RESISTENCIA, POTENCIA Y LEY DE OHM.
 • CONOCER LOS TIPOS DE CORRIENTE ELÉCTRICA (AC Y DC) Y SUS APLICACIONES EN LAS INSTALACIONES ELÉCTRICAS.
 • IDENTIFICAR LOS COMPONENTES Y EQUIPOS ELÉCTRICOS (CONDUCTORES, INTERRUPTORES, ENCHUFES, TOMACORRIENTES, ETC.) Y SU CORRECTO USO Y APLICACIÓN.
 3. DISEÑO Y CÁLCULO DE INSTALACIONES ELÉCTRICAS
 • REALIZAR CÁLCULOS BÁSICOS DE INSTALACIONES ELÉCTRICAS PARA DETERMINAR LA CAPACIDAD ADECUADA DE LOS CONDUCTORES, PROTECCIÓN Y EQUIPOS EN FUNCIÓN DE LA CARGA.
 • DESARROLLAR DIAGRAMAS ELÉCTRICOS Y PLANOS DE INSTALACIONES, ESPECIFICANDO LOS COMPONENTES, DISPOSITIVOS Y CONEXIONES A UTILIZAR.
 • SELECCIONAR Y DIMENSIONAR ADECUADAMENTE LOS ELEMENTOS DE PROTECCIÓN COMO FUSIBLES Y DISYUNTORES, SEGÚN EL TIPO DE INSTALACIÓN Y CARGAS CONECTADAS.
 4. INSTALACIONES ELÉCTRICAS RESIDENCIALES Y COMERCIALES
 • PLANIFICAR Y EJECUTAR INSTALACIONES ELÉCTRICAS EN VIVIENDAS Y EDIFICIOS COMERCIALES, RESPETANDO LAS DISTANCIAS DE SEGURIDAD Y LAS NORMAS DE LA SEC.
 • INSTALAR TABLEROS DE DISTRIBUCIÓN ELÉCTRICA Y REALIZAR CONEXIONES A SISTEMAS DE ENERGÍA, ASEGURANDO LA CORRECTA DISTRIBUCIÓN DE CIRCUITOS Y PROTECCIÓN ADECUADA.
 • REALIZAR CONEXIONES DE PUESTA A TIERRA </t>
  </si>
  <si>
    <t>HOMBRES Y MUJERES DE 18 AÑOS O MAS, QUE PERTENECEN AL 80% MAS VULNERABLE, QUE RESIDEN EN LA COMUNA DE CIERRA GORDA Y CUENTAN CON EDUCACIÓN MEDIA COMPLETA.</t>
  </si>
  <si>
    <t>EDUCACIÓN FINANCIERA</t>
  </si>
  <si>
    <t>03. LUNES - VESPERTINO / 06. MARTES - VESPERTINO / 09. MIÉRCOLES - VESPERTINO / 12. JUEVES - VESPERTINO / 14. VIERNES - TARDE</t>
  </si>
  <si>
    <t xml:space="preserve">MÓDULO 1: ¿QUÉ ES LA EDUCACIÓN FINANCIERA?
DURACIÓN: 6 HORAS APRENDIZAJES ESPERADOS:
ENTENDER QUÉ ES LA EDUCACIÓN FINANCIERA Y SU IMPORTANCIA EN LA VIDA COTIDIANA.
RECONOCER CONCEPTOS BÁSICOS COMO INGRESOS, GASTOS, AHORRO Y DEUDA.
PROPORCIONAR HERRAMIENTAS INICIALES PARA LA GESTIÓN EFICIENTE DEL DINERO.
CONTENIDOS:
INTRODUCCIÓN AL CONCEPTO DE EDUCACIÓN FINANCIERA.
EL IMPACTO DE LAS DECISIONES FINANCIERAS EN EL BIENESTAR.
PRIMEROS PASOS PARA ORGANIZAR LAS FINANZAS PERSONALES.
MÓDULO 2: PRESUPUESTOS BÁSICOS PARA ORGANIZAR GASTOS
DURACIÓN: 10 HORAS APRENDIZAJES ESPERADOS:
APRENDER A CREAR UN PRESUPUESTO BÁSICO.
IDENTIFICAR INGRESOS Y DIVIDIR GASTOS EN CATEGORÍAS ESENCIALES.
DESARROLLAR HÁBITOS PARA MANTENER PRESUPUESTOS SIMPLES Y SOSTENIBLES.
CONTENIDOS:
¿QUÉ ES UN PRESUPUESTO Y CÓMO SE ELABORA?
ESTRATEGIAS PARA EVITAR GASTOS INNECESARIOS.
EJERCICIOS PRÁCTICOS: CREAR PRESUPUESTOS PERSONALIZADOS.
MÓDULO 3: AHORRO PARA EL FUTURO Y METAS FINANCIERAS
DURACIÓN: 8 HORAS APRENDIZAJES ESPERADOS:
ENSEÑAR LA IMPORTANCIA DEL AHORRO Y CÓMO EMPEZAR A AHORRAR CON RECURSOS LIMITADOS.
ESTABLECER METAS FINANCIERAS A CORTO Y LARGO PLAZO.
RECONOCER LA IMPORTANCIA DE AHORRAR PARA IMPREVISTOS Y PROYECTOS FUTUROS.
CONTENIDOS:
INTRODUCCIÓN AL AHORRO: CONSEJOS FÁCILES PARA EMPEZAR.
CÓMO ESTABLECER METAS FINANCIERAS SIMPLES Y REALIZABLES.
HERRAMIENTAS BÁSICAS PARA CALCULAR Y PLANIFICAR AHORROS.
MÓDULO 4: DEUDAS Y DECISIONES FINANCIERAS INFORMADAS
DURACIÓN: 8 HORAS APRENDIZAJES ESPERADOS:
ENTENDER LOS RIESGOS DEL ENDEUDAMIENTO EXCESIVO Y CÓMO EVITARLO.
RECONOCER DIFERENTES TIPOS DE DEUDA Y SUS IMPLICACIONES.
APRENDER A TOMAR DECISIONES FINANCIERAS INFORMADAS Y RESPONSABLES.
CONTENIDOS:
DIFERENCIAS ENTRE DEUDA BUENA Y DEUDA MALA.
ESTRATEGIAS BÁSICAS PARA SALIR DE DEUDAS.
EJERCICIOS PRÁCTICOS: EVALUAR DECISIONES DE GASTO.
MÓDULO 5: AYUDAS DEL ESTADO Y HERRAMIENTAS PARA LA INDEPENDENCIA ECONÓMICA
DURACIÓN: 10 HORAS APRENDIZAJES ESPERADOS:
INFORMAR SOBRE PROGRAMAS Y BENEFICIOS DEL ESTADO </t>
  </si>
  <si>
    <t>JÓVENES, HOMBRES O MUJERES, DE ENTRE 18 Y 21 AÑOS, QUE EMPIEZAN A GENERAR SUS PROPIOS INGRESOS Y REQUIEREN APRENDER A GESTIONAR SUS FINANZAS PERSONALES, Y QUE RESIDAN EN LA COMUNA DE SAN JOAQUÍN. CON EDUCACION BASICA PREFERENTEMENTE, MANEJO DE COMPUTACIÓN A NIVEL USUARIO.</t>
  </si>
  <si>
    <t>RUT 69254600-8 MUNICIPALIDAD DE SAN JOAQUÍN. PERSONAS DERIVADAS POR OMIL DE LO SAN JOAQUÍN, ESPECÍFICAMENTE QUE PERTENECEN AL 80% MAS VULNERABLES</t>
  </si>
  <si>
    <t>"MÓDULO 1: NORMAS DE HIGIENE Y SEGURIDAD PERSONAL, LABORAL Y AMBIENTAL EN LA MANIPULACIÓN DE ALIMENTOS.
 - APLICAR LAS NORMAS BÁSICAS DE HIGIENE PERSONAL Y LABORAL PARA GARANTIZAR LA SEGURIDAD ALIMENTARIA EN LA MANIPULACIÓN DE PRODUCTOS.
 - IMPLEMENTAR MEDIDAS DE SEGURIDAD AMBIENTAL EN LA MANIPULACIÓN DE ALIMENTOS, MANTENIENDO UN ENTORNO LIMPIO Y ORDENADO PARA PREVENIR RIESGOS SANITARIOS.
 - GESTIONAR CORRECTAMENTE LA TEMPERATURA Y EL ALMACENAMIENTO DE LOS PRODUCTOS SEGÚN LAS NORMATIVAS DE SEGURIDAD ALIMENTARIA, ASEGURANDO LA CALIDAD E INOCUIDAD DE LOS ALIMENTOS.
 - IDENTIFICAR Y PREVENIR RIESGOS LABORALES ASOCIADOS CON LA MANIPULACIÓN DE ALIMENTOS, APLICANDO MEDIDAS PREVENTIVAS PARA EVITAR ACCIDENTES Y ENFERMEDADES EN EL ENTORNO DE TRABAJO.
 MÓDULO 2: PREPARACIÓN DE MISE EN PLACE 
 - ORGANIZAR INGREDIENTES Y UTENSILIOS DE MANERA EFICIENTE PARA OPTIMIZAR LA PRODUCCIÓN EN PASTELERÍA.
 - MEDIR Y PREPARAR INGREDIENTES CON PRECISIÓN, ASEGURANDO CALIDAD EN LOS PRODUCTOS FINALES.
 - CONSERVAR LOS INGREDIENTES CORRECTAMENTE, MANTENIENDO SU FRESCURA Y CALIDAD DURANTE EL PROCESO DE PREPARACIÓN.
 MÓDULO 3: INTERPRETACIÓN Y APLICACIÓN DE TÉCNICAS PARA ELABORAR RECETAS UTILIZADAS EN PASTELERÍA Y REPOSTERÍA
 - INTERPRETAR Y APLICAR RECETAS CORRECTAMENTE, UTILIZANDO LOS INGREDIENTES Y TÉCNICAS ADECUADAS PARA LOGRAR PRODUCTOS DE CALIDAD.
 - APLICAR TÉCNICAS DE PREPARACIÓN, COCCIÓN Y DECORACIÓN PARA PRODUCIR PRODUCTOS DE PASTELERÍA CON EL SABOR Y PRESENTACIÓN DESEADOS.
 - AJUSTAR RECETAS SEGÚN LAS NECESIDADES DEL CLIENTE O CONDICIONES DEL ENTORNO, MANTENIENDO LA CALIDAD DEL PRODUCTO.
 - GESTIONAR EL TIEMPO Y LOS RECURSOS EFICIENTEMENTE, ASEGURANDO LA ENTREGA DE PRODUCTOS FRESCOS Y BIEN ELABORADOS DENTRO DE LOS PLAZOS ESTABLECIDOS.
 MÓDULO 4: PREPARACIÓN DE PRODUCTOS DE PASTELERÍA, REPOSTERÍA Y MASAS SALADAS
 - APLICAR TÉCNICAS ADECUADAS PARA PREPARAR PRODUCTOS DE PASTELERÍA Y REPOSTERÍA, GARANTIZANDO LA TEXTURA, SABOR Y PRESENTACIÓN DESEADOS.
 - ELABORAR MASAS SALADAS COMO QUICHES,</t>
  </si>
  <si>
    <t xml:space="preserve">ELABORACIÓN DE PRODUCTOS DE PASTELERÍA Y REPOSTERÍA
</t>
  </si>
  <si>
    <t>MÓDULO 1: NORMAS DE HIGIENE Y SEGURIDAD EN LA MANIPULACIÓN DE ALIMENTOS
APLICAR NORMAS BÁSICAS DE HIGIENE PERSONAL Y LABORAL PARA ASEGURAR LA INOCUIDAD ALIMENTARIA. IMPLEMENTAR MEDIDAS DE SEGURIDAD AMBIENTAL, MANTENIENDO UN ENTORNO LIMPIO PARA PREVENIR RIESGOS SANITARIOS. CONTROLAR TEMPERATURA Y ALMACENAMIENTO DE PRODUCTOS SEGÚN NORMATIVAS. IDENTIFICAR Y PREVENIR RIESGOS LABORALES MEDIANTE MEDIDAS PREVENTIVAS.
MÓDULO 2: PREPARACIÓN DE MISE EN PLACE
ORGANIZAR EFICIENTEMENTE INGREDIENTES Y UTENSILIOS PARA OPTIMIZAR LA PRODUCCIÓN. MEDIR Y PREPARAR CON PRECISIÓN, GARANTIZANDO CALIDAD. CONSERVAR INGREDIENTES ADECUADAMENTE PARA MANTENER FRESCURA DURANTE LA PREPARACIÓN.
MÓDULO 3: TÉCNICAS PARA ELABORAR RECETAS DE PASTELERÍA Y REPOSTERÍA
INTERPRETAR Y APLICAR RECETAS USANDO INGREDIENTES Y TÉCNICAS ADECUADAS. EJECUTAR TÉCNICAS DE PREPARACIÓN, COCCIÓN Y DECORACIÓN PARA LOGRAR PRODUCTOS CON BUEN SABOR Y PRESENTACIÓN. AJUSTAR RECETAS SEGÚN NECESIDADES DEL CLIENTE O CONTEXTO. GESTIONAR TIEMPO Y RECURSOS PARA CUMPLIR PLAZOS CON PRODUCTOS FRESCOS Y BIEN ELABORADOS.
MÓDULO 4: PREPARACIÓN DE PRODUCTOS DE PASTELERÍA, REPOSTERÍA Y MASAS SALADAS
APLICAR TÉCNICAS ADECUADAS EN LA ELABORACIÓN DE PRODUCTOS, GARANTIZANDO TEXTURA Y SABOR. PREPARAR MASAS SALADAS COMO QUICHES, EMPANADAS Y PANES, SIGUIENDO MÉTODOS DE AMASADO Y COCCIÓN. USAR EFICIENTEMENTE INGREDIENTES Y EQUIPOS, OPTIMIZANDO TIEMPOS Y CALIDAD.</t>
  </si>
  <si>
    <t xml:space="preserve">HOMBRES Y MUJERES ENTRE 18 Y 64 AÑOS DE EDAD,  PERTENECIENTES AL 80% DE LA POBLACIÓN MÁS VULNERABLE, SEGÚN REGISTRO SOCIAL DE HOGARES. PREFERENTEMENTE ENSEÑANZA MEDIA COMPLETA., CESANTE, NO SE REQUIERE EXPERIENCIA EN EL ÁREA. 
</t>
  </si>
  <si>
    <t xml:space="preserve">Banco Bice
</t>
  </si>
  <si>
    <t xml:space="preserve">97080000-K
</t>
  </si>
  <si>
    <t>GARZONERÍA PARA PERSONAS CON DISCAPACIDAD INTELECTUAL</t>
  </si>
  <si>
    <t>"1. DESARROLLAR HABILIDADES DE COMUNICACIÓN EFECTIVA PARA INTERACTUAR CON CLIENTES Y COMPAÑEROS DE TRABAJO.
 2. CONOCER Y APLICAR NORMAS DE ETIQUETA Y PROTOCOLO ADAPTADAS AL SERVICIO EN RESTAURANTES.
 3. ADQUIRIR DESTREZAS EN LA TOMA DE PEDIDOS Y MANEJO DE COMANDAS CON EL APOYO DE PROFESIONALES.
 4. APRENDER TÉCNICAS PARA LA PREPARACIÓN Y MONTAJE DE MESAS TENIENDO EN CUENTA LAS NECESIDADES INDIVIDUALES DE LOS COMENSALES.
 5. IDENTIFICAR Y RESOLVER PROBLEMAS COMUNES EN EL ÁREA DE ATENCIÓN AL CLIENTE CON ASISTENCIA ESPECIALIZADA.
 6. MANEJAR CON DESTREZA HERRAMIENTAS UTILIZADAS EN EL SERVICIO DE RESTAURANTES.
 7. CONOCER Y APLICAR MEDIDAS DE HIGIENE Y SEGURIDAD ALIMENTARIA EN EL ÁREA DE TRABAJO.
 8. PRACTICAR EL TRABAJO EN EQUIPO Y LA COLABORACIÓN CON OTROS MIEMBROS DEL PERSONAL DEL RESTAURANTE.
 9. DEMOSTRAR ACTITUDES DE EMPATÍA, RESPETO Y PROFESIONALISMO HACIA CLIENTES Y COLEGAS, PROMOVIENDO LA INCLUSIÓN Y LA DIVERSIDAD EN EL ENTORNO LABORAL."</t>
  </si>
  <si>
    <t>HERRAMIENTAS TRANSVERSALES PARA EL EMPLEO</t>
  </si>
  <si>
    <t>MÓDULO 1: TRABAJO EN EQUIPO
APRENDIZAJES ESPERADOS:
COMPRENDER LA IMPORTANCIA DEL TRABAJO COLABORATIVO PARA ALCANZAR OBJETIVOS COMUNES.
DESARROLLAR HABILIDADES PARA CONSTRUIR RELACIONES EFECTIVAS DENTRO DE UN EQUIPO.
APLICAR TÉCNICAS DE COMUNICACIÓN Y RESOLUCIÓN DE CONFLICTOS EN CONTEXTOS GRUPALES.
MÓDULO 2: HERRAMIENTAS COMUNICACIONALES PARA EL TRABAJO
APRENDIZAJES ESPERADOS:
IDENTIFICAR Y APLICAR TÉCNICAS DE COMUNICACIÓN EFECTIVA EN EL ENTORNO LABORAL.
DESARROLLAR HABILIDADES PARA EXPRESAR IDEAS CLARAMENTE Y ESCUCHAR DE MANERA ACTIVA.
FACILITAR EL ENTENDIMIENTO MUTUO Y MEJORAR LA INTERACCIÓN EN EQUIPOS DE TRABAJO.
MÓDULO 3: INICIATIVA Y APRENDIZAJE PERMANENTE
APRENDIZAJES ESPERADOS:
PROMOVER LA CAPACIDAD DE TOMAR DECISIONES AUTÓNOMAS EN EL ÁMBITO PROFESIONAL.
DESARROLLAR HABILIDADES PARA BUSCAR Y UTILIZAR OPORTUNIDADES DE APRENDIZAJE CONTINUO.
APLICAR ESTRATEGIAS PARA ADAPTARSE A ENTORNOS LABORALES DINÁMICOS Y CAMBIANTES.
MÓDULO 4: PLANIFICACIÓN DEL PROYECTO OCUPACIONAL
APRENDIZAJES ESPERADOS:
DESARROLLAR HABILIDADES PARA DEFINIR OBJETIVOS PERSONALES Y PROFESIONALES.
IDENTIFICAR PASOS CLAVE PARA IMPLEMENTAR UN PROYECTO OCUPACIONAL EXITOSO.
APLICAR HERRAMIENTAS DE PLANIFICACIÓN PARA MEJORAR LA EMPLEABILIDAD.
MÓDULO 5: EFECTIVIDAD PERSONAL
APRENDIZAJES ESPERADOS:
RECONOCER Y APLICAR ESTRATEGIAS PARA EL DESARROLLO DE LA EFECTIVIDAD PERSONAL EN EL TRABAJO.
DESARROLLAR HABILIDADES PARA LA AUTOEVALUACIÓN Y MEJORA CONTINUA.
FORTALECER LA CAPACIDAD DE ALCANZAR METAS Y RESULTADOS EN EL ENTORNO LABORAL.
MÓDULO 6: TÉCNICAS PARA LA RESOLUCIÓN DE PROBLEMAS
APRENDIZAJES ESPERADOS:
IDENTIFICAR PROBLEMAS Y ANALIZAR SUS CAUSAS DENTRO DEL ÁMBITO LABORAL.
DESARROLLAR HABILIDADES PARA APLICAR TÉCNICAS DE RESOLUCIÓN EFECTIVA DE PROBLEMAS.
PROMOVER LA TOMA DE DECISIONES FUNDAMENTADAS Y ORIENTADAS A SOLUCIONES.
MÓDULO 7: GESTIÓN DEL TIEMPO Y PRIORIDADES
APRENDIZAJES ESPERADOS:
APRENDER A GESTIONAR EL TIEMPO DE MANERA EFICIENTE PARA CUMPLIR CON TAREAS Y OBJETIVOS</t>
  </si>
  <si>
    <t>TRABAJADORES ACTIVOS O EN PROCESO DE RECONVERSIÓN LABORAL (HOMBRES Y MUJERES), DE 18 AÑOS DE EDAD O MÁS, CUYA REMUNERACIÓN PROMEDIO IMPONIBLE NO SUPERE $900.000 MENSUALES, CON 6 COTIZACIONES PAGADAS, CONTINUAS O DISCONTINUAS, EN LOS ÚLTIMOS 24 MESES. LA REMUNERACIÓN PROMEDIO SERÁ CALCULADA SOBRE EL TOTAL DE COTIZACIONES PRESENTADAS Y SIN CONSIDERAR HORAS EXTRAS NI BONOS.</t>
  </si>
  <si>
    <t>PRINCIPAL ADMINISTRADORA GENERAL DE FONDOS S.A., PRINCIPAL COMPAÑÍA DE SEGUROS DE VIDA CHILE S.A., PRINCIPAL SERVICIOS CORPORATIVOS CHILE TDA., PRINCIPAL AHORRO E INVERSIONES S.A.</t>
  </si>
  <si>
    <t>91999000-7, 96588080-1, 76752060-3, 76613770-9</t>
  </si>
  <si>
    <t>SOCIEDAD DE ASISTENCIA Y CAPACTIACIÓN</t>
  </si>
  <si>
    <t>70012450-9</t>
  </si>
  <si>
    <t>HOJA DE CÁLCULO NIVEL AVANZADO</t>
  </si>
  <si>
    <t>"N° 1: INSERTA DATOS EN UNA HOJA DE CÁLCULO, ESPECIFICANDO SU USO. N° 2: DIGITA DATOS ALFANUMÉRICOS EN UNA HOJA DE CALCULO. N° 3: REALIZA UNA EDICIÓN DE PLANILLA DE CÁLCULO. N° 4: REALIZA OPERACIONES EN UNA HOJA DE CÁLCULO CON FUNCIONES MATEMÁTICAS COMPLEJAS. N° 5: DESARROLLA DIFERENTES TIPOS DE GRÁFICOS Y LOS INTERPRETA SEGÚN LOS DATOS DEFINIDOS. N° 6: UTILIZA LAS HERRAMIENTAS DE FILTROS Y BÚSQUEDA PARA OPTIMIZAR LA PRECISIÓN DEPURACIÓN DE LA BASE DE DATOS.
 N° 7: REALIZA FUNCIONES LÓGICAS EN LA PLANILLA DE DATOS, PARA CALCULAR ESTADÍSTICOS DESCRIPTIVOS.
 N° 8: APLICA EN PLANILLAS ELECTRÓNICAS FÓRMULAS SIMPLES Y COMPUESTAS, FUNCIONES ESTADÍSTICAS Y FUNCIONES LÓGICAS QUE LE PERMITAN OBSERVAR RESULTADOS DE PROCESOS UTILIZADOS EN SU ÁREA DE TRABAJO.
 N° 9: CREA TABLAS DINÁMICAS PARA ENTREGAR SOLUCIONES A REQUERIMIENTOS SOLICITADOS.
 N° 10: GENERA MACROS A TRAVÉS DE DIVERSAS INSTRUCCIONES PARA DAR RESPUESTA A UNA DETERMINADA NECESIDAD."</t>
  </si>
  <si>
    <t>TRABAJADORES ACTIVOS O EN PROCESO DE RECONVERSIÓN LABORAL, HOMBRES Y MUJERES, DE 18 AÑOS DE EDAD O MÁS, DE LA COMUNA DE PUENTE ALTO, CON EDUCACIÓN MEDIA COMPLETA PREFERENTEMENTE</t>
  </si>
  <si>
    <t>HOUSEKEEPING INCLUSIVO: LIMPIEZA CON PROFESIONALISMO</t>
  </si>
  <si>
    <t>"1. DOMINAR TÉCNICAS DE LIMPIEZA Y MANTENIMIENTO ADAPTADAS A DIFERENTES ÁREAS Y SUPERFICIES EN ESTABLECIMIENTOS HOTELEROS.
 2. CONOCER Y APLICAR PROTOCOLOS DE LIMPIEZA Y DESINFECCIÓN CONFORME A ESTÁNDARES DE CALIDAD Y SEGURIDAD, CON EL APOYO DE PROFESIONALES.
 3. IDENTIFICAR Y UTILIZAR PRODUCTOS DE LIMPIEZA DE MANERA ADECUADA Y SEGURA, SIGUIENDO LAS INDICACIONES Y PRECAUCIONES NECESARIAS.
 4. APRENDER A GESTIONAR EFICIENTEMENTE EL TIEMPO Y LOS RECURSOS PARA CUMPLIR CON LAS TAREAS DE LIMPIEZA EN EL TIEMPO ESTIPULADO.
 5. ADAPTAR LAS TÉCNICAS DE LIMPIEZA SEGÚN LAS NECESIDADES INDIVIDUALES.
 6. MANTENER LA PRIVACIDAD Y CONFIDENCIALIDAD AL MANIPULAR OBJETOS PERSONALES DE LOS HUÉSPEDES DURANTE EL PROCESO DE LIMPIEZA.
 7. COLABORAR EN LA ORGANIZACIÓN Y REPOSICIÓN DE SUMINISTROS DE LIMPIEZA DE MANERA ORDENADA Y EFICIENTE CON MATERIAL DE APOYO VISUAL.
 8. COMUNICARSE DE MANERA EFECTIVA CON EL PERSONAL Y LA ADMINISTRACIÓN DEL HOTEL PARA REPORTAR INCIDENCIAS Y NECESIDADES DE MANTENIMIENTO.
 9. DEMOSTRAR ACTITUDES DE RESPONSABILIDAD, PROFESIONALISMO Y RESPETO HACIA LOS HUÉSPEDES Y EL ENTORNO LABORAL, FOMENTANDO LA INCLUSIÓN Y LA DIVERSIDAD."</t>
  </si>
  <si>
    <t>EL CURSO HOUSEKEEPING INCLUSIVO: LIMPIEZA CON PROFESIONALISMO ESTÁ DISEÑADO PARA CAPACITAR A LOS PARTICIPANTES EN TÉCNICAS AVANZADAS DE LIMPIEZA Y GESTIÓN EN ENTORNOS LABORALES, PROMOVIENDO LA INCLUSIÓN, EL PROFESIONALISMO Y LA RESPONSABILIDAD. ESTE CURSO ESTÁ DEDICADO A PERSONAS EN SITUACIÓN DE DISCAPACIDAD, DE 18 AÑOS O MÁS, QUE SE ATIENDEN EN EDUDOWN, HOMBRES Y MUJERES, QUE TIENEN O NO EXPERIENCIA LABORAL, RESIDENTES DE LA REGIÓN METROPOLITANA Y QUE BUSCAN CON LA CAPACITACIÓN INSERTARSE AL MUNDO LABORAL.</t>
  </si>
  <si>
    <t>IMPLEMENTACIÓN Y MANTENIMIENTO DE HUERTOS CON FOCO EN LA INCLUSION</t>
  </si>
  <si>
    <t>"1. PREPARAR LA TIERRA Y SELECCIONAR ADECUADAMENTE LAS SEMILLAS PARA EL CULTIVO CON MATERIAL ADAPTADO DE APOYO VISUAL.
 2. IMPLEMENTAR TÉCNICAS DE RIEGO Y DRENAJE ADAPTADAS A LAS NECESIDADES DEL HUERTO CON AYUDA.
 3. IDENTIFICAR Y CONTROLAR PLAGAS Y ENFERMEDADES DE MANERA SOSTENIBLE Y ACCESIBLE CON MATERIAL ADAPTADO DE APOYO VISUAL.
 4. ADAPTAR EL DISEÑO DEL HUERTO PARA FACILITAR EL ACCESO Y LA MOVILIDAD.
 5. UTILIZAR HERRAMIENTAS DE JARDINERÍA DE FORMA SEGURA Y EFECTIVA CON APOYO PROFESIONAL CON APOYO.
 6. RECONOCER Y FOMENTAR LA BIODIVERSIDAD EN EL ENTORNO DEL HUERTO.
 7. COMPRENDER LOS CICLOS DE CRECIMIENTO DE LAS PLANTAS Y PLANIFICAR LA ROTACIÓN DE CULTIVOS CON ASISTENCIA ADECUADA.
 8. COLABORAR EN LA COSECHA Y EL ALMACENAMIENTO DE LOS PRODUCTOS DEL HUERTO.
 9. APLICAR PRÁCTICAS DE COMPOSTAJE Y RECICLAJE PARA MANTENER LA SOSTENIBILIDAD DEL HUERTO."</t>
  </si>
  <si>
    <t xml:space="preserve">HOMBRES Y MUJERES, QUE TIENEN O NO EXPERIENCIA LABORAL, RESIDENTES DE LA REGIÓN METROPOLITANA, PERSONAS EN SITUACIÓN DE DISCAPACIDAD, DE 18 AÑOS O MÁS, QUE SE ATIENDEN EN EDUDOWN Y QUE QUIERAN INSERTARSE EN EL MUNDO LABORAL, CONSIGUIENDO MAYORES OPORTUNIDADES PARA TRABAJAR EN EL RUBRO AGRÍCOLA-GANADERO. </t>
  </si>
  <si>
    <t xml:space="preserve">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</si>
  <si>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 xml:space="preserve">JÓVENES DE IV° MEDIO DE LICEO BICENTENARIO PEOPLE HELP PEOPLE PILMAIQUÉN (PUYEHUE).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</si>
  <si>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t>
  </si>
  <si>
    <t xml:space="preserve">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</si>
  <si>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 xml:space="preserve">MANTENIMIENTO, MONITOREO Y CONTROL PARA SERVICIOS SANITARIOS RURALES </t>
  </si>
  <si>
    <t>1.-IDENTIFICAR PROCESOS DE DISTRIBUCIÓN DE AGUA POTABLE, DE ACUERDO A PROCESOS ESTABLECIDOS Y NORMATIVAS VIGENTE.
2.- COMPRENDER LA IMPORTANCIA Y FUNCIONAMIENTO BÁSICO DE LOS SSR.                                                                                                                        
3.- APLICAR TÉCNICAS DE MANTENIMIENTO PREVENTIVO Y CORRECTIVO PARA GARANTIZAR LA OPERATIVIDAD DEL SERVICIO.                                                                                                                                 
4.- EVALUAR LA CALIDAD DEL AGUA MEDIANTE EL ANÁLISIS DE SUS PRINCIPALES PARÁMETROS.                                                                                                                              
5.-UTILIZAR HERRAMIENTAS TECNOLÓGICAS PARA EL MONITOREO Y LA OPTIMIZACIÓN DEL RECURSO HÍDRICO.                                                                                 
6.- IMPLEMENTAR MEDIDAS DE SEGURIDAD Y ESTRATEGIAS DE GESTIÓN OPERATIVA EN SSR</t>
  </si>
  <si>
    <t xml:space="preserve">1.- PERSONAS ENTRE 18 Y 75 AÑOS
2.-CESANTES, TRABAJADORES MENOR CALIFICACIÓN , TEMPORALIDAD AGRÍCOLA
3.-HOMBRES Y MUJERES 
4.-ENSEÑANZA BÁSICA COMPLETA O MEDIA INCOMPLETA
5.-JEFES O JEFAS DE HOGAR 
6.-PERTENECIENTES O VINCULADOS A COMITÉS DE AGUA POTABLE RURAL O PLANTAS DE TRATAMIENTO DE AGUAS DE LAS COMUNAS DE MOSTAZAL, CODEGUA, GRANEROS, RANCAGUA, Y MACHALÍ.
7.-. PROVENIENTES DE LAS COMUNAS DE MOSTAZAL, CODEGUA, GRANEROS, RANCAGUA, Y MACHALÍ
8.-CON OFICIOS INFORMALES O DE AUTOAPRENDIZAJE
</t>
  </si>
  <si>
    <t xml:space="preserve">FAENADORA SAN VICENTE </t>
  </si>
  <si>
    <t>Corporación de Desarrollo Regional Pro O Higgins</t>
  </si>
  <si>
    <t>75570200-5</t>
  </si>
  <si>
    <t>"MÓDULO 1: FUNDAMENTOS PARA DIAGNOSTICAR EL TRATAMIENTO ESTÉTICO INTEGRAL.
 - IDENTIFICAR LOS PRINCIPIOS BÁSICOS DE LA ANATOMÍA Y FISIOLOGÍA DEL CUERPO HUMANO PARA REALIZAR UN DIAGNÓSTICO ADECUADO EN TRATAMIENTOS ESTÉTICOS.
 - APLICAR TÉCNICAS DE EVALUACIÓN PARA DETERMINAR LAS NECESIDADES ESPECÍFICAS DEL CLIENTE.
 - DESARROLLAR UN ENFOQUE INTEGRAL PARA LA PLANIFICACIÓN DE TRATAMIENTOS ESTÉTICOS, ALINEADO CON LOS OBJETIVOS Y EL CONTEXTO PERSONAL DEL CLIENTE.
 - ESTABLECER UNA COMUNICACIÓN EFECTIVA CON EL CLIENTE PARA COMPRENDER SUS EXPECTATIVAS GARANTIZAR UNA EXPERIENCIA SATISFACTORIA.
 MÓDULO 2: MASAJE MANUAL Y MECÁNICO, CON FINES ESTÉTICOS.
 - DOMINAR LAS TÉCNICAS DE MASAJE MANUAL Y MECÁNICO PARA MEJORAR LA CIRCULACIÓN, RELAJACIÓN MUSCULAR Y TONIFICACIÓN DE LA PIEL, APLICANDO MOVIMIENTOS ESPECÍFICOS SEGÚN LAS NECESIDADES DEL CLIENTE.
 - GARANTIZAR LA SEGURIDAD Y BIENESTAR DEL CLIENTE DURANTE LA APLICACIÓN DE LOS MASAJES, SIGUIENDO LAS NORMAS DE HIGIENE Y ERGONOMÍA. 
 - MANTENER LAS CONDICIONES AMBIENTALES DE LA CABINA DE MASAJE.
 - IDENTIFICAR LOS ELEMENTOS DE AROMATERAPIA Y MUSICOTERAPIA ASOCIADA A MASAJES ESTÉTICOS.
 MÓDULO 3: MASAJE DE REFLEXOLOGÍA, CON FINES DE RELAJACIÓN.
 - COMPRENDER LOS PRINCIPIOS BÁSICOS DE LA REFLEXOLOGÍA, INCLUYENDO LOS PUNTOS REFLEJOS Y SU RELACIÓN CON DIFERENTES ÓRGANOS Y SISTEMAS DEL CUERPO, PARA PROPORCIONAR UN MASAJE EFECTIVO DE RELAJACIÓN.
 - APLICAR TÉCNICAS DE REFLEXOLOGÍA PARA REDUCIR EL ESTRÉS Y LA TENSIÓN ACUMULADA EN EL CUERPO, MEJORANDO EL BIENESTAR GENERAL DEL CLIENTE.
 - DESARROLLAR UN ENFOQUE PERSONALIZADO EN LA APLICACIÓN DE REFLEXOLOGÍA, TENIENDO EN CUENTA LAS NECESIDADES INDIVIDUALES DEL CLIENTE.
 - FOMENTAR LA COMUNICACIÓN CON EL CLIENTE PARA ASEGURAR SU COMODIDAD Y BIENESTAR DURANTE LA SESIÓN DE REFLEXOLOGÍA.
 MÓDULO 4: TÉCNICAS ESTÉTICAS DE HIGIENE E HIDRATACIÓN FACIAL Y CORPORAL.
 - COMPRENDER LOS PRINCIPIOS DE HIGIENE FACIAL Y CORPORAL, INCLUYENDO LA IDENTIFICACIÓN DE LOS DIFERENTES TIPOS DE PIEL Y SUS NECESIDADES</t>
  </si>
  <si>
    <t>HOMBRES Y MUJERES DE ENTRE 18 Y 64 AÑOS, PERTENECIENTES AL 80% DE LA POBLACIÓN MÁS VULNERABLE SEGÚN EL REGISTRO SOCIAL DE HOGARES.  ESTÁ DIRIGIDO A PERSONAS QUE DESEEN APRENDER UN OFICIO Y DESARROLLARSE EN EL ÁMBITO LABORAL,  CON EL OBJETIVO DE GENERAR AUTONOMÍA ECONÓMICA. NO SE REQUIERE EXPERIENCIA PREVIA EN EL ÁREA, YA QUE EL CURSO ESTÁ DISEÑADO PARA QUIENES BUSCAN ADQUIRIR NUEVOS CONOCIMIENTOS Y HABILIDADES.</t>
  </si>
  <si>
    <t xml:space="preserve">MASAJES CORPORALES CON FINES ESTÉTICOS Y DE RELAJACIÓN
</t>
  </si>
  <si>
    <t>MASAJES CORPORALES CON FINES ESTÉTICOS Y DE RELAJACIÓN"MÓDULO 1: FUNDAMENTOS PARA DIAGNOSTICAR EL TRATAMIENTO ESTÉTICO INTEGRAL.
- IDENTIFICAR LOS PRINCIPIOS BÁSICOS DE LA ANATOMÍA Y FISIOLOGÍA DEL CUERPO HUMANO PARA REALIZAR UN DIAGNÓSTICO ADECUADO EN TRATAMIENTOS ESTÉTICOS.
- APLICAR TÉCNICAS DE EVALUACIÓN PARA DETERMINAR LAS NECESIDADES ESPECÍFICAS DEL CLIENTE.
- DESARROLLAR UN ENFOQUE INTEGRAL PARA LA PLANIFICACIÓN DE TRATAMIENTOS ESTÉTICOS, ALINEADO CON LOS OBJETIVOS Y EL CONTEXTO PERSONAL DEL CLIENTE.
- ESTABLECER UNA COMUNICACIÓN EFECTIVA CON EL CLIENTE PARA COMPRENDER SUS EXPECTATIVAS GARANTIZAR UNA EXPERIENCIA SATISFACTORIA.
MÓDULO 2: MASAJE MANUAL Y MECÁNICO, CON FINES ESTÉTICOS.
- DOMINAR LAS TÉCNICAS DE MASAJE MANUAL Y MECÁNICO PARA MEJORAR LA CIRCULACIÓN, RELAJACIÓN MUSCULAR Y TONIFICACIÓN DE LA PIEL, APLICANDO MOVIMIENTOS ESPECÍFICOS SEGÚN LAS NECESIDADES DEL CLIENTE.
- GARANTIZAR LA SEGURIDAD Y BIENESTAR DEL CLIENTE DURANTE LA APLICACIÓN DE LOS MASAJES, SIGUIENDO LAS NORMAS DE HIGIENE Y ERGONOMÍA. 
- MANTENER LAS CONDICIONES AMBIENTALES DE LA CABINA DE MASAJE.
-  IDENTIFICAR LOS ELEMENTOS DE AROMATERAPIA Y MUSICOTERAPIA ASOCIADA A MASAJES ESTÉTICOS.
MÓDULO 3: MASAJE DE REFLEXOLOGÍA, CON FINES DE RELAJACIÓN.
- COMPRENDER LOS PRINCIPIOS BÁSICOS DE LA REFLEXOLOGÍA, INCLUYENDO LOS PUNTOS REFLEJOS Y SU RELACIÓN CON DIFERENTES ÓRGANOS Y SISTEMAS DEL CUERPO, PARA PROPORCIONAR UN MASAJE EFECTIVO DE RELAJACIÓN.
- APLICAR TÉCNICAS DE REFLEXOLOGÍA PARA REDUCIR EL ESTRÉS Y LA TENSIÓN ACUMULADA EN EL CUERPO, MEJORANDO EL BIENESTAR GENERAL DEL CLIENTE.
- DESARROLLAR UN ENFOQUE PERSONALIZADO EN LA APLICACIÓN DE REFLEXOLOGÍA, TENIENDO EN CUENTA LAS NECESIDADES INDIVIDUALES DEL CLIENTE.
- FOMENTAR LA COMUNICACIÓN CON EL CLIENTE PARA ASEGURAR SU COMODIDAD Y BIENESTAR DURANTE LA SESIÓN DE REFLEXOLOGÍA.
MÓDULO 4: TÉCNICAS ESTÉTICAS DE HIGIENE E HIDRATACIÓN FACIAL Y CORPORAL.
- COMPRENDER LOS PRINCIPIOS DE HIGIENE FACIAL Y CORPORAL, INCLUYENDO LA IDENTIFICACIÓN DE LOS DIF</t>
  </si>
  <si>
    <t>"MÓDULO 1: FUNDAMENTOS PARA DIAGNOSTICAR EL TRATAMIENTO ESTÉTICO INTEGRAL.
- IDENTIFICAR LOS PRINCIPIOS BÁSICOS DE LA ANATOMÍA Y FISIOLOGÍA DEL CUERPO HUMANO PARA REALIZAR UN DIAGNÓSTICO ADECUADO EN TRATAMIENTOS ESTÉTICOS.
- APLICAR TÉCNICAS DE EVALUACIÓN PARA DETERMINAR LAS NECESIDADES ESPECÍFICAS DEL CLIENTE.
- DESARROLLAR UN ENFOQUE INTEGRAL PARA LA PLANIFICACIÓN DE TRATAMIENTOS ESTÉTICOS, ALINEADO CON LOS OBJETIVOS Y EL CONTEXTO PERSONAL DEL CLIENTE.
- ESTABLECER UNA COMUNICACIÓN EFECTIVA CON EL CLIENTE PARA COMPRENDER SUS EXPECTATIVAS GARANTIZAR UNA EXPERIENCIA SATISFACTORIA.
MÓDULO 2: MASAJE MANUAL Y MECÁNICO, CON FINES ESTÉTICOS.
- DOMINAR LAS TÉCNICAS DE MASAJE MANUAL Y MECÁNICO PARA MEJORAR LA CIRCULACIÓN, RELAJACIÓN MUSCULAR Y TONIFICACIÓN DE LA PIEL, APLICANDO MOVIMIENTOS ESPECÍFICOS SEGÚN LAS NECESIDADES DEL CLIENTE.
- GARANTIZAR LA SEGURIDAD Y BIENESTAR DEL CLIENTE DURANTE LA APLICACIÓN DE LOS MASAJES, SIGUIENDO LAS NORMAS DE HIGIENE Y ERGONOMÍA. 
- MANTENER LAS CONDICIONES AMBIENTALES DE LA CABINA DE MASAJE.
-  IDENTIFICAR LOS ELEMENTOS DE AROMATERAPIA Y MUSICOTERAPIA ASOCIADA A MASAJES ESTÉTICOS.
MÓDULO 3: MASAJE DE REFLEXOLOGÍA, CON FINES DE RELAJACIÓN.
- COMPRENDER LOS PRINCIPIOS BÁSICOS DE LA REFLEXOLOGÍA, INCLUYENDO LOS PUNTOS REFLEJOS Y SU RELACIÓN CON DIFERENTES ÓRGANOS Y SISTEMAS DEL CUERPO, PARA PROPORCIONAR UN MASAJE EFECTIVO DE RELAJACIÓN.
- APLICAR TÉCNICAS DE REFLEXOLOGÍA PARA REDUCIR EL ESTRÉS Y LA TENSIÓN ACUMULADA EN EL CUERPO, MEJORANDO EL BIENESTAR GENERAL DEL CLIENTE.
- DESARROLLAR UN ENFOQUE PERSONALIZADO EN LA APLICACIÓN DE REFLEXOLOGÍA, TENIENDO EN CUENTA LAS NECESIDADES INDIVIDUALES DEL CLIENTE.
- FOMENTAR LA COMUNICACIÓN CON EL CLIENTE PARA ASEGURAR SU COMODIDAD Y BIENESTAR DURANTE LA SESIÓN DE REFLEXOLOGÍA.
MÓDULO 4: TÉCNICAS ESTÉTICAS DE HIGIENE E HIDRATACIÓN FACIAL Y CORPORAL.
- COMPRENDER LOS PRINCIPIOS DE HIGIENE FACIAL Y CORPORAL, INCLUYENDO LA IDENTIFICACIÓN DE LOS DIFERENTES TIPOS DE PIEL Y SUS NECESIDADES ESPECÍFICAS, P</t>
  </si>
  <si>
    <t>PAUSAS ACTIVAS, RECREACIÓN Y ENTRETENIMIENTO</t>
  </si>
  <si>
    <t>"1.RECONOCER LA IMPORTANCIA DEL MOVIMIENTO Y LAS PAUSAS ACTIVAS PARA EL BIENESTAR FÍSICO Y EMOCIONAL, CON APOYO VISUAL Y EJEMPLOS PRÁCTICOS.
 2.REALIZAR EJERCICIOS DE ESTIRAMIENTO Y MOVILIDAD ARTICULAR DE MANERA GUIADA PARA PREVENIR EL CANSANCIO Y MEJORAR LA POSTURA.
 3.PARTICIPAR EN ACTIVIDADES RECREATIVAS Y LÚDICAS QUE FOMENTEN LA INTEGRACIÓN Y EL TRABAJO EN EQUIPO.
 4.COORDINAR MOVIMIENTOS BÁSICOS Y SECUENCIAS DE EJERCICIOS MEDIANTE JUEGOS Y DINÁMICAS ACCESIBLES.
 5.APLIQUE TÉCNICAS DE RESPIRACIÓN Y RELAJACIÓN PARA REDUCIR EL ESTRÉS Y MEJORAR LA CONCENTRACIÓN.
 6.UTILIZAR MATERIALES ADAPTADOS (PELOTAS, BANDAS ELÁSTICAS, MÚSICA, ETC.) PARA REALIZAR EJERCICIOS DE FORMA SEGURA Y ENTRETENIDA.
 7.RECONOCER LA IMPORTANCIA DEL RITMO Y LA MÚSICA EN LA EJECUCIÓN DE ACTIVIDADES RECREATIVAS Y DE ENTRETENIMIENTO.
 8.PROPONER Y GUIAR UNA PAUSA ACTIVA SENCILLA PARA SUS COMPAÑEROS CON EL APOYO DE UN INSTRUCTOR.
 9.FOMENTAR EL RESPETO Y LA INCLUSIÓN EN TODAS LAS ACTIVIDADES RECREATIVAS, PROMOVIENDO LA PARTICIPACIÓN DE TODOS."</t>
  </si>
  <si>
    <t xml:space="preserve">RESPUESTA A EMERGENCIAS CON MATERIALES PELIGROSOS, NIVEL OPERACIONES
</t>
  </si>
  <si>
    <t>1. RECONOCER LOS DIFERENTES TIPOS DE MATERIALES PELIGROSOS MEDIANTE ETIQUETAS, DOCUMENTOS DE SEGURIDAD Y GUÍAS DE REFERENCIA
2, APLICAR METODOLOGÍAS DE EVALUACIÓN DE RIESGOS PARA DETERMINAR EL NIVEL DE PELIGRO PRESENTE EN UN INCIDENTE CON MATERIALES PELIGROSOS.
3. EJECUTAR ESTRATEGIAS DE CONTENCIÓN Y MITIGACIÓN SIN INTERVENCIÓN DIRECTA EN LA FUENTE DE LA EMERGENCIA, GARANTIZANDO LA SEGURIDAD DEL PERSONAL.
4. SELECCIONAR Y UTILIZAR CORRECTAMENTE LOS NIVELES DE PROTECCIÓN PERSONAL ADECUADOS SEGÚN LA NATURALEZA DEL MATERIAL PELIGROSO INVOLUCRADO.
5.  APLICAR PROCEDIMIENTOS Y TÉCNICAS BÁSICAS PARA CONTENER Y MINIMIZAR LA PROPAGACIÓN DE SUSTANCIAS PELIGROSAS EN DISTINTOS ESCENARIOS DE EMERGENCIA.
6- IMPLEMENTAR PROCEDIMIENTOS DE DESCONTAMINACIÓN DE EMERGENCIA PARA PERSONAS, EQUIPOS Y ÁREAS AFECTADAS POR MATERIALES PELIGROSOS.
7. OPERAR HERRAMIENTAS Y DISPOSITIVOS ESPECÍFICOS PARA LA RESPUESTA A INCIDENTES CON SUSTANCIAS QUÍMICAS, BIOLÓGICAS O RADIOLÓGICAS.
8. APLICAR PRINCIPIOS DEL SISTEMA DE COMANDO DE INCIDENTES (SCI) PARA COORDINAR ACCIONES CON OTROS EQUIPOS DE EMERGENCIA Y AUTORIDADES COMPETENTES.
9. SEGUIR PROCEDIMIENTOS ESTABLECIDOS PARA MINIMIZAR LA EXPOSICIÓN A SUSTANCIAS PELIGROSAS Y GARANTIZAR LA SEGURIDAD DEL EQUIPO DE RESPUESTA.
10. EVALUAR INFORMACIÓN EN TIEMPO REAL Y APLICAR CRITERIOS TÉCNICOS PARA RESPONDER EFICAZMENTE EN SITUACIONES DE ALTA PRESIÓN.
11. CONOCER Y APLICAR LOS ESTÁNDARES LEGALES Y NORMATIVOS NACIONALES E INTERNACIONALES RELACIONADOS CON EL MANEJO DE MATERIALES PELIGROSOS EN EMERGENCIAS.
12. DOCUMENTAR, ANALIZAR Y PROPONER MEJORAS EN LOS PROCEDIMIENTOS DE RESPUESTA BASÁNDOSE EN LECCIONES APRENDIDAS TRAS CADA EMERGENCIA.</t>
  </si>
  <si>
    <t>HOMBRES Y MUJERES DE 18 A 65 AÑOS, VOLUNTARIOS DE BOMBEROS, INSCRITOS EN SUS REGISTROS, RESIDENTES DE LA COMUNA DE PUERTO VARAS, CON ENSEÑANZA MEDIA COMPLETA</t>
  </si>
  <si>
    <t>Cuerpo de Bomberos de Puerto Varas</t>
  </si>
  <si>
    <t>70.007.200-2</t>
  </si>
  <si>
    <t>TÉCNICAS DE ESTÉTICA FACIAL</t>
  </si>
  <si>
    <t>MÓDULO 1: FUNDAMENTOS Y LIMPIEZA DE LA PIEL PARA TRATAMIENTOS ESTÉTICOS FACIALES
 - COMPRENDER LA ESTRUCTURA Y FUNCIONES DE LA PIEL, RECONOCIENDO LOS DIFERENTES TIPOS Y SUS NECESIDADES PARA PERSONALIZAR LOS TRATAMIENTOS FACIALES.
 - APLICAR PRINCIPIOS BÁSICOS DE ESTÉTICA FACIAL COMO LIMPIEZA, HIDRATACIÓN Y NUTRICIÓN SEGÚN LAS CARACTERÍSTICAS DE CADA TIPO DE PIEL.
 - REALIZAR UNA LIMPIEZA FACIAL PROFUNDA UTILIZANDO PRODUCTOS Y EQUIPOS ADECUADOS (VAPORIZADORES, EXTRACTORES, PINCELES) PARA CADA TIPO DE PIEL.
 - APLICAR NORMAS DE HIGIENE Y SEGURIDAD EN TODOS LOS PROCESOS FACIALES, ASEGURANDO LA DESINFECCIÓN DE HERRAMIENTAS Y UN ENTORNO SEGURO PARA EL CLIENTE.
 MÓDULO 2: TÉCNICAS DE MASAJES FACIALES PARA ESTÉTICA Y RELAJACIÓN
 - IDENTIFICAR LOS PUNTOS CLAVE PARA APLICAR MASAJES FACIALES ADECUADOS PARA CADA ZONA DEL ROSTRO (CONTORNO DE OJOS, FRENTE, MEJILLAS, CUELLO).
 - APLICAR TÉCNICAS DE MASAJE FACIAL PARA MEJORAR LA CIRCULACIÓN, TONIFICAR LOS MÚSCULOS FACIALES Y REDUCIR LA APARICIÓN DE ARRUGAS.
 - REALIZAR MASAJES RELAJANTES Y TERAPÉUTICOS PARA ALIVIAR TENSIONES, MEJORAR LA ELASTICIDAD DE LA PIEL Y FOMENTAR LA REGENERACIÓN CELULAR.
 MÓDULO 3: TRATAMIENTOS FACIALES CON PRODUCTOS ESTÉTICOS
 - APLICAR TRATAMIENTOS FACIALES DE HIDRATACIÓN Y NUTRICIÓN CON PRODUCTOS COSMÉTICOS ESPECÍFICOS SEGÚN LAS NECESIDADES DE CADA TIPO DE PIEL.
 - UTILIZAR MÁSCARAS FACIALES, EXFOLIANTES Y SERUMS DE MANERA ADECUADA PARA MEJORAR LA APARIENCIA DE LA PIEL Y TRATAR PROBLEMAS COMUNES (ACNÉ, ENVEJECIMIENTO, MANCHAS).
 - IDENTIFICAR Y APLICAR TRATAMIENTOS ESPECÍFICOS PARA PIELES CON PROBLEMAS ESPECÍFICOS (ACNÉ, ROSÁCEA, PIEL SENSIBLE), ADAPTANDO LAS TÉCNICAS Y PRODUCTOS SEGÚN EL DIAGNÓSTICO.
 MÓDULO 4 ONDULACIÓN, LIFTING, EXTENSIÓN Y TINTE DE PESTAÑAS
 - APLICAR TÉCNICAS DE ONDULACIÓN DE PESTAÑAS PARA LOGRAR UNA CURVATURA NATURAL Y DURADERA, ADAPTADA AL TIPO Y LARGO DE LAS PESTAÑAS DEL CLIENTE.
 - REALIZAR LIFTING DE PESTAÑAS PARA MEJORAR LA DEFINICIÓN Y ALARGAMIENTO SIN DAÑAR LAS PESTAÑAS NA</t>
  </si>
  <si>
    <t>"MÓDULO 1: FUNDAMENTOS Y LIMPIEZA DE LA PIEL PARA TRATAMIENTOS ESTÉTICOS FACIALES
 - COMPRENDER LA ESTRUCTURA Y FUNCIONES DE LA PIEL, RECONOCIENDO LOS DIFERENTES TIPOS Y SUS NECESIDADES PARA PERSONALIZAR LOS TRATAMIENTOS FACIALES.
 - APLICAR PRINCIPIOS BÁSICOS DE ESTÉTICA FACIAL COMO LIMPIEZA, HIDRATACIÓN Y NUTRICIÓN SEGÚN LAS CARACTERÍSTICAS DE CADA TIPO DE PIEL.
 - REALIZAR UNA LIMPIEZA FACIAL PROFUNDA UTILIZANDO PRODUCTOS Y EQUIPOS ADECUADOS (VAPORIZADORES, EXTRACTORES, PINCELES) PARA CADA TIPO DE PIEL.
 - APLICAR NORMAS DE HIGIENE Y SEGURIDAD EN TODOS LOS PROCESOS FACIALES, ASEGURANDO LA DESINFECCIÓN DE HERRAMIENTAS Y UN ENTORNO SEGURO PARA EL CLIENTE.
 MÓDULO 2: TÉCNICAS DE MASAJES FACIALES PARA ESTÉTICA Y RELAJACIÓN
 - IDENTIFICAR LOS PUNTOS CLAVE PARA APLICAR MASAJES FACIALES ADECUADOS PARA CADA ZONA DEL ROSTRO (CONTORNO DE OJOS, FRENTE, MEJILLAS, CUELLO).
 - APLICAR TÉCNICAS DE MASAJE FACIAL PARA MEJORAR LA CIRCULACIÓN, TONIFICAR LOS MÚSCULOS FACIALES Y REDUCIR LA APARICIÓN DE ARRUGAS.
 - REALIZAR MASAJES RELAJANTES Y TERAPÉUTICOS PARA ALIVIAR TENSIONES, MEJORAR LA ELASTICIDAD DE LA PIEL Y FOMENTAR LA REGENERACIÓN CELULAR.
 MÓDULO 3: TRATAMIENTOS FACIALES CON PRODUCTOS ESTÉTICOS
 - APLICAR TRATAMIENTOS FACIALES DE HIDRATACIÓN Y NUTRICIÓN CON PRODUCTOS COSMÉTICOS ESPECÍFICOS SEGÚN LAS NECESIDADES DE CADA TIPO DE PIEL.
 - UTILIZAR MÁSCARAS FACIALES, EXFOLIANTES Y SERUMS DE MANERA ADECUADA PARA MEJORAR LA APARIENCIA DE LA PIEL Y TRATAR PROBLEMAS COMUNES (ACNÉ, ENVEJECIMIENTO, MANCHAS).
 - IDENTIFICAR Y APLICAR TRATAMIENTOS ESPECÍFICOS PARA PIELES CON PROBLEMAS ESPECÍFICOS (ACNÉ, ROSÁCEA, PIEL SENSIBLE), ADAPTANDO LAS TÉCNICAS Y PRODUCTOS SEGÚN EL DIAGNÓSTICO.
 MÓDULO 4 ONDULACIÓN, LIFTING, EXTENSIÓN Y TINTE DE PESTAÑAS
 - APLICAR TÉCNICAS DE ONDULACIÓN DE PESTAÑAS PARA LOGRAR UNA CURVATURA NATURAL Y DURADERA, ADAPTADA AL TIPO Y LARGO DE LAS PESTAÑAS DEL CLIENTE.
 - REALIZAR LIFTING DE PESTAÑAS PARA MEJORAR LA DEFINICIÓN Y ALARGAMIENTO SIN DAÑAR LAS PESTAÑAS N</t>
  </si>
  <si>
    <t xml:space="preserve">TÉCNICAS DE ESTÉTICA FACIAL
</t>
  </si>
  <si>
    <t>MÓDULO 1: FUNDAMENTOS Y LIMPIEZA DE LA PIEL
SE ESTUDIA LA ESTRUCTURA Y FUNCIONES DE LA PIEL, DIFERENCIANDO TIPOS Y NECESIDADES PARA APLICAR TRATAMIENTOS ADECUADOS. SE DESARROLLAN TÉCNICAS DE LIMPIEZA FACIAL PROFUNDA CON PRODUCTOS Y EQUIPOS ESPECÍFICOS, MANTENIENDO LA INTEGRIDAD CUTÁNEA Y CUMPLIENDO LOS PROTOCOLOS DEL DECRETO EXENTO N° 304 DEL MINSAL. SE REFUERZA EL USO DE PRODUCTOS DERMATOLÓGICAMENTE APROBADOS Y LA IMPLEMENTACIÓN RIGUROSA DE MEDIDAS DE BIOSEGURIDAD.
MÓDULO 2: MASAJES FACIALES PARA ESTÉTICA Y RELAJACIÓN
SE ENSEÑAN TÉCNICAS DE MASAJE FACIAL DIRIGIDAS A ZONAS ESPECÍFICAS DEL ROSTRO, MEJORANDO LA CIRCULACIÓN, OXIGENACIÓN CELULAR Y TONIFICACIÓN MUSCULAR. SE APLICAN MANIOBRAS RELAJANTES ADAPTADAS A CADA TIPO DE PIEL, BAJO PRINCIPIOS DE SALUD ESTÉTICA. ADEMÁS, SE ENFATIZA EL CUMPLIMIENTO DE NORMAS DE HIGIENE Y DESINFECCIÓN DEL ENTORNO DE TRABAJO.
MÓDULO 3: TRATAMIENTOS FACIALES CON PRODUCTOS ESTÉTICOS
EL MÓDULO ABORDA LA APLICACIÓN DE TRATAMIENTOS HIDRATANTES, NUTRITIVOS Y REGENERATIVOS, USANDO COSMÉTICOS APROBADOS POR EL ISP. SE ENSEÑAN PROTOCOLOS PARA EL USO DE MÁSCARAS, EXFOLIANTES Y SERUMS, ADAPTADOS A PIELES CON CONDICIONES COMO ACNÉ O SENSIBILIDAD. SE PRIORIZA LA CORRECTA MANIPULACIÓN DE PRODUCTOS Y UTENSILIOS PARA EVITAR INFECCIONES CRUZADAS.
MÓDULO 4: ONDULACIÓN, LIFTING, EXTENSIÓN Y TINTE DE PESTAÑAS
SE APLICAN TÉCNICAS PARA REALZAR LA MIRADA SIN COMPROMETER LA SALUD OCULAR, UTILIZANDO PRODUCTOS CERTIFICADOS Y PROCEDIMIENTOS SEGUROS. SE ABORDAN LA ONDULACIÓN, LIFTING Y EXTENSIÓN DE PESTAÑAS, ASÍ COMO EL TINTE, CUMPLIENDO CON NORMAS DE BIOSEGURIDAD, ESTERILIZACIÓN Y VENTILACIÓN DEL ÁREA.
MÓDULO 5: DEPILACIÓN FACIAL Y PERFILADO DE CEJAS
SE PERFECCIONAN TÉCNICAS CON CERA O PINZAS SEGÚN EL TIPO DE PIEL, MINIMIZANDO RIESGOS. SE ENSEÑA EL DISEÑO ARMÓNICO DE CEJAS SEGÚN VISAGISMO, APLICANDO MEDIDAS HIGIÉNICAS ESTRICTAS Y ASESORANDO EN CUIDADOS POSTERIORES. TODO EN CUMPLIMIENTO CON EL DECRETO 304 Y EL USO EXCLUSIVO DE PRODUCTOS CERTIFICADOS.</t>
  </si>
  <si>
    <t>"MÓDULO 1: FUNDAMENTOS Y LIMPIEZA DE LA PIEL PARA TRATAMIENTOS ESTÉTICOS FACIALES
- COMPRENDER LA ESTRUCTURA Y FUNCIONES DE LA PIEL, RECONOCIENDO LOS DIFERENTES TIPOS Y SUS NECESIDADES PARA PERSONALIZAR LOS TRATAMIENTOS FACIALES.
- APLICAR PRINCIPIOS BÁSICOS DE ESTÉTICA FACIAL COMO LIMPIEZA, HIDRATACIÓN Y NUTRICIÓN SEGÚN LAS CARACTERÍSTICAS DE CADA TIPO DE PIEL.
- REALIZAR UNA LIMPIEZA FACIAL PROFUNDA UTILIZANDO PRODUCTOS Y EQUIPOS ADECUADOS (VAPORIZADORES, EXTRACTORES, PINCELES) PARA CADA TIPO DE PIEL.
- APLICAR NORMAS DE HIGIENE Y SEGURIDAD EN TODOS LOS PROCESOS FACIALES, ASEGURANDO LA DESINFECCIÓN DE HERRAMIENTAS Y UN ENTORNO SEGURO PARA EL CLIENTE.
MÓDULO 2: TÉCNICAS DE MASAJES FACIALES PARA ESTÉTICA Y RELAJACIÓN
- IDENTIFICAR LOS PUNTOS CLAVE PARA APLICAR MASAJES FACIALES ADECUADOS PARA CADA ZONA DEL ROSTRO (CONTORNO DE OJOS, FRENTE, MEJILLAS, CUELLO).
- APLICAR TÉCNICAS DE MASAJE FACIAL PARA MEJORAR LA CIRCULACIÓN, TONIFICAR LOS MÚSCULOS FACIALES Y REDUCIR LA APARICIÓN DE ARRUGAS.
- REALIZAR MASAJES RELAJANTES Y TERAPÉUTICOS PARA ALIVIAR TENSIONES, MEJORAR LA ELASTICIDAD DE LA PIEL Y FOMENTAR LA REGENERACIÓN CELULAR.
MÓDULO 3: TRATAMIENTOS FACIALES CON PRODUCTOS ESTÉTICOS
- APLICAR TRATAMIENTOS FACIALES DE HIDRATACIÓN Y NUTRICIÓN CON PRODUCTOS COSMÉTICOS ESPECÍFICOS SEGÚN LAS NECESIDADES DE CADA TIPO DE PIEL.
- UTILIZAR MÁSCARAS FACIALES, EXFOLIANTES Y SERUMS DE MANERA ADECUADA PARA MEJORAR LA APARIENCIA DE LA PIEL Y TRATAR PROBLEMAS COMUNES (ACNÉ, ENVEJECIMIENTO, MANCHAS).
- IDENTIFICAR Y APLICAR TRATAMIENTOS ESPECÍFICOS PARA PIELES CON PROBLEMAS ESPECÍFICOS (ACNÉ, ROSÁCEA, PIEL SENSIBLE), ADAPTANDO LAS TÉCNICAS Y PRODUCTOS SEGÚN EL DIAGNÓSTICO.
MÓDULO 4 ONDULACIÓN, LIFTING, EXTENSIÓN Y TINTE DE PESTAÑAS
- APLICAR TÉCNICAS DE ONDULACIÓN DE PESTAÑAS PARA LOGRAR UNA CURVATURA NATURAL Y DURADERA, ADAPTADA AL TIPO Y LARGO DE LAS PESTAÑAS DEL CLIENTE.
- REALIZAR LIFTING DE PESTAÑAS PARA MEJORAR LA DEFINICIÓN Y ALARGAMIENTO SIN DAÑAR LAS PESTAÑAS NATURALES, UTIL</t>
  </si>
  <si>
    <t>HOMBRES Y MUJERES ENTRE 18 Y 64 AÑOS DE EDAD,  PERTENECIENTES AL 80% DE LA POBLACIÓN MÁS VULNERABLE, SEGÚN REGISTRO SOCIAL DE HOGARES. PREFERENTEMENTE ENSEÑANZA MEDIA COMPLETA. NO SE REQUIERE EXPERIENCIA EN EL ÁREA. .</t>
  </si>
  <si>
    <t>TÉCNICAS DE TURISMO SUSTENTABLE Y CUIDADO DEL MEDIO AMBIENTE</t>
  </si>
  <si>
    <t>"CONOCER EL CONTEXTO HISTÓRICO, ORGANIZACIÓN Y SUSTENTO DE LA RESERVA BIOLÓGICA DE HUILO - HUILO DE ACUERDO A SUS PILARES FUNDAMENTALES BASADOS EN LA CONSERVACIÓN E INTEGRACIÓN CON LA COMUNIDAD. COMPRENDER LOS
 PROGRAMAS DE APRENDIZAJES, PROYECTOS E INTEGRACIÓN DE LA COMUNIDAD EN HUILO
 - HUILO SEGÚN LAS INDICACIONES DE CONAF Y CONAMA. APLICAR LAS TÉCNICAS DEL TURISMO SUSTENTABLE EN LA CONSERVACIÓN DEL MEDIO AMBIENTE, SEGÚN LA LEY SOBRE BASES GENERALES DEL MEDIO AMBIENTE. DESARROLLAR LAS
 TÉCNICAS PARA FOMENTAR EL TURISMO SUSTENTABLE Y MEJORA DEL MEDIO AMBIENTE DE ACUERDO A LAS LEYES DEL SISTEMA INSTITUCIONAL PARA EL DESARROLLO DEL TURISMO Y BASES GENERALES DEL MEDIO AMBIENTE."</t>
  </si>
  <si>
    <t>HOMBRE Y MUJERES ENTRE 18 Y 50 AÑOS DE EDAD, QUE CORRESPONDAN AL 80% MÁS VULNERABLE SEGÚN REGISTRO SOCIAL DE HOGAR DEL SECTOR DE HUILO HUILO EN PANGUIPULLI. DEBERÁN SABER LEER Y ESCRIBIR Y TENER CONOCIMIENTOS DE MEDIO AMBIENTE, ADEMÁS DE ENSEÑANZA BÁSICA COMPLETA.</t>
  </si>
  <si>
    <t>FUNDACIÓN HUILO HUILO</t>
  </si>
  <si>
    <t>76200030-k</t>
  </si>
  <si>
    <t>HOMBRES Y MUJERES ENTRE 18 Y 50 AÑOS QUE CORRESPONDAN AL 80% MÁS VULNERABLE SEGÚN RSH, QUE PERTENECEN AL SECTOR DE HUILO HUILO. DEBERÁN SABER LEER Y ESCRIBIR, Y TENER EDUCACIÓN BÁSICA COMPLETA.</t>
  </si>
  <si>
    <t>EVALUANDO MI ESTRATEGIA DE MARKETING</t>
  </si>
  <si>
    <t>PF1452</t>
  </si>
  <si>
    <t xml:space="preserve">1. PERSONAS, HOMBRE Y MUJERES,  EN SITUACIÓN DE DISCAPACIDAD FISICA ENTRE 18 Y 60 AÑOS, CON ESTUDIOS DE ENSEÑANZA BÁSICA COMPLETA, MEDIA INCOMPLETA Y COMPLETA, USUARIOS O EX USUARIOS DE TELETON, RESIDENTES EN LA REGIÓN DE VALPARAÍSO,  QUE SE ENCUENTRAN DESOCUPADOS, CESANTES O REALIZAN UNA ACTIVIDAD EN EL MERCADO INFORMAL QUE LES REPORTA ESCASOS INGRESOS, QUE REQUIEREN ADQUIRIR CONOCIMIENTOS PARA MEJORAR SUS POSIBILIDADES DE INCLUSIÓN LABORAL. EDUCACIÓN BÁSICA COMPLETA PREFERENTEMENTE;; HABILIDADES LECTOESCRITURA;; EXPERIENCIA COMO EMPRESARIO/A, CON
 INICIACIÓN DE ACTIVIDADES ANTE EL SERVICIO DE IMPUESTOS INTERNOS
</t>
  </si>
  <si>
    <t xml:space="preserve">SOCIEDAD PRO AYUDA AL NIÑO LISIADO
</t>
  </si>
  <si>
    <t xml:space="preserve">CURSO ORIENTADO A MUJERES Y HOMBRES DE 20 A 65 AÑOS, CON UN EMPRENDIMIENTO EN FUNCIONAMIENTO, FORMAL O INFORMAL, PERTENECIENTES AL 80% DE LA POBLACION VULNERABLE SEGÚN RSH, QUE SEAN DERIVADOS O EGRESADOS DE PROGRAMAS FOSIS U OTRAS INSTITUCIONES. EGRESADOS DE LA FUNDACION, QUE HAYAN PARTICIPADO DE LOS CURSOS DE OFICIO REALIZADOS A TRAVES DEL PROGRAMA DE BECAS LABORALES DE SENCE O SEAN ASESORADOS POR NUESTRA INSTITUCION.
</t>
  </si>
  <si>
    <t xml:space="preserve">BancoEstado Microempresas
</t>
  </si>
  <si>
    <t xml:space="preserve">96.781.620-5
</t>
  </si>
  <si>
    <t xml:space="preserve">Fundación Trabajo Para Un Hermano
</t>
  </si>
  <si>
    <t xml:space="preserve">71.931.900-9
</t>
  </si>
  <si>
    <t xml:space="preserve">CORDONERÍA PRECOLOMBINA
</t>
  </si>
  <si>
    <t xml:space="preserve">1.1 IDENTIFICAR Y CONOCER LOS ORÍGENES E HISTORIA DEL TEJIDO PRECOLOMBINO. 1.2 IDENTIFICAR Y CONOCER LAS HERRAMIENTAS Y MATERIALES UTILIZADOS EN LA CONFECCIÓN DEL TEJIDO PRECOLOMBINO.  2.1 CONOCER, APLICAR Y PRACTICAR TÉCNICAS DE UNIÓN Y REFUERZO EN PRODUCTOS DE CONFECCIÓN Y TELAR. 2.2 CONOCER, APLICAR Y PRACTICAR TÉCNICAS DE TRENZADO Y CORDONERÍA EN PRODUCTOS DE CONFECCIÓN, ORFEBRERÍA Y TELAR. 3.1 DISEÑAR AL MENOS 3 PROTOTIPOS DE PRODUCTOS DE CONFECCIÓN, JOYERÍA O TELAR APLICANDO TÉCNICAS APRENDIDAS. 3.2 ELABORAR AL MENOS 3 PROTOTIPOS DE PRODUCTOS DE CONFECCIÓN, JOYERÍA O TELAR APLICANDO TÉCNICAS APRENDIDAS
</t>
  </si>
  <si>
    <t xml:space="preserve">EMPRENDEDORES ARTESANOS INFORMALES DERIVADOS DE INSTITUCIONES PÚBLICAS O ENTIDADES SIN FINES DE LUCRO, PERTENECIENTES AL 80% DE LA POBLACIÓN MÁS VULNERABLE, SEGÚN REGISTRO SOCIAL DE HOGARES
</t>
  </si>
  <si>
    <t>MUJERES Y HOMBRES EMPRENDEDORES ENTRE 18 A 70 AÑOS, QUE POSEAN RSH HASTA EL 80% DE VULNERABILIDAD, QUE CUENTEN CON ENSEÑANZA BÁSICA COMPLETA Y VIVAN EN LA COMUNA DE MAIPÚ</t>
  </si>
  <si>
    <t xml:space="preserve">PERSONAS MAYORES DE 18 AÑOS, CON RSH HASTA EL 80%, CESANTES O EN BUSCA DE SU PRIMER EMPLEO, 
</t>
  </si>
  <si>
    <t xml:space="preserve">PETROQUIM S.A.
</t>
  </si>
  <si>
    <t xml:space="preserve">78021580-7
</t>
  </si>
  <si>
    <t xml:space="preserve">Municipalidad de Hualpen
</t>
  </si>
  <si>
    <t xml:space="preserve">69.264.400-k
</t>
  </si>
  <si>
    <t>ACTIVIDADES DE CUIDADOS INTEGRADOS Y SOCIOSANITARIOS PARA PERSONAS MAYORES CON DEPENDENCIA LEVE A MODERADA</t>
  </si>
  <si>
    <t>PF1497</t>
  </si>
  <si>
    <t>HOMBRES Y MUJERES DE 18 AÑOS O MAS, QUE PERTENECEN AL 80% MAS VULNERABLES, RESIDEN EN LA COMUNA DE PUERTO MONTT Y TENER EDUCACIÓN MEDIA COMPLETA Y PRESENTAR EL CERTIFICADO DE INHABILIDAD CORRESPONDIENTE.</t>
  </si>
  <si>
    <t>ADIESTRAMIENTO CANINO</t>
  </si>
  <si>
    <t>PF1205</t>
  </si>
  <si>
    <t xml:space="preserve">1. PERSONAS, HOMBRE Y MUJERES,  EN SITUACIÓN DE DISCAPACIDAD FISICA ENTRE 18 Y 60 AÑOS, CON ESTUDIOS DE ENSEÑANZA BÁSICA COMPLETA, MEDIA INCOMPLETA Y COMPLETA, USUARIOS O EX USUARIOS DE TELETON, RESIDENTES EN LA REGIÓN METROPOLITANA,  QUE SE ENCUENTRAN DESOCUPADOS, CESANTES O REALIZAN UNA ACTIVIDAD EN EL MERCADO INFORMAL QUE LES REPORTA ESCASOS INGRESOS, QUE REQUIEREN ADQUIRIR CONOCIMIENTOS PARA MEJORAR SUS POSIBILIDADES DE INCLUSIÓN LABORAL. CERTIFICADO DE ANTECEDENTES QUE ACREDITE NO ENCONTRARSE EN INHABILIDAD ABSOLUTA
O PERPETUAMENTE CONDENADO POR EL DELITO DE MALTRATO ANIMAL, ESTABLECIDO EN NORMATIVA VIGENTE.
</t>
  </si>
  <si>
    <t>02. LUNES - TARDE / 05. MARTES - TARDE / 08. MIÉRCOLES - TARDE / 11. JUEVES - TARDE / 14. VIERNES - TARDE / 17. SÁBADO - TARDE / 20. DOMINGO - TARDE</t>
  </si>
  <si>
    <t>HOMBRE Y MUJERES MAYORES DE 45 AÑOS EMPRENDEDORES/AS O ARTESANOS/AS, PERTENECIENTES AL 80% MAS VULNERABLE</t>
  </si>
  <si>
    <t>MUNICIPALIDAD DE LA PINTANA</t>
  </si>
  <si>
    <t>69253800-5</t>
  </si>
  <si>
    <t xml:space="preserve">HOMBRES Y MUJERES DE 18 AÑOS O MÁS PERTENECIENTES AL 80% MÁS VULNERABLE SEGÚN REGISTRO SOCIAL DE HOGARES , DESOCUPADAS ,  EDUCACIÓN BÁSICA COMPLETA;
</t>
  </si>
  <si>
    <t xml:space="preserve">FUNDACIÓN MINERA LOS PELAMBRES.
</t>
  </si>
  <si>
    <t>MAULE</t>
  </si>
  <si>
    <t>PERSONAS ENTRE 18 A 65 AÑOS, QUE RESIDAN EN LA COMUNA DE MAULE, CESANTES O QUE ESTÉN BUSCANDO TRABAJO POR PRIMERA VEZ,. REQUISITOS PF: EDUCACIÓN MEDIA COMPLETA, PREFERENTEMENTE.</t>
  </si>
  <si>
    <t>Coop de Ahorro Credito y Servicios Financieros Ahorrocoop D Portales Ltda</t>
  </si>
  <si>
    <t>81836800-3</t>
  </si>
  <si>
    <t>MUNICIPALIDAD DE MAULE</t>
  </si>
  <si>
    <t xml:space="preserve">69110900-3
</t>
  </si>
  <si>
    <t xml:space="preserve">MUJERES U HOMBRES ENTRE 18 Y 65 AÑOS DE LA COMUNA DE SAN BERNARDO QUE POSEAN ENSEÑANZA MEDIA COMPLETA Y QUE NO SE ENCUENTREN TRABAJANDO.
</t>
  </si>
  <si>
    <t>HOMBRES Y MUJERES DE 18 AÑOS O MAS, QUE PERTENECEN AL 80% MAS VULNERABLES, RESIDEN EN LA COMUNA DE MULCHEN Y TENER EDUCACIÓN MEDIA COMPLETA, PREFERENTEMENTE.</t>
  </si>
  <si>
    <t>"RUT 69170500-5 MUNICIPALIDAD DE MULCHÉN. PERSONAS DERIVADAS POR OMIL DE MULCHÉN, ESPECÍFICAMENTE QUE PERTENECEN AL 80% MAS VULNERABLES*</t>
  </si>
  <si>
    <t>PERSONAS CON DISCAPACIDAD MAYORES DE 18 AÑOS, SIN TRABAJO FORMAL Y PERTENECIENTES A LA POBLACIÓN MÁS VULNERABLE SEGÚN RSH. QUE RESIDEN EN LA REGION METROPOLITANA Y CUENTAN CON EDUCACION MEDIA COMPLETA PREFERENTEMENTE</t>
  </si>
  <si>
    <t>SOCIEDADA PRO AYUDA DEL NIÑO LISIADO TELETON</t>
  </si>
  <si>
    <t>81897500-7</t>
  </si>
  <si>
    <t>CUIDADORES DE PERSONAS EN SITUACION DE DISCAPACIDAD, HOMBRES Y MUJERES, PADRE, MADRE, TUTOR LEGAL Y/O CUIDADOR PRINCIPAL DE USUARIO ATENDIDO EN TELETÓN SANTIAGO, DE ENTRE 18 Y 60 AÑOS CON ESTUDIOS DE ENSEÑANZA BÁSICA COMPLETA, MEDIA INCOMPLETA Y COMPLETA, RESIDENTES EN LA REGIÓN METROPOLITANA QUE SE ENCUENTRAN DESOCUPADOS O REALIZAN UNA ACTIVIDAD EN EL MERCADO INFORMAL QUE LES REPORTA ESCASOS INGRESOS, QUE REQUIEREN ADQUIRIR CONOCIMIENTOS PARA MEJORAR SUS POSIBILIDADES DE EMPLEO.</t>
  </si>
  <si>
    <t xml:space="preserve">3M CHILE S.A.
</t>
  </si>
  <si>
    <t xml:space="preserve">93626000-4
</t>
  </si>
  <si>
    <t xml:space="preserve">FUNDACIÓN TELETON
</t>
  </si>
  <si>
    <t xml:space="preserve"> 71238300-3
</t>
  </si>
  <si>
    <t xml:space="preserve"> MUJERES Y HOMBRES, DE 20 A 65 AÑOS, CON UN EMPRENDIMIENTO FUNCIONANDO EN LOS RUBROS DE CONFECCIÓN, ALIMENTACIÓN, SERVICIOS, COMERCIO, TANTO FORMALES COMO INFORMALES Y FORMALES, RESIDENTES EN LA REGIÓN METROPOLITANA. REQUISITOS DE INGRESO DE PLAN FORMATIVO EDUCACIÓN MEDIA COMPLETA, PREFERENTEMENTE
</t>
  </si>
  <si>
    <t xml:space="preserve">BANCO BICE
</t>
  </si>
  <si>
    <t xml:space="preserve">FUNDACION TRABAJO PARA UN HERMANO
</t>
  </si>
  <si>
    <t>HOMBRES Y MUJERES, ENTRE 18 Y 64 AÑOS DE EDAD, QUE RESIDAN EN LA COMUNA DE SANTIAGO CENTRO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</si>
  <si>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Fundación Solidaria Trabajo para un Hermano
</t>
  </si>
  <si>
    <t xml:space="preserve">73.535.000-5
</t>
  </si>
  <si>
    <t xml:space="preserve">1. PERSONAS, HOMBRE Y MUJERES,  EN SITUACIÓN DE DISCAPACIDAD FISICA ENTRE 18 Y 60 AÑOS, CON ESTUDIOS DE ENSEÑANZA BÁSICA COMPLETA, MEDIA INCOMPLETA Y COMPLETA, USUARIOS O EX USUARIOS DE TELETON, RESIDENTES EN LA REGIÓN DE LOS LAGOS,  QUE SE ENCUENTRAN DESOCUPADOS, CESANTES O REALIZAN UNA ACTIVIDAD EN EL MERCADO INFORMAL QUE LES REPORTA ESCASOS INGRESOS, QUE REQUIEREN ADQUIRIR CONOCIMIENTOS PARA MEJORAR SUS POSIBILIDADES DE INCLUSIÓN LABORAL.
</t>
  </si>
  <si>
    <t>ANTUCO</t>
  </si>
  <si>
    <t>HOMBRES Y MUJERES, ENTRE 18 Y 64 AÑOS DE EDAD, QUE RESIDAN EN LA COMUNA DE ANTUCO U ALEDAÑAS, REGIÓN DEL BIO BIO,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</si>
  <si>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Fundación World Vision</t>
  </si>
  <si>
    <t xml:space="preserve">CURSO ORIENTADO A MUJERES Y HOMBRES DE 20 A 65 AÑOS, CON UN EMPRENDIMIENTO EN FUNCIONAMIENTO, FORMAL O INFORMAL, PERTENECIENTES AL 80% DE LA POBLACION VULNERABLE SEGÚN RSH, QUE SEAN DERIVADOS O EGRESADOS DE PROGRAMAS FOSIS U OTRAS INSTITUCIONES. EGRESADOS DE LA FUNDACION, QUE HAYAN PARTICIPADO DE LOS CURSOS DE OFICIO REALIZADOS A TRAVES DEL PROGRAMA DE BECAS LABORALES DE SENCE O SEAN ASESORADOS POR NUESTRA INSTITUCION. EDUCACIÓN MEDIA COMPLETA
</t>
  </si>
  <si>
    <t xml:space="preserve">71440800-3
</t>
  </si>
  <si>
    <t xml:space="preserve">PERSONAS DE 18 AÑOS O MÁS PERTENECIENTES AL 80% DE LA POBLACIÓN MÁS VULNERABLE, SEGÚN REGISTRO SOCIAL DE HOGARES. EDUCACIÓN MEDIA COMPLETA, PREFERENTEMENTE. AGRUPACIÓN CASA DE LA MUJER LA PINTANA
</t>
  </si>
  <si>
    <t xml:space="preserve">1. PERSONAS, HOMBRE Y MUJERES,  EN SITUACIÓN DE DISCAPACIDAD FISICA ENTRE 18 Y 60 AÑOS, CON ESTUDIOS DE ENSEÑANZA BÁSICA COMPLETA, MEDIA INCOMPLETA Y COMPLETA, USUARIOS O EX USUARIOS DE TELETON, RESIDENTES EN LA REGIÓN DE ARICA Y PARINACOTA, ESPECÍFICAMENTE EN LA COMUNA DE ARICA, QUE SE ENCUENTRAN DESOCUPADOS, CESANTES O REALIZAN UNA ACTIVIDAD EN EL MERCADO INFORMAL QUE LES REPORTA ESCASOS INGRESOS, QUE REQUIEREN ADQUIRIR CONOCIMIENTOS PARA MEJORAR SUS POSIBILIDADES DE INCLUSIÓN LABORAL.  </t>
  </si>
  <si>
    <t>Banco de Chile</t>
  </si>
  <si>
    <t>SOC PRO AYUDA DEL NINO LISIADO</t>
  </si>
  <si>
    <t>HOMBRES Y MUJERES DE 18 AÑOS O MAS, QUE PERTENECEN AL 80% MAS VULNERABLES, RESIDEN EN LA COMUNA DE LLANQUIHUE Y QUE CUENTAN CON EDUCACIÓN MEDIA COMPLETA, PREFERENTEMENTE</t>
  </si>
  <si>
    <t>RUT 69220300-3 MUNICIPALIDAD DE LLANQUIHUE. PERSONAS DERIVADAS POR OMIL DE LLANQUIHUE, ESPECÍFICAMENTE QUE PERTENECEN AL 80% MAS VULNERABLES</t>
  </si>
  <si>
    <t>69220300-3</t>
  </si>
  <si>
    <t>CUIDADOS BÁSICOS DEL GANADO: OVINO, BOVINO Y EQUINO</t>
  </si>
  <si>
    <t>PF0708</t>
  </si>
  <si>
    <t>SANTA MARÍA</t>
  </si>
  <si>
    <t>MUJERES ENTRE 18 Y 64 AÑOS DE EDAD, QUE PERTENEZCAN AL PROGRAMA MUJERES JEFAS DE HOGAR, QUE RESIDAN EN LA COMUNA DE SANTA MARÍA U ALEDAÑAS, REGIÓN DE VALPARAÍSO,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</si>
  <si>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MUJERES ENTRE 18 Y 64 AÑOS DE EDAD, QUE PERTENEZCAN AL PROGRAMA MUJERES JEFAS DE HOGAR, QUE RESIDAN EN LA COMUNA DE PAILLACO U ALEDAÑAS, REGIÓN DE LOS RÍOS,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</si>
  <si>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HOMBRES Y MUJERES DE 18 AÑOS O MAS, QUE PERTENECEN AL 80% MAS VULNERABLES, RESIDEN EN LA COMUNA DE LLANQUIHUE Y QUE CUENTAN CON MANEJO DE LECTOESCRITURA BÁSICA MANEJO DE OPERACIONES MATEMÁTICAS BÁSICAS EDUCACIÓN BÁSICA COMPLETA, PREFERENTEMENTE</t>
  </si>
  <si>
    <t>DISEÑO Y CONSTRUCCIÓN DE HORNO SOLAR PARA COCCIÓN DE ALIMENTOS</t>
  </si>
  <si>
    <t>PF0627</t>
  </si>
  <si>
    <t>MUJERES ENTRE 18 Y 64 AÑOS DE EDAD, QUE PERTENEZCAN AL PROGRAMA MUJERES JEFAS DE HOGAR, QUE RESIDAN EN LA COMUNA DE PICA U ALEDAÑAS, REGIÓN DE TARAPACÁ,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</si>
  <si>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MUJERES ENTRE 18 Y 64 AÑOS DE EDAD, QUE PERTENEZCAN AL PROGRAMA MUJERES JEFAS DE HOGAR, QUE RESIDAN EN LA COMUNA DE LA PINTANA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</si>
  <si>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HOMBRES Y MUJERES DE 18 AÑOS O MÁS,  PERTENECIENTES AL 80% MÁS VULNERABLE SEGÚN REGISTRO SOCIAL DE HOGARES, CESANTE, REQUISITO MÍNIMO EDUCACIÓN MEDIA COMPLETA, PREFERENTEMENTE. 
</t>
  </si>
  <si>
    <t xml:space="preserve">  HOMBRES Y MUJERES DE 18 AÑOS O MAS PERTENECIENTES AL 80% MÁS VULNERABLE SEGÚN REGISTRO SOCIAL DE HOGARES, EDUCACIÓN MEDIA COMPLETA, PREFERENTEMENTE.
</t>
  </si>
  <si>
    <t>ELABORACION DE CERVEZA ARTESANAL</t>
  </si>
  <si>
    <t>PF0873</t>
  </si>
  <si>
    <t>CUIDADORES DE PERSONAS EN SITUACION DE DISCAPACIDAD, HOMBRES Y MUJERES, PADRE, MADRE, TUTOR LEGAL Y/O CUIDADOR PRINCIPAL DE USUARIO ATENDIDO EN TELETÓN, DE ENTRE 18 Y 60 AÑOS CON ESTUDIOS DE ENSEÑANZA BÁSICA COMPLETA, MEDIA INCOMPLETA Y COMPLETA, RESIDENTES EN LA REGIÓN  DE LOS RIOS QUE SE ENCUENTRAN DESOCUPADOS O REALIZAN UNA ACTIVIDAD EN EL MERCADO INFORMAL QUE LES REPORTA ESCASOS INGRESOS, QUE REQUIEREN ADQUIRIR CONOCIMIENTOS PARA MEJORAR SUS POSIBILIDADES DE EMPLEO.  EDUCACIÓN MEDIA COMPLETA PREFERENTEMENTE; EXPERIENCIA PREVIA COMO ASISTENTE DE ELABORACIÓN DE
CERVEZA ARTESANAL O AFÍN.</t>
  </si>
  <si>
    <t xml:space="preserve">71238300-3
</t>
  </si>
  <si>
    <t>PERSONAS DE 18 AÑOS O MÁS, CON DISCAPACIDAD VISUAL PERTENECIENTE A FUNDACIÓN LUZ Y SE ENCUENTRE EN PROCESO DE INCLUSION LABORAL. DEBERÁN CONTAR CON EDUCACIÓN BÁSICA COMPLETA, PREFERENTEMENTE.</t>
  </si>
  <si>
    <t>SOCIEDAD PROTECTORA DE CIEGOS SANTA LUCÍA</t>
  </si>
  <si>
    <t>82130300-1</t>
  </si>
  <si>
    <t>PANQUEHUE</t>
  </si>
  <si>
    <t>MUJERES ENTRE 18 Y 64 AÑOS DE EDAD, QUE PERTENEZCAN AL PROGRAMA MUJERES JEFAS DE HOGAR, QUE RESIDAN EN LA COMUNA DE PANQUEHUE U ALEDAÑAS, REGIÓN DE VALPARAÍSO,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</si>
  <si>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MUJERES ENTRE 18 Y 64 AÑOS DE EDAD, QUE PERTENEZCAN AL PROGRAMA MUJERES JEFAS DE HOGAR, QUE RESIDAN EN LA COMUNA DE SAN PABLO U ALEDAÑAS, REGIÓN DE LOS LAGOS,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</si>
  <si>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96781620-5</t>
  </si>
  <si>
    <t>NATALES</t>
  </si>
  <si>
    <t>MUJERES JEFAS DE HOGAR MAYORES DE 18 AÑOS, PARTICIPANTES AL PROGRAMA MUJERES JEFAS DE HOGAR DE LA COMUNA DE
NATALES Y QUE PERTENEZCAN HASTA AL 80% DEL RSH Y CON ENSEÑANZA MEDIA COMPLETA PREFERENTEMENTE. 
MUJERES EMPRENDEDORAS CON IDEAS DE NEGOCIO, QUE HAYAN IMPLEMENTADO SU IDEA DE NEGOCIO, QUE REQUIERAN
AUMENTAR LAS VENTAS Y POTENCIAR SU EMPRENDIMIENTO, Y/O REQUIEREN MÁS HERRAMIENTAS TÉCNICAS PARA ELLO.
SON MUJERES QUE REQUIEREN OBTENER HERRAMIENTAS DE DISEÑO, CONFECCIÓN Y COMERCIALIZACIÓN DE JABONES, BURBUJAS
Y SALES DE BAÑO DENTRO DEL SUBSECTOR DE ARTESANÍA, CUYO CAMPO LABORAL SE RELACIONA TANTO A ACTIVIDADES DE
EMPRENDIMIENTO INDIVIDUALES Y FAMILIARES COMO LA PROMOCIÓN DE USO DE PRODUCTOS NATURALES EN EL ÁMBITO DE LAS
TERAPIAS DE SALUD COMPLEMENTARIAS.
DE MODO, QUE LES PERMITA POTENCIAR LA IMPLEMENTACIÓN DE SUS EMPRENDIMIENTOS, LOGRANDO POSICIONARSE EN EL
MERCADO LABORAL CON MAYORES HERRAMIENTAS TÉCNICAS.
TODAS SON PARTICIPANTES DEL PROGRAMA MUJERES JEFAS DE HOGAR DE SERNAMEG DE LA COMUNA DE NATALES, QUE SE
CARACTERIZA POR SER UNA COMUNA PEQUEÑA, SIENDO LA SEGUNDA CON MÁS POBLACIÓN EN LA REGIÓN, LUEGO DE LA CAPITAL
REGIONAL, POR LO QUE LA OFERTA DE CAPACITACIÓN Y ACCESO ES MUCHO MÁS LIMITADA PARA LAS MUJERES EN COMPARACIÓN
CON PUNTA ARENAS, POR LO QUE ES NECESARIO POTENCIAR EL DESARROLLO DE COMPETENCIAS QUE PERMITAN POTENCIAR EL
DESARROLLO ECONÓMICO DE UNA COMUNA TURÍSTICA, DONDE LAS MUJERES DEL PROGRAMA TIENEN LA OPORTUNIDAD DE
FORTALECER SU AUTONOMÍA ECONÓMICA.</t>
  </si>
  <si>
    <t xml:space="preserve">Servicio Nacional de la Mujer y Equidad de Género
</t>
  </si>
  <si>
    <t>-MUJERES JEFAS DE HOGAR MAYORES DE 18 AÑOS, HASTA LOS 65 AÑOS DE EDAD, PARTICIPANTES DEL PROGRAMA JEFAS DE
HOGAR DE LA COMUNA DE CONTULMO Y QUE PERTENEZCAN HASTA AL 80% DEL RSH. CON ENSEÑANZA MEDIA COMPLETA PREFERENTEMENTE. 
DE ACUERDO A LA COMUNA, SU TERRITORIO Y SU ENTORNO NATURAL, ES IMPORTANTE PRIORIZAR AQUELLOS CURSOS QUE IMPULSEN
EL CRECIMIENTO ECONÓMICO SIGUIENDO LA MISMA LÍNEA DE LA PRESERVACIÓN DEL MEDIO AMBIENTE, PARA LA POBLACIÓN DE
LA COMUNA, COMO PARA LAS USUARIAS, OPTAR A LA ADQUISICIÓN DE LAS HERRAMIENTAS QUE ENTREGA ESTE CURSO BENEFICIA
PRINCIPALMENTE LA LABOR QUE REALIZAN CADA UNA DE ELLAS EN SU DÍA A DÍA A TRAVÉS DEL USO DE PRODUCTOS NATURALES,
POTENCIANDO LOS EMPLEOS VERDES E INCLUSO APOSTANDO A UNA MEJOR CALIDAD DE VIDA DE LAS PERSONAS POR MEDIO DE
PRODUCTOS QUE OFRECERÁN TERAPIAS DE SALUD COMPLEMENTARIAS, COSMÉTICA NATURAL Y CUIDADO AMBIENTAL</t>
  </si>
  <si>
    <t xml:space="preserve">CUIDADORES DE PERSONAS EN SITUACION DE DISCAPACIDAD, HOMBRES Y MUJERES, PADRE, MADRE, TUTOR LEGAL Y/O CUIDADOR PRINCIPAL DE USUARIO ATENDIDO EN TELETÓN, DE ENTRE 18 Y 60 AÑOS, EDUCACIÓN MEDIA COMPLETA PREFERENTEMENTE Y CONTAR CON UN MÍNIMO DE DOS AÑOS DE EXPERIENCIA LABORAL COMO AYUDANTE DE COCINA., RESIDENTES EN LA REGIÓN DE ARAUCANIA QUE SE ENCUENTRAN DESOCUPADOS O REALIZAN UNA ACTIVIDAD EN EL MERCADO INFORMAL QUE LES REPORTA ESCASOS INGRESOS, QUE REQUIEREN ADQUIRIR CONOCIMIENTOS PARA MEJORAR SUS POSIBILIDADES DE EMPLEO. 
DE COCINA.
</t>
  </si>
  <si>
    <t xml:space="preserve">1. PERSONAS, HOMBRE Y MUJERES,  EN SITUACIÓN DE DISCAPACIDAD FISICA ENTRE 18 Y 60 AÑOS, CON ESTUDIOS DE ENSEÑANZA BÁSICA COMPLETA, MEDIA INCOMPLETA Y COMPLETA, USUARIOS O EX USUARIOS DE TELETON, RESIDENTES EN LA REGIÓN DEL MAULE,  QUE SE ENCUENTRAN DESOCUPADOS, CESANTES O REALIZAN UNA ACTIVIDAD EN EL MERCADO INFORMAL QUE LES REPORTA ESCASOS INGRESOS, QUE REQUIEREN ADQUIRIR CONOCIMIENTOS PARA MEJORAR SUS POSIBILIDADES DE INCLUSIÓN LABORAL.
</t>
  </si>
  <si>
    <t>GESTIÓN ADMINISTRATIVA, FINANCIERA Y CONTABLE EN MYPES</t>
  </si>
  <si>
    <t>PF0993</t>
  </si>
  <si>
    <t>HOMBRES Y MUJERES, ENTRE 18 Y 64 AÑOS DE EDAD, QUE RESIDAN EN LA COMUNA DE SAN JOAQUÍN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</si>
  <si>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MOSTAZAL</t>
  </si>
  <si>
    <t>HOMBRES Y MUJERES DE 18 AÑOS O MAS, QUE PERTENECEN AL 80% MAS VULNERABLES, RESIDEN EN LA COMUNA DE MOSTAZAL (SECTOR CANDELARIA), Y QUE TENGAN EDUCACIÓN MEDIA COMPLETA. EXPERIENCIA LABORAL DE MÍNIMO, DOS AÑOS EN LABORES DE COMERCIALIZACIÓN TURÍSTICA, ESPECÍFICAMENTE EN LAS OPERACIONES VINCULADAS CON TOUR OPERADORES.</t>
  </si>
  <si>
    <t>RUT 69080500-6 MUNICIPALIDAD DE MOSTAZAL. PERSONAS DERIVADAS POR OMIL DE MOSTAZAL (SECTOR CANDELARIA), ESPECÍFICAMENTE DE LA LOCALIDAD DE CANDELARIA Y QUE PERTENECEN AL 80% MAS VULNERABLES</t>
  </si>
  <si>
    <t>69080500-6</t>
  </si>
  <si>
    <t>HOMBRES Y MUJERES, ENTRE 18 Y 64 AÑOS DE EDAD, QUE RESIDAN EN LA COMUNA DE COQUIMBO U ALEDAÑAS, REGIÓN DE COQUIMBO, SECTOR TALINAY, QUE PERTENEZCAN AL 80% DE LA POBLACIÓN MÁS VULNERABLE SEGÚN REGISTRO SOCIAL DE HOGARES, CON EDUCACIÓN BÁSICA COMPLETA PREFERENTEMENTE, NIVEL DE MANEJO COMPUTACIONAL BÁSICO (O NIVEL USUARIO), PREFERENTEMENTE. YA SEAN PERSONAS CESANTES, QUE BUSCAN TRABAJO POR PRIMERA VEZ O QUE SE ENCUENTRAN ACTUALMENTE REALIZANDO TRABAJOS PRECARIOS, INFORMALES O DE BAJA CALIFICACIÓN, Y REQUIERAN REALIZAR UNA RECONVERSIÓN LABORAL.</t>
  </si>
  <si>
    <t>HOMBRES Y MUJERES, ENTRE 18 Y 64 AÑOS DE EDAD, QUE RESIDAN EN LA COMUNA DE SAN CLEMENTE U ALEDAÑAS, REGIÓN DEL MAULE, QUE PERTENEZCAN AL 80% DE LA POBLACIÓN MÁS VULNERABLE SEGÚN REGISTRO SOCIAL DE HOGARES, CON EDUCACIÓN BÁSICA COMPLETA PREFERENTEMENTE, NIVEL DE MANEJO COMPUTACIONAL BÁSICO (O NIVEL USUARIO), PREFERENTEMENTE. YA SEAN PERSONAS CESANTES, QUE BUSCAN TRABAJO POR PRIMERA VEZ O QUE SE ENCUENTRAN ACTUALMENTE REALIZANDO TRABAJOS PRECARIOS, INFORMALES O DE BAJA CALIFICACIÓN, Y REQUIERAN REALIZAR UNA RECONVERSIÓN LABORAL.</t>
  </si>
  <si>
    <t>HOMBRES Y MUJERES QUE PERTENECEN AL 80% MAS VULNERABLES, RESIDEN EN LA COMUNA DE SANTA BARBARA Y QUE DEBEN TENER EDUCACIÓN MEDIA COMPLETA CIENTÍFICO HUMANISTA O ALUMNOS DE LICEOS DE EDUCACIÓN TÉCNICO PROFESIONAL EGRESADOS O CURSANDO ÚLTIMO AÑO DE LA ESPECIALIDAD DE ELECTRICIDAD, ACREDITABLE;</t>
  </si>
  <si>
    <t>"RUT 69170200-6 MUNICIPALIDAD DE SANTA BÁRBARA, PERSONAS DERIVADAS POR OMIL DE SANTA BÁRBARA, ESPECÍFICAMENTE QUE PERTENECEN AL 80% MAS VULNERABLES*</t>
  </si>
  <si>
    <t xml:space="preserve">HOMBRES Y MUJERES, ENTRE 18 Y 64 AÑOS DE EDAD, QUE RESIDAN EN LA COMUNA DE QUINTA NORMAL U ALEDAÑAS, REGIÓN METROPOLITANA, QUE PERTENEZCAN AL 80% DE LA POBLACIÓN MÁS VULNERABLE SEGÚN REGISTRO SOCIAL DE HOGARES, CON EDUCACIÓN MEDIA COMPLETA CIENTÍFICO HUMANISTA O ALUMNOS DE LICEOS DE EDUCACIÓN TÉCNICO PROFESIONAL EGRESADOS O CURSANDO ÚLTIMO AÑO DE LA ESPECIALIDAD DE ELECTRICIDAD, ACREDITABLE. YA SEAN PERSONAS CESANTES, QUE BUSCAN TRABAJO POR PRIMERA VEZ O QUE SE ENCUENTRAN ACTUALMENTE REALIZANDO TRABAJOS PRECARIOS, INFORMALES O DE BAJA CALIFICACIÓN, Y REQUIERAN REALIZAR UNA RECONVERSIÓN LABORAL.
</t>
  </si>
  <si>
    <t>MUJERES ENTRE 18 A 64 AÑOS CESANTE O EN BUSQUEDA DE EMPLEO O ESPECIALIZACIÓN EN EL AREA, PERTENECIENTES AL 80% MAS VULNERABLE</t>
  </si>
  <si>
    <t>HOMBRES Y MUJERES, ENTRE 18 Y 64 AÑOS DE EDAD, QUE RESIDAN EN LA COMUNA DE ALTO BIOBÍO U ALEDAÑAS, REGIÓN DEL BIO BIO, QUE PERTENEZCAN AL 80% DE LA POBLACIÓN MÁS VULNERABLE SEGÚN REGISTRO SOCIAL DE HOGARES, CON EDUCACIÓN BÁSICA COMPLETA. YA SEAN PERSONAS CESANTES, QUE BUSCAN TRABAJO POR PRIMERA VEZ O QUE SE ENCUENTRAN ACTUALMENTE REALIZANDO TRABAJOS PRECARIOS, INFORMALES O DE BAJA CALIFICACIÓN, Y REQUIERAN REALIZAR UNA RECONVERSIÓN LABORAL.</t>
  </si>
  <si>
    <t xml:space="preserve">1. PERSONAS, HOMBRE Y MUJERES,  EN SITUACIÓN DE DISCAPACIDAD FISICA ENTRE 18 Y 60 AÑOS, CON ESTUDIOS DE ENSEÑANZA BÁSICA COMPLETA, MEDIA INCOMPLETA Y COMPLETA, USUARIOS O EX USUARIOS DE TELETON, RESIDENTES EN LA REGIÓN DE ANTOFAGASTA  QUE SE ENCUENTRAN DESOCUPADOS, CESANTES O REALIZAN UNA ACTIVIDAD EN EL MERCADO INFORMAL QUE LES REPORTA ESCASOS INGRESOS, QUE REQUIEREN ADQUIRIR CONOCIMIENTOS PARA MEJORAR SUS POSIBILIDADES DE INCLUSIÓN LABORAL.        2. CUIDADORES DE PERSONAS EN SITUACION DE DISCAPACIDAD, HOMBRES Y MUJERES, PADRE, MADRE, TUTOR LEGAL Y/O CUIDADOR PRINCIPAL DE USUARIO ATENDIDO EN TELETÓN SANTIAGO, DE ENTRE 18 Y 60 AÑOS CON ESTUDIOS DE ENSEÑANZA BÁSICA COMPLETA, MEDIA INCOMPLETA Y COMPLETA, RESIDENTES EN LA REGIÓN METROPOLITANA QUE SE ENCUENTRAN DESOCUPADOS O REALIZAN UNA ACTIVIDAD EN EL MERCADO INFORMAL QUE LES REPORTA ESCASOS INGRESOS, QUE REQUIEREN ADQUIRIR CONOCIMIENTOS PARA MEJORAR SUS POSIBILIDADES DE EMPLEO.
</t>
  </si>
  <si>
    <t xml:space="preserve">1. PERSONAS, HOMBRE Y MUJERES,  EN SITUACIÓN DE DISCAPACIDAD FISICA ENTRE 18 Y 60 AÑOS, CON ESTUDIOS DE ENSEÑANZA BÁSICA COMPLETA, MEDIA INCOMPLETA Y COMPLETA, USUARIOS O EX USUARIOS DE TELETON, RESIDENTES EN LA REGIÓN METROPOLITANA,  QUE SE ENCUENTRAN DESOCUPADOS, CESANTES O REALIZAN UNA ACTIVIDAD EN EL MERCADO INFORMAL QUE LES REPORTA ESCASOS INGRESOS, QUE REQUIEREN ADQUIRIR CONOCIMIENTOS PARA MEJORAR SUS POSIBILIDADES DE INCLUSIÓN LABORAL.
</t>
  </si>
  <si>
    <t xml:space="preserve">1. PERSONAS, HOMBRE Y MUJERES,  EN SITUACIÓN DE DISCAPACIDAD FISICA ENTRE 18 Y 60 AÑOS, CON ESTUDIOS DE ENSEÑANZA BÁSICA COMPLETA, MEDIA INCOMPLETA Y COMPLETA, USUARIOS O EX USUARIOS DE TELETON, RESIDENTES EN LA REGIÓN DEL BIOBIO,  QUE SE ENCUENTRAN DESOCUPADOS, CESANTES O REALIZAN UNA ACTIVIDAD EN EL MERCADO INFORMAL QUE LES REPORTA ESCASOS INGRESOS, QUE REQUIEREN ADQUIRIR CONOCIMIENTOS PARA MEJORAR SUS POSIBILIDADES DE INCLUSIÓN LABORAL.
</t>
  </si>
  <si>
    <t>HOMBRES Y MUJERES DE 18 AÑOS Y MAS  CON EDUCACIÓN BÁSICA COMPLETA, PREFERENTEMENTE ; CONOCIMIENTOS BÁSICOS DE GASTRONOMÍA, MANIPULACIÓN DE
ALIMENTOS Y CONTROL DE COSTOS; COMPUTACIÓN NIVEL USUARIO</t>
  </si>
  <si>
    <t xml:space="preserve">1. PERSONAS, HOMBRE Y MUJERES,  EN SITUACIÓN DE DISCAPACIDAD FISICA ENTRE 18 Y 60 AÑOS, CON ESTUDIOS DE ENSEÑANZA BÁSICA COMPLETA, MEDIA INCOMPLETA Y COMPLETA, USUARIOS O EX USUARIOS DE TELETON, RESIDENTES EN LA REGIÓN DE COQUIMBO,  QUE SE ENCUENTRAN DESOCUPADOS, CESANTES O REALIZAN UNA ACTIVIDAD EN EL MERCADO INFORMAL QUE LES REPORTA ESCASOS INGRESOS, QUE REQUIEREN ADQUIRIR CONOCIMIENTOS PARA MEJORAR SUS POSIBILIDADES DE INCLUSIÓN LABORAL. CONOCIMIENTOS BÁSICOS DE GASTRONOMÍA, MANIPULACIÓN DE
ALIMENTOS Y CONTROL DE COSTOS; COMPUTACIÓN NIVEL USUARIO.
</t>
  </si>
  <si>
    <t>MUJERES U HOMBRES DE LA COMUNA DE TALCA, PERTENECIENTES A LAS JUNTAS DE VECINOS DEL SECTOR 3, ENTRE 18 Y 65 AÑOS QUE POSEAN ENSEÑANZA MEDIA COMPLETA Y QUE NO SE ENCUENTREN TRABAJANDO.
REQUISITOS INGRESO PF: ENSEÑANZA BÁSICA COMPLETA, PREFERENTEMENTE. CONOCIMIENTOS BÁSICOS DE GASTRONOMÍA, MANIPULACIÓN DE ALIMENTOS Y CONTROL DE COSTOS. COMPUTACIÓN NIVEL USUARIO.</t>
  </si>
  <si>
    <t>MUJERES U HOMBRES DE LA COMUNA DE CONCEPCIÓN ENTRE 18 Y 65 AÑOS QUE POSEAN ENSEÑANZA MEDIA COMPLETA Y QUE NO SE ENCUENTREN TRABAJANDO.
REQUISITOS INGRESO PF: ENSEÑANZA BÁSICA COMPLETA, PREFERENTEMENTE. CONOCIMIENTOS BÁSICOS DE GASTRONOMÍA, MANIPULACIÓN DE ALIMENTOS Y CONTROL DE COSTOS.
COMPUTACIÓN NIVEL USUARIO.</t>
  </si>
  <si>
    <t>MUNICIPALIDAD DE CONCEPCION</t>
  </si>
  <si>
    <t xml:space="preserve">HOMBRE Y MUJERES  DE 18 AÑOS O MÁS PERTENECIENTES AL 80% DE LA POBLACIÓN MÁS VULNERABLE, SEGÚN REGISTRO SOCIAL DE HOGARES. EDUCACIÓN MEDIA COMPLETA, PREFERENTEMENTE.
</t>
  </si>
  <si>
    <t>HOMBRES Y MUJERES DE 18 AÑOS O MAS QUE RESIDEN EN LA COMUNA DE PUCHUNCAVI, PERTENECEN AL 80% MAS VULNERABLE SEGÚN REGISTRO SOCIAL DE HOGARES Y CUENTAN CON EDUCACIÓN MEDIA COMPLETA PREFERENTEMENTE</t>
  </si>
  <si>
    <t>PERSONAS DERIVADAS POR OMIL DE PUCHUNCAVÍ Y ALREDEDORES, ESPECÍFICAMENTE QUE PERTENECEN AL 80% MAS VULNERABLES</t>
  </si>
  <si>
    <t>69.060.800-6</t>
  </si>
  <si>
    <t>MUJERES ENTRE 18 Y 64 AÑOS DE EDAD, QUE PERTENEZCAN AL PROGRAMA MUJERES JEFAS DE HOGAR, QUE RESIDAN EN LA COMUNA DE COLBÚN U ALEDAÑAS, REGIÓN DEL MAULE, QUE PERTENEZCAN AL 80% DE LA POBLACIÓN MÁS VULNERABLE SEGÚN REGISTRO SOCIAL DE HOGARES, EDUCACIÓN MEDIA COMPLETA PREFERENTEMENTE. YA SEAN PERSONAS CESANTES, QUE BUSCAN TRABAJO POR PRIMERA VEZ O QUE SE ENCUENTRAN ACTUALMENTE REALIZANDO TRABAJOS PRECARIOS, INFORMALES O DE BAJA CALIFICACIÓN, Y REQUIERAN REALIZAR UNA RECONVERSIÓN LABORAL.</t>
  </si>
  <si>
    <t>NACIMIENTO</t>
  </si>
  <si>
    <t>MUJERES ENTRE 18 Y 64 AÑOS DE EDAD, QUE PERTENEZCAN AL PROGRAMA MUJERES JEFAS DE HOGAR, QUE RESIDAN EN LA COMUNA DE NACIMIENTO U ALEDAÑAS, REGIÓN DE BIO-BIO,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</si>
  <si>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MUJERES JEFAS DE HOGAR MAYORES DE 18 AÑOS, PARTICIPANTES AL PROGRAMA MUJERES JEFAS DE HOGAR DE LA COMUNA 
DE TRAIGÚEN Y QUE PERTENEZCAN HASTA AL 80% DEL RSH. 
MUJERES EMPRENDEDORAS CON IDEAS DE NEGOCIO Y NEGOCIOS EN DESARROLLO.
MUJERES CUENTAN CON EDUCACIÓN MEDIA COMPLETA 
REQUIEREN OBTENER HERRAMIENTAS, QUE LES PERMITA POTENCIAR LA IMPLEMENTACIÓN DE SUS EMPRENDIMIENTOS, 
LOGRANDO POSICIONARSE EN EL MERCADO LABORAL CON MAYORES HERRAMIENTAS TÉCNICAS.
TODAS SON PARTICIPANTES DEL PROGRAMA MUJERES JEFAS DE HOGAR DE SERNAMEG DE LA COMUNA DE TRAIGUÉN, QUE SE 
CARACTERIZA POR SER UNA COMUNA CON BAJA OFERTA LABORAL, DONDE LOS TRABAJOS VAN EN DESMEDRO DE LAS MUJERES, 
PREDOMINANDO LA FUERZA LABORAL MASCULINA. </t>
  </si>
  <si>
    <t>PERSONAS PERTENECIENTES AL 80% DE LA POBLACIÓN VULNERABLE, HOMBRES Y MUJERES DE 18 AÑOS O MAS, CON EDUCACIÓN BASICA COMPLETA PREFERENTEMENTE, DE LA COMUNA DE LA REINA</t>
  </si>
  <si>
    <t>FUNDACION ATENEA MUJER</t>
  </si>
  <si>
    <t>65196907-7</t>
  </si>
  <si>
    <t xml:space="preserve">HOMBRES Y MUJERES DE 18 AÑOS Y MAS, PERTENECIENTES AL 80% MÁS VULNERABLE SEGÚN REGISTRO SOCIAL DE HOGARES,  EDUCACIÓN MEDIA COMPLETA, PREFERENTEMENTE
</t>
  </si>
  <si>
    <t xml:space="preserve">MUJERES U HOMBRES ENTRE 18 Y 65 AÑOS DE LA COMUNA DE COPIAPÓ QUE POSEAN ENSEÑANZA MEDIA COMPLETA Y QUE NO SE ENCUENTREN TRABAJANDO.
</t>
  </si>
  <si>
    <t xml:space="preserve">Municipalidad de Copiapó </t>
  </si>
  <si>
    <t>HOMBRES Y MUJERES MAYORES DE 18 AÑOS, QUE RESIDEN EN LA COMUNA DE PUCHUNCAVI, PERTENECEN HASTA EL 80% MAS VULNERABLE SEGÚN REGISTRO SOCIAL DE HOGARES Y CUENTAN CON EDUCACIÓN MEDIA COMPLETA PREFERENTEMENTE</t>
  </si>
  <si>
    <t>96602640 - 5</t>
  </si>
  <si>
    <t>RUT 69060800-6 MUNICIPALIDAD DE PUCHUNCAVÍ, PERSONAS DERIVADAS POR OMIL DE PUCHUNCAVÍ, ESPECÍFICAMENTE QUE PERTENECEN AL 80% MAS VULNERABLES</t>
  </si>
  <si>
    <t>HOMBRES Y MUJERES MAYORES DE 18 AÑOS, QUE RESIDEN EN LA COMUNA DE MEJILLONES, PERTENECEN HASTA EL 80% MAS VULNERABLE SEGÚN REGISTRO SOCIAL DE HOGARES Y CUENTAN CON EDUCACIÓN MEDIA COMPLETA PREFERENTEMENTE</t>
  </si>
  <si>
    <t>RUT 69020400-2 MUNICIPALIDAD DE MEJILLONES. PERSONAS DERIVADAS POR OMIL DE MEJILLONES, ESPECÍFICAMENTE QUE PERTENECEN AL 80% MAS VULNERABLES</t>
  </si>
  <si>
    <t xml:space="preserve">MUJERES U HOMBRES DE LA COMUNA DE TEMUCO ENTRE 18 Y 65 AÑOS QUE POSEAN ENSEÑANZA MEDIA COMPLETA Y QUE NO SE ENCUENTREN TRABAJANDO.
</t>
  </si>
  <si>
    <t>Municipalidad de Temuco</t>
  </si>
  <si>
    <t>HOMBRES Y MUJERES DE 18 AÑOS O MAS, QUE PERTENECEN AL 80% MAS VULNERABLES, RESIDEN EN LA COMUNA DE DIEGO DE ALMAGRO Y QUE CUENTAN CON EDUCACIÓN MEDIA COMPLETA, PREFERENTEMENTE</t>
  </si>
  <si>
    <t>RUT 69250500-K MUNICIPALIDAD DE DIEGO DE ALMAGRO. PERSONAS DERIVADAS POR OMIL DE DIEGO DE ALMAGRO, ESPECÍFICAMENTE QUE PERTENECEN AL 80% MAS VULNERABLES</t>
  </si>
  <si>
    <t>HOMBRES Y MUJERES DE 18 AÑOS O MAS, QUE PERTENECEN AL 80% MAS VULNERABLES, RESIDEN EN LA COMUNA DE SAN ESTEBAN Y QUE CUENTAN CON EDUCACIÓN MEDIA COMPLETA, PREFERENTEMENTE</t>
  </si>
  <si>
    <t>RUT 69051400-1 MUNICIPALIDAD DE SAN ESTEBAN. PERSONAS DERIVADAS POR OMIL DE SAN ESTEBAN, ESPECÍFICAMENTE QUE PERTENECEN AL 80% MAS VULNERABLES</t>
  </si>
  <si>
    <t xml:space="preserve">69051400-1 </t>
  </si>
  <si>
    <t>1.1.IDENTIFICAR Y CONOCER LAS PARTES Y CARACTERÍSTICAS DE UNA AGUJA EN MÁQUINAS DE COSER.  1.2.IDENTIFICAR FALLAS COMUNES EN LAS AGUJAS. 1.3.DEFINIR E IDENTIFICAR EL PMI Y SENTIDO DE GIRO EN MÁQUINAS RECTAS INDUSTRIALES Y DOMÉSTICAS. 2.1. IDENTIFICAR Y CONOCER LAS PARTES DE UNA MÁQUINA DE COSER RECTA INDUSTRIAL. 2.2.CONOCER LAS PIEZAS QUE CONFORMAN LA BARRA DE AGUJA Y PRENSATELAS.  2.3.CONOCER LAS PIEZAS DEL SISTEMA DE FORMACIÓN DE LANZADAS, ARRASTRE, TENSIÓN EN UNA MÁQUINA DE COSER RECTA INDUSTRIAL. 3.1. RECONOCER E IDENTIFICAR FALLAS Y PROBLEMAS EN MÁQUINAS RECTAS INDUSTRIALES. 3.2. IDENTIFICAR Y UTILIZAR HERRAMIENTAS PARA AJUSTE Y CALIBRACIÓN DE MÁQUINAS DE COSER RECTA INDUSTRIAL. 3.3. REALIZAR AJUSTES Y CALIBRACIONES DE LOS DISTINTOS SISTEMAS DE UNA MÁQUINA DE COSER RECTA INDUSTRIAL SEGÚN NORMAS Y SECUENCIAS ESTABLECIDAS.  3.4. IDENTIFICAR Y REALIZAR LUBRICACIÓN DE LAS PARTES DE UNA MÁQUINA DE COSER RECTA INDUSTRIAL SEGÚN SECUENCIA. 4.1. IDENTIFICAR Y CONOCER LAS PARTES DE UNA MÁQUINA DE COSER RECTA DOMESTICA. 4.2. CONOCER LAS PIEZAS DEL SISTEMA DE FORMACIÓN DE LANZADAS, ARRASTRE, TENSIÓN EN UNA MÁQUINA DE COSER RECTA DOMÉSTICA. 4.3.REALIZAR AJUSTES Y CALIBRACIONES DE LOS DISTINTOS SISTEMAS DE UNA MÁQUINA DE COSER RECTA INDUSTRIAL SEGÚN NORMAS Y SECUENCIAS ESTABLECIDAS.                                                                                   4.4. IDENTIFICAR, CONOCER Y REPARAR FALLAS FRECUENTES EN MAQUINA MULTIPUNTO DOMÉSTICAS. 4.5. IDENTIFICAR Y REALIZAR LUBRICACIÓN DE LAS PARTES Y SISTEMAS DE UNA MÁQUINA DE COSER MULTIPUNTO SEGÚN SECUENCIA. 5.1. IDENTIFICAR Y CONOCER LAS PARTES DE UNA MÁQUINA DE COSER OVEROLCK. 5.2. CONOCER LAS PIEZAS DEL SISTEMA DE FORMACIÓN DE LANZADAS, ARRASTRE, TENSIÓN EN UNA MÁQUINA DE COSER RECTA DOMÉSTICA. 5.3.REALIZAR AJUSTES Y CALIBRACIONES DE LOS DISTINTOS SISTEMAS DE UNA MÁQUINA DE COSER OVERLOCK SEGÚN NORMAS Y SECUENCIAS ESTABLECIDAS.  5.4. IDENTIFICAR, CONOCER Y REPARAR FALLAS FRECUENTES EN MAQUINA OVERLOCK.  5.5.IDENTIFI</t>
  </si>
  <si>
    <t xml:space="preserve">CURSO ORIENTADO A MICROEMPRESARIAS/OS MUJERES Y HOMBRES DE 45 A 65 AÑOS DEL RUBRO DE LA CONFECCIÓN QUE HAN SIDO DERIVADAS/OS DE LAS INSTITUCIONES CON LAS QUE TRABAJAMOS EN RED, MAYORITARIAMENTE EN UN 90% SON JEFES DE HOGAR CON HIJOS DEPENDIENTES, EL 80% HA CURSADO ENSEÑANZA MEDIA, QUE CUENTAN CON EMPRENDIMIENTO FUNCIONANDO DE AL MENOS TRES AÑOS DE EXPERIENCIA EN EL RUBRO, CON VENTAS PROMEDIOS DE $300.000 MENSUALES.
</t>
  </si>
  <si>
    <t xml:space="preserve"> 71.931.900-9
</t>
  </si>
  <si>
    <t>CONFECCIÓN Y CORTE DE VESTUARIO PARA ADULTOS Y NIÑOS</t>
  </si>
  <si>
    <t>"1.1 IDENTIFICAR LOS MATERIALES Y HERRAMIENTAS NECESARIAS PARA EL CORTE Y ENSAMBLADO DE TELAS, APLICANDO MEDIDAS DE SEGURIDAD LABORAL.
 1.2 APLICAR TÉCNICAS DE CORTE DE TELAS DE CALIDAD EN FORMA MANUAL O CON MÁQUINA, CONSIDERANDO LA FICHA TÉCNICA DEL MODELO DE LA PRENDA DE VESTIR PARA NIÑOS Y ADULTOS.
 1.3 APLICAR TÉCNICAS DE ENSAMBLADO DE TELAS SEGÚN FICHA TÉCNICA DEL MODELO DE LA PRENDA DE VESTIR PARA NIÑOS Y ADULTOS.
 2.1 ORGANIZA LA PRODUCCIÓN DE PRENDAS DE VESTIR PARA NIÑOS Y ADULTOS EN EL PLAZO FIJADO DE ACUERDO A LAS ESPECIFICACIONES TÉCNICAS DE LA PRENDA A CONFECCIONAR.
 2.2. APLICAR PROCESO DE PRODUCCIÓN EN CONFECCIÓN DE PRENDA DE VESTIR PARA NIÑOS Y ADULTOS, DE ACUERDO A CRITERIOS DE CALIDAD DEL PRODUCTO.
 2.3 APLICAR TÉCNICAS DE ACABADO EN LA PRENDA DE VESTIR PARA NIÑOS Y ADULTOS.
 3.1 CALCULAR LOS COSTOS ASOCIADOS A LA CONFECCIÓN DE PRENDA DE VESTIR.
 3.2. RELACIONAR EL PRECIO DE VENTA DE LA PRENDA DE VESTIR CON EL PROCESO PRODUCTIVO DETERMINADO."</t>
  </si>
  <si>
    <t>CURSO ORIENTADO A MUJERES Y HOMBRES DE 20 A 65 AÑOS, CON UN EMPRENDIMIENTO EN FUNCIONAMIENTO, FORMAL O INFORMAL, PERTENECIENTES AL 80% DE LA POBLACION VULNERABLE SEGÚN RSH, QUE SEAN DERIVADOS O EGRESADOS DE PROGRAMAS FOSIS U OTRAS INSTITUCIONES. EGRESADOS DE LA FUNDACION, QUE HAYAN PARTICIPADO DE LOS CURSOS DE OFICIO REALIZADOS A TRAVES DEL PROGRAMA DE BECAS LABORALES DE SENCE O SEAN ASESORADOS POR INSTITUCION TRABAJO PARA UN HERMANO</t>
  </si>
  <si>
    <t>CONTABILIDAD BÁSICA PARA MICROEMPRENDEDORES</t>
  </si>
  <si>
    <t xml:space="preserve">1.1.IDENTIFICAR CONCEPTOS BÁSICOS DE CONTABILIDAD SEGÚN PRINCIPIOS Y LEGISLACIÓN VIGENTE. 1.2. REALIZAR LAS OPERACIONES CONTABLES EN REGISTROS BÁSICOS DE UNA EMPRESA PARA CONTROLAR EL MOVIMIENTO DE INGRESOS - EGRESOS DURANTE LA GESTIÓN EMPRESARIAL.  1.3. ELABORAR ESTADOS FINANCIEROS BÁSICOS PARA UNA EMPRESA DETERMINADA PERMITIENDO LA COMPROBACIÓN Y COMPORTAMIENTO CONTABLE DE LA GESTIÓN EMPRESARIAL.  2.1. DISEÑAR Y ELABORAR DOCUMENTACIÓN INHERENTE AL ÁREA DE GESTIÓN CONTABLE UTILIZANDO EL PROCESADOR DE TEXTO. 2.2. MANEJAR PLANILLAS ELECTRÓNICAS DE CÁLCULO UTILIZANDO LOS RECURSOS BÁSICOS PARA DAR SOPORTE O SOLUCIÓN A LAS ACTIVIDADES DE SU ÁREA.  2.3. USAR SOFTWARE RELACIONADO CON LOS PROCESOS CONTABLES BÁSICOS.
</t>
  </si>
  <si>
    <t xml:space="preserve">CONTABILIDAD BÁSICA PARA MICROEMPRENDEDORES
</t>
  </si>
  <si>
    <t xml:space="preserve">1.1.IDENTIFICAR CONCEPTOS BÁSICOS DE CONTABILIDAD SEGÚN PRINCIPIOS Y LEGISLACIÓN VIGENTE. 1.2. REALIZAR LAS OPERACIONES CONTABLES EN REGISTROS BÁSICOS DE UNA EMPRESA PARA CONTROLAR EL MOVIMIENTO DE INGRESOS - EGRESOS DURANTE LA GESTIÓN EMPRESARIAL.  1.3. ELABORAR ESTADOS FINANCIEROS BÁSICOS PARA UNA EMPRESA DETERMINADA PERMITIENDO LA COMPROBACIÓN Y COMPORTAMIENTO CONTABLE DE LA GESTIÓN EMPRESARIAL.  2.1. DISEÑAR Y ELABORAR DOCUMENTACIÓN INHERENTE AL ÁREA DE GESTIÓN CONTABLE UTILIZANDO EL PROCESADOR DE TEXTO. 2.2. MANEJAR PLANILLAS ELECTRÓNICAS DE CÁLCULO UTILIZANDO LOS RECURSOS BÁSICOS PARA DAR SOPORTE O SOLUCIÓN A LAS ACTIVIDADES DE SU ÁREA.  2.3. USAR SOFTWARE RELACIONADO CON LOS PROCESOS CONTABLES BÁSICOS.
</t>
  </si>
  <si>
    <t>EMPRENDEDORES ARTESANOS INFORMALES DERIVADOS DE INSTITUCIONES PÚBLICAS O ENTIDADES SIN FINES DE LUCRO, HOMBRES Y MUJERES DE 18 AÑOS Y MAS, PERTENECIENTES AL 80% DE LA POBLACIÓN MÁS VULNERABLE SEGÚN REGISTRO SOCIAL DE HOGARES, CON ENSEÑANZA MEDIA COMPLETA PREFERENTEMENTE.</t>
  </si>
  <si>
    <t xml:space="preserve">DISEÑO DE JOYERÍA CON TÉCNICA DE ENGASTE DE PIEDRAS SEMI PRECIOSAS
</t>
  </si>
  <si>
    <t xml:space="preserve">1.1 CONOCE LOS DIFERENTES METALES NOBLES Y SUS ALEACIONES. 1.2 RECONOCE Y PRACTICA EL USO DE DIFERENTES METALES, SEGÚN LA NECESIDAD DE LA PIEZA A FABRICAR Y LAS CARACTERÍSTICAS TÉCNICAS DEL MISMO. 2.1 IDENTIFICA LOS DIFERENTES TIPOS DE PIEDRAS SEMI PRECIOSAS MÁS COMUNES EN CHILE. 2.2 ANALIZA Y EVALÚA DIFERENTES PIEDRAS SEMI PRECIOSAS. 2.3 CONOCE LOS SISTEMAS MÁS COMUNES DE LAPIDACIÓN. 3.1 APLICA EL DIBUJO TÉCNICO Y ARTÍSTICO PARA EL DISEÑO DE JOYAS, CON TÉCNICAS DE ENGASTE. 3.2 DESARROLLA LA PLANIMETRÍA DE LAS PIEZAS A FABRICAR. 3.3 CONOCE EL MERCADO DE LAS JOYAS EN CHILE. 4.1 CONOCE LAS HERRAMIENTAS PARA EL ENGASTE DE PIEDRAS. 4.2 PREPARA Y USA LAS HERRAMIENTAS ADECUADA PARA CADA TIPO DE ENGASTE Y EJERCITA DIFERENTES TIPOS DE ENGASTE. 4.3 APLICA LA TÉCNICA DE ENGASTE A LA CONFECCIÓN DE LOS COMPLEMENTOS DE DECORACIÓN DISEÑADOS. 5.1. CONOCER E IDENTIFICAR EL DECÁLOGO DEL BUEN TRABAJO. 5.2 EJERCITAR LA IMPORTANCIA DEL BUEN TRABAJO EN EL DESARROLLO DE SU ENTORNO LABORAL.
</t>
  </si>
  <si>
    <t xml:space="preserve">ARTESANOS DEL RUBRO ORFEBRERÍA, FORMALES E INFORMALES QUE HAN PARTICIPADO EN CURSOS DE ENGASTE DE PIEDRAS SEMI PRECIOSAS, GRABADO AL ÁCIDO, LAPIDACIÓN Y/ O CADENAS DE COBRE ENTRE LOS AÑOS 2016 Y 2020. RESIDENTES EN LAS COMUNAS DE HUECHURABA, INDEPENDENCIA, RECOLETA, ESTACIÓN CENTRAL, CERRO NAVIA, PUDAHUEL, LO ESPEJO, SAN JOAQUIN, Y CONCHALÍ (PREFERENTEMENTE). PRINCIPALMENTE MUJERES (90%), CON EDAD ENTRE 30 Y 60 AÑOS CON ESCOLARIDAD BÁSICA COMPLETA, CON EMPRENDIMIENTO ACTIVOS Y VENTAS MENSUALES PROMEDIOS NO SUPERIORES A $350.000.
</t>
  </si>
  <si>
    <t xml:space="preserve">DISEÑO Y ELABORACION DE JOYERIA CON TECNICA FILIGRANA
</t>
  </si>
  <si>
    <t xml:space="preserve">1.1 CONOCER LA HISTORIA DE LA FILIGRANA EN EL DISEÑO DE JOYAS EN AMÉRICA: PRECOLOMBINA. 1.2 CONOCER LA HISTORIA DE LA FILIGRANA EN EL DISEÑO DE JOYAS EN AMÉRICA LATINA: CONTEMPORÁNEA. 2.1 RECONOCER Y UTILIZAR HERRAMIENTAS BÁSICAS PARA LA ELABORACIÓN CON TÉCNICA DE FILIGRANA 2.2 RECONOCER Y APLICAR MEDIDAS DE SEGURIDAD SEGÚN LOS DISTINTOS PROCESOS EN TÉCNICA DE FILIGRANA. 3.1 DISEÑAR JOYAS CON TÉCNICA DE FILIGRANA 3.2 IDENTIFICAR MERCADO ACTUAL DE LA JOYERÍA EN FILIGRANA. 4.1 ELABORAR PIEZAS DE ORFEBRERÍA CON TÉCNICA DE FILIGRANA CON BASE EN COBRE 4.2 ELABORAR PIEZAS DE ORFEBRERÍA CON TÉCNICA DE FILIGRANA EN COBRE (TERMINACIONES). 5.1 CONOCER EL DECÁLOGO DEL BUEN TRABAJO. 5.2 EJERCITAR LA IMPORTANCIA DEL “BUEN TRABAJO” EN EL DESARROLLO DE SU ENTORNO LABORAL.
</t>
  </si>
  <si>
    <t>ECONOMÍA CIRCULAR</t>
  </si>
  <si>
    <t>ESTE CURSO TIENE UN APORTE IMPORTANTE EN LA MEJORA DE LOS ESPACIOS COMUNES DE LA COMUNIDAD, YA QUE PERMITE ENTREGAR CONOCIMIENTOS LIGADOS AL USO Y REUTILIZACIÓN DE DIVERSOS PRODUCTOS QUE ESTÁN DESECHADOS COMO BASURA, Y QUE PUEDEN SER OCUPADOS EN LA CREACIÓN DE NUEVOS PRODUCTOS O EN EL RECICLAJE DE LOS MISMO, DÁNDOLES UN SEGUNDO USO, BAJANDO LOS NIVELES DE BASURA..
ENTREGAR CONOCIMIENTOS LIGADOS A LA UTILIZACIÓN DE PRODUCTOS EN DESECHO, PROMOVIENDO EL RECICLAJE, ARTESANÍAS CON PRODUCTOS RECICLADOS U REUTILIZADOS.
CONOCER EL CONCEPTO DE ECONOMÍA CIRCULAR.
IDENTIFICAR LA ECONOMÍA CIRCULAR COMO UNA ESTRATEGIA DE APOYO AL CUIDADO DEL MEDIOAMBIENTE.
LEGISLACIÓN CHILENA EN CUANTO A ECONOMÍA CIRCULAR.
MODELO DE NEGOCIOS CIRCULARES; CADENA DE VALOR Y CARACTERÍSTICAS DEL SECTOR.</t>
  </si>
  <si>
    <t xml:space="preserve">ECONOMÍA CIRCULAR
</t>
  </si>
  <si>
    <t>HOMBRES Y MUJERES, ENTRE 18 Y 64 AÑOS DE EDAD, QUE RESIDAN EN LA COMUNA DE COLINA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</si>
  <si>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ESTE CURSO TIENE UN APORTE IMPORTANTE EN LA MEJORA DE LOS ESPACIOS COMUNES DE LA COMUNIDAD, YA QUE PERMITE ENTREGAR CONOCIMIENTOS LIGADOS AL USO Y REUTILIZACIÓN DE DIVERSOS PRODUCTOS QUE ESTÁN DESECHADOS COMO BASURA, Y QUE PUEDEN SER OCUPADOS EN LA CREACIÓN DE NUEVOS PRODUCTOS O EN EL RECICLAJE DE LOS MISMO, DÁNDOLES UN SEGUNDO USO, BAJANDO LOS NIVELES DE BASURA.
ENTREGAR CONOCIMIENTOS LIGADOS A LA UTILIZACIÓN DE PRODUCTOS EN DESECHO, PROMOVIENDO EL RECICLAJE, ARTESANÍAS CON PRODUCTOS RECICLADOS U REUTILIZADOS.
CONOCER EL CONCEPTO DE ECONOMÍA CIRCULAR.
IDENTIFICAR LA ECONOMÍA CIRCULAR COMO UNA ESTRATEGIA DE APOYO AL CUIDADO DEL MEDIOAMBIENTE.
LEGISLACIÓN CHILENA EN CUANTO A ECONOMÍA CIRCULAR.
MODELO DE NEGOCIOS CIRCULARES; CADENA DE VALOR Y CARACTERÍSTICAS DEL SECTOR.</t>
  </si>
  <si>
    <t>HOMBRES Y MUJERES, ENTRE 18 Y 64 AÑOS DE EDAD, QUE RESIDAN EN LA COMUNA DE LAMPA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</si>
  <si>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LO BARNECHEA</t>
  </si>
  <si>
    <t>HOMBRES Y MUJERES, ENTRE 18 Y 64 AÑOS DE EDAD, QUE RESIDAN EN LA COMUNA DE LO BARNECHEA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</si>
  <si>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GESTIÓN GASTRONÓMICA MARISCOS Y PRODUCTOS MARÍTIMOS 
</t>
  </si>
  <si>
    <t xml:space="preserve">CURSO QUE PERMITE LA ADQUISICIÓN Y APLICACIÓN DE CONOCIMIENTOS Y NORMATIVAS EN EL ÁREA ALIMENTACIÓN. LA CERTIFICACIÓN EN EL RUBRO GENERA OPORTUNIDADES PARA LA GENERACIÓN DE INGRESOS YA SEA A TRAVÉS DEL DESARROLLO DE INICIATIVAS DE EMPRENDIMIENTO.
CURSO PARA EL DESARROLLO O POTENCIAMIENTO DE LABORES INDEPENDIENTES, LIGADOS A LA MANIPULACIÓN FOCALIZADA EN ALIMENTOS CON INSUMOS PROPIOS DEL SECTOR.
•	INCORPORAR NORMATIVA Y PROCEDIMIENTOS DE HIGIENE EN LA MANIPULACIÓN DE ALIMENTOS
•	APLICAR TÉCNICAS DE HIGIENE EN SU PRESENTACIÓN PERSONAL, EN EL AMBIENTE, EN LOS UTENSILIOS, EN EL MANEJO DE RESIDUOS, EN LA MANIPULACIÓN DE ALIMENTOS, EN EL MANEJO DE RESIDUOS, ETC.
•	IDENTIFICAR PROPIEDADES DE PRODUCTOS LOCALES (MARISCOS) Y SU USO EN LA PREPARACIÓN DE ALIMENTOS
•	PREPARAR, DECORAR Y MONTAR PLATOS DULCES Y/O SALADOS CON PRODUCTOS PROPIOS DE LA COMUNIDAD.
•	APLICAR TÉCNICAS CULINARIAS SEGÚN LAS CARACTERÍSTICAS DE LOS PRODUCTOS.
</t>
  </si>
  <si>
    <t>HOMBRES Y MUJERES, ENTRE 18 Y 64 AÑOS DE EDAD, QUE RESIDAN EN LA COMUNA DE QUINTERO U ALEDAÑAS, REGIÓN DE VALPARAÍSO,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</si>
  <si>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 xml:space="preserve">LABORES DE INSTALACIONES SANITARIAS
</t>
  </si>
  <si>
    <t>1. TRASLADO SEGURO EN OBRAS DE CONSTRUCCIÓN
APLICAR MEDIDAS DE SEGURIDAD EN EL TRASLADO DE MATERIALES Y EQUIPOS.
UTILIZAR CORRECTAMENTE ELEMENTOS DE PROTECCIÓN PERSONAL (EPP).
CIRCULAR DE FORMA SEGURA EN OBRAS.
2. INSTALACIONES DE AGUA POTABLE, ALCANTARILLADO Y AGUAS LLUVIAS
INTERPRETAR PLANOS DE REDES SANITARIAS.
EJECUTAR INSTALACIONES CONFORME A NORMAS TÉCNICAS.
SELECCIONAR MATERIALES Y HERRAMIENTAS ADECUADAS.
3. TÉCNICAS DE REPARACIÓN DE FUGAS Y FILTRACIONES
DIAGNOSTICAR Y REPARAR FUGAS EN SISTEMAS SANITARIOS.
APLICAR TÉCNICAS DE REPARACIÓN SEGURAS Y EFICIENTES.
UTILIZAR HERRAMIENTAS Y MATERIALES APROPIADOS.
4. INSTALACIÓN DE ARTEFACTOS SANITARIOS Y GRIFERÍA
INSTALAR ARTEFACTOS SANITARIOS SIGUIENDO ESPECIFICACIONES.
AJUSTAR Y PROBAR GRIFERÍAS.
REALIZAR TERMINACIONES Y SELLADOS ADECUADOS</t>
  </si>
  <si>
    <t xml:space="preserve">HOMBRE Y MUJERES DE 18 AÑOS O MÁS PERTENECIENTES AL 80% DE LA POBLACIÓN MÁS VULNERABLE, SEGÚN REGISTRO SOCIAL DE HOGARES. EDUCACIÓN MEDIA COMPLETA, PREFERENTEMENTE O HABER REALIZADO EL CURSO DE “LABORES DE SOPORTE EN INSTALACIONES SANITARIAS” O EXPERIENCIA DE DOS AÑOS COMO “AYUDANTE INSTALACIONES SANITARIAS”, DEMOSTRABLE.
</t>
  </si>
  <si>
    <t xml:space="preserve"> FEDERACION DE TRABAJADORES CONTRATISTAS ANGLO AMERICAN 
</t>
  </si>
  <si>
    <t xml:space="preserve">1. TRASLADO SEGURO EN OBRAS DE CONSTRUCCIÓN
APLICAR MEDIDAS DE SEGURIDAD EN EL TRASLADO DE MATERIALES Y EQUIPOS.
UTILIZAR CORRECTAMENTE ELEMENTOS DE PROTECCIÓN PERSONAL (EPP).
CIRCULAR DE FORMA SEGURA EN OBRAS.
2. INSTALACIONES DE AGUA POTABLE, ALCANTARILLADO Y AGUAS LLUVIAS
INTERPRETAR PLANOS DE REDES SANITARIAS.
EJECUTAR INSTALACIONES CONFORME A NORMAS TÉCNICAS.
SELECCIONAR MATERIALES Y HERRAMIENTAS ADECUADAS.
3. TÉCNICAS DE REPARACIÓN DE FUGAS Y FILTRACIONES
DIAGNOSTICAR Y REPARAR FUGAS EN SISTEMAS SANITARIOS.
APLICAR TÉCNICAS DE REPARACIÓN SEGURAS Y EFICIENTES.
UTILIZAR HERRAMIENTAS Y MATERIALES APROPIADOS.
4. INSTALACIÓN DE ARTEFACTOS SANITARIOS Y GRIFERÍA
INSTALAR ARTEFACTOS SANITARIOS SIGUIENDO ESPECIFICACIONES.
AJUSTAR Y PROBAR GRIFERÍAS.
REALIZAR TERMINACIONES Y SELLADOS ADECUADOS.
</t>
  </si>
  <si>
    <t xml:space="preserve">PERSONAS DE 18 AÑOS O MÁS PERTENECIENTES AL 80% DE LA POBLACIÓN MÁS VULNERABLE, SEGÚN REGISTRO SOCIAL DE HOGARES. EDUCACIÓN MEDIA COMPLETA, PREFERENTEMENTE O HABER REALIZADO EL CURSO DE “LABORES DE SOPORTE EN INSTALACIONES SANITARIAS” O EXPERIENCIA DE DOS AÑOS COMO “AYUDANTE INSTALACIONES SANITARIAS”, DEMOSTRABLE.
</t>
  </si>
  <si>
    <t xml:space="preserve"> FEDERACION DE TRABAJADORES CONTRATISTAS  
</t>
  </si>
  <si>
    <t xml:space="preserve"> FEDERACION DE TRABAJADORES CONTRATISTAS ANGLO AMERICAN
</t>
  </si>
  <si>
    <t>1. TRASLADO SEGURO EN OBRAS DE CONSTRUCCIÓN
APLICAR MEDIDAS DE SEGURIDAD EN EL TRASLADO DE MATERIALES Y EQUIPOS.
UTILIZAR CORRECTAMENTE ELEMENTOS DE PROTECCIÓN PERSONAL (EPP).
CIRCULAR DE FORMA SEGURA EN OBRAS.
2. INSTALACIONES DE AGUA POTABLE, ALCANTARILLADO Y AGUAS LLUVIAS
INTERPRETAR PLANOS DE REDES SANITARIAS.
EJECUTAR INSTALACIONES CONFORME A NORMAS TÉCNICAS.
SELECCIONAR MATERIALES Y HERRAMIENTAS ADECUADAS.
3. TÉCNICAS DE REPARACIÓN DE FUGAS Y FILTRACIONES
DIAGNOSTICAR Y REPARAR FUGAS EN SISTEMAS SANITARIOS.
APLICAR TÉCNICAS DE REPARACIÓN SEGURAS Y EFICIENTES.
UTILIZAR HERRAMIENTAS Y MATERIALES APROPIADOS.
4. INSTALACIÓN DE ARTEFACTOS SANITARIOS Y GRIFERÍA
INSTALAR ARTEFACTOS SANITARIOS SIGUIENDO ESPECIFICACIONES.
AJUSTAR Y PROBAR GRIFERÍAS.
REALIZAR TERMINACIONES Y SELLADOS ADECUADO</t>
  </si>
  <si>
    <t xml:space="preserve">LAPIDACIÓN DE PIEDRAS SEMI PRECIOSAS
</t>
  </si>
  <si>
    <t xml:space="preserve">1.1 RECONOCER Y APLICAR MEDIDAS DE SEGURIDAD EN EL PUESTO DE TRABAJO. 1.2 RECONOCER Y UTILIZAR CORRECTAMENTE LAS MEDIDAS DE SEGURIDAD PERTINENTES PARA MAQUINARIA ELÉCTRICA Y MANUAL. 2.1 RECONOCER PIEDRAS SEMI PRECIOSAS EN CHILE 2.2 RECONOCER COMO APLICAR PIEDRAS SEMI PRECIOSAS EN JOYERÍA. 3.1 APLICAR TÉCNICAS DE LAPIDACIÓN 3.2 APLICAR TEXTURAS, COLOR, FORMAS, VETAS DE PIEDRAS SEMI PRECIOSAS EN LA ELABORACIÓN DE JOYAS. 4.1 DISEÑAR PIEZA DE JOYERÍA APLICANDO TÉCNICA DE LAPIDACIÓN. 4.2 ELABORAR PIEZAS DE ORFEBRERÍA CON PIEDRAS SEMIPRECIOSAS APLICANDO LAS DIFERENTES TÉCNICAS DE LAPIDACIÓN. APLICAR TÉCNICAS DE CONTROL DE CALIDAD A CADA UNO DE LOS PROCESOS DE LAPIDACIÓN. 5.1 IDENTIFICAR EL DECÁLOGO DEL BUEN TRABAJO. 5.2 EJERCITAR LA IMPORTANCIA DEL “BUEN TRABAJO” EN EL DESARROLLO DE SU ENTORNO LABORAL
</t>
  </si>
  <si>
    <t xml:space="preserve">MICROEMPRESARIOS/AS FORMALES E INFORMALES, DEL RUBRO ORFEBRERÍA. EN SU MAYORÍA MUJERES (90%), DE EDADES ENTRE 30 Y 60 AÑOS, QUE HAN PARTICIPADO EN CURSOS DE ORFEBRERÍA BÁSICA O DISEÑO DE JOYERÍA CON TÉCNICA DE ESMALTADO, DENTRO DE LOS ÚLTIMOS 4 AÑOS EN LA FUNDACIÓN. TRABAJAN EN EL RUBRO HACE AL MENOS DOS AÑOS Y SU VENTAS MENSUALES PROMEDIO SON $200.000. PERTENECEN A ORGANIZACIONES DE MICROEMPRESARIOS MANOS DE VIOLETA, CREAMOS Y ARTESANAS DEL VIENTO"
</t>
  </si>
  <si>
    <t xml:space="preserve">MANEJO DE CULTIVOS HIDROPONICOS 
</t>
  </si>
  <si>
    <t xml:space="preserve">1 PRINCIPALES CARACTERISTICAS DE LOS CULTIVOS HIDROPÓNICOS. 2 MANEJO DE INSTALACIONES Y ESTRUCTURAS EN CULTIVOS HIDROPÓNICOS, 3 MANEJAR CULTIVOS EN CONDICIONES DE HIDROPONÍA, APLICANDO NORMATIVA Y PROTOCOLOS DE CALIDAD, CUMPLIENDO NORMAS DE HIGIENE DE TRABAJO SEGURO Y BUENAS PRÁCTICAS AGRÍCOLAS (BPA). 4 GESTIÓN DEL NEGOCIO DE CULTIVOS HIDROPÓNICOS.
</t>
  </si>
  <si>
    <t>HOMBRES Y MUJERES DE 18 AÑOS O MÁS PERTENECIENTES AL 80% MÁS VULNERABLE SEGÚN REGISTRO SOCIAL DE HOGARES , DESOCUPADAS ,  EDUCACIÓN BÁSICA COMPLETA;</t>
  </si>
  <si>
    <t>MARKETING DIGITAL</t>
  </si>
  <si>
    <t xml:space="preserve">1.1 RECONOCER LAS PRINCIPALES PLATAFORMAS DE CONECTIVIDAD PARA CLASES ONLINE CON SUS DIFERENTES HERRAMIENTAS. 1.2 UTILIZAR Y GESTIONAR LAS PRINCIPALES APLICACIONES Y DE UN SMARTPHONE. 1.3 ELABORAR UN GMAIL CORPORATIVO, CON PRESENTACIÓN CORPORATIVA. 1.4CONFECCIONAR PIE DE PÁGINA CON INFORMACIÓN REFERENTE AL EMPRENDIMIENTO PARA EL CLIENTE.1.5 IDENTIFICAR LAS PRINCIPALES HERRAMIENTAS DE GOOGLE EN SMARTPHONE. 21 RECONOCER LAS CARACTERÍSTICAS Y PARÁMETROS GENERALES DE LAS TECNOLOGÍAS DE LA INFORMACIÓN UTILIZADAS ACTUALMENTE EN EL COMERCIO ELECTRÓNICO DE ACUERDO CON EL CONTEXTO DIGITAL ACTUAL. 2.2 IDENTIFICAR LAS FORTALEZAS, OPORTUNIDADES, DEBILIDADES Y AMENAZAS DEL EMPRENDIMIENTO.2.3 IDENTIFICAR Y CONFECCIONAR UN PERFIL DE CLIENTE AL CUAL DEBE LLEGAR EL EMPRENDIMIENTO CON SU SERVICIO O PRODUCTO.2.4 RECONOCER Y ELABORAR LA PROPUESTA DE VALOR SEGÚN IDENTIFICACIÓN DEL CLIENTE AL QUE APUNTA. 2.5CONFECCIONAR PLAN DE MARKETING PARA EL EMPRENDIMIENTO. 3.1 RECONOCER CARACTERÍSTICAS Y ELEMENTOS DE LA IMAGEN CORPORATIVA DE UN EMPRENDIMIENTO. 3.2 CREAR O PERFECCIONAR LOGO Y SLOGAN PARA IMAGEN CORPORATIVA DEL EMPRENDIMIENTO. 3.3 RECONOCER Y APLICAR LAS PRINCIPALES HERRAMIENTAS DE CANVA PARA GENERAR CONTENIDO. 3.4 APLICAR LAS HERRAMIENTAS DE CANVA PARA PUBLICACIONES RRSS. 3.5 RECONOCER FUNCIONALIDADES DE APLICACIONES Y APLICAR EN CONTENIDO GRAFICO PARA RRSS DEL EMPRENDIMIENTO. 4.1 IDENTIFICAR LAS PRINCIPALES CARACTERÍSTICAS DE LAS REDES SOCIALES PARA EL DESARROLLO DE CAMPAÑAS Y PROMOCIONES EN COMERCIO ELECTRÓNICO, DE ACUERDO CON NECESIDADES Y PROYECCIONES DEL NEGOCIO. 4.2 INCORPORAR LOS PRINCIPALES ELEMENTOS DE COMPOSICIÓN E ILUMINACIÓN DE UNA FOTOGRAFÍA PARA PROMOCIONAR PRODUCTOS O SERVICIOS. 4.3 IDENTIFICAR LAS HERRAMIENTAS DE INSTAGRAM, FACEBOOK Y WHATSAPP BUSINESS, PARA PROMOCIONAR PRODUCTOS Y SERVICIOS. 4.4 IMPLEMENTAR CONTENIDO REFERENTE AL NEGOCIO, EN FORMATOS PERMITIDO SEGÚN RED SOCIAL UTILIZADA PARA EL EMPRENDIMIENTO. 5.1 CONOCER E IDENTIFICAR EL DECÁLOGO DEL BUEN TRABAJO. 
</t>
  </si>
  <si>
    <t>PERSONAS MAYORES DE 18 AÑOS, CON ENSEÑANZA MEDIA COMPLETA. EMPRENDEDORES INFORMALES DE AL MENOS 6 MESES DE FUNCIONAMIENTO. QUE CUENTE CON DISPOSITIVO (COMPUTADOR, TABLET O SMARTPHONE) CON ACCESO A INTERNET Y QUE ESTÉN DENTRO DEL 80% MÁS VULNERABL</t>
  </si>
  <si>
    <t xml:space="preserve">PERSONAS MAYORES DE 18 AÑOS, CON ENSEÑANZA MEDIA COMPLETA. EMPRENDEDORES INFORMALES DE AL MENOS 6 MESES DE FUNCIONAMIENTO. QUE CUENTE CON DISPOSITIVO (COMPUTADOR, TABLET O SMARTPHONE) CON ACCESO A INTERNET Y QUE ESTÉN DENTRO DEL 80% MÁS VULNERABLE
</t>
  </si>
  <si>
    <t>OPERADOR DE MAQUINARIA MINERA</t>
  </si>
  <si>
    <t>"ENTREGAR CONOCIMIENTOS TEÓRICOS Y PRÁCTICOS QUE EL OPERADOR TRABAJE DE MANERA EFECTIVA EN OPERACIONES MINERAS. DESARROLLAR COMPETENCIAS QUE LE PERMITIRÁN COMPRENDER Y APLICAR LOS PROCESOS DE LA EXPLOTACIÓN MINERA EN EL CONTEXTO MINERO. LOS APRENDIZAJES ESPERADOS SON:
 • FUNDAMENTOS DE LA MINERÍA
 • MÉTODOS DE PERFORACIÓN DE MINERAL
 • MANEJO DE MAQUINARIA PESADA
 • LOGÍSTICA DE TRANSPORTE DENTRO DE LA MINA
 • GEOLOGÍA BÁSICA Y EVALUACIÓN DE YACIMIENTOS
 • SEGURIDAD MINERA Y PREVENCIÓN DE RIESGOS
 • PRIMEROS AUXILIOS Y MEDIDAS DE EMERGENCIA
 • CUMPLIMIENTO DE NORMATIVAS MEDIOAMBIENTALES EN MINERÍA
 • PLANIFICACIÓN Y DISEÑO DE OPERACIONES MINERAS"</t>
  </si>
  <si>
    <t>HOMBRES Y MUJERES DE 18 AÑOS O MÁS, QUE PERTENECEN AL 80% MÁS VULNERABLE SEGÚN EL REGISTRO SOCIAL DE HOGARES, RESIDAN EN LA COMUNA DE TOCOPILLA Y CUENTEN CON EDUCACIÓN MEDIA COMPLETA.</t>
  </si>
  <si>
    <t xml:space="preserve">69020100-3 </t>
  </si>
  <si>
    <t>OPERADOR PLANTA</t>
  </si>
  <si>
    <t>MARÍA ELENA</t>
  </si>
  <si>
    <t>"EL OBJETIVO DE ESTE CURSO ES PREPARAR A LOS ESTUDIANTES PARA OPERAR SISTEMAS DE PRODUCCIÓN Y EQUIPOS EN PLANTAS INDUSTRIALES. LOS EGRESADOS PODRÁN DESEMPEÑARSE EN DIVERSAS INDUSTRIAS, GARANTIZANDO QUE LOS PROCESOS PRODUCTIVOS SE REALICEN DE MANERA EFICIENTE, SEGURA Y CONFORME A LOS ESTÁNDARES DE CALIDAD Y NORMATIVAS DE SEGURIDAD. LOS APRENDIZAJES ESPERADOS SON:
 • INTRODUCCIÓN A LOS PROCESOS INDUSTRIALES
 • OPERACIÓN DE PLANTAS INDUSTRIALES
 • INSTRUMENTACIÓN Y CONTROL
 • SEGURIDAD INDUSTRIAL
 • MANTENIMIENTO PREVENTIVO Y CORRECTIVO
 • GESTIÓN DE CALIDAD
 • IMPACTO AMBIENTAL Y NORMATIVAS
 • OPTIMIZACIÓN DE PROCESOS."</t>
  </si>
  <si>
    <t>EMPRENDEDORES HOMBRES Y MUJERES DE 18 AÑOS O MÁS, QUE PERTENECEN AL 80% MÁS VULNERABLE SEGÚN EL REGISTRO SOCIAL DE HOGARES, RESIDAN EN LA COMUNA DE MARÍA ELENA Y ALREDEDORES, Y CUENTEN CON EDUCACIÓN MEDIA COMPLETA. EL CURSO TIENE UNA SALIDA INDEPENDIENTE, YA QUE, SE BUSCA FOMENTAR EL PENSAMIENTO EMPRENDEDOR, PARA EL DESARROLLO INNOVACIÓN, RESILIENCIA Y LA CAPACIDAD DE IDENTIFICAR OPORTUNIDADES DE MEJORA, CON LA FINALIDAD QUE SEAN MEJORES CANDIDATOS PARA PROCESOS DE TRANSFORMACIÓN DENTRO DE LAS ORGANIZACIONES.</t>
  </si>
  <si>
    <t>RUT 69253600-2 MUNICIPALIDAD DE MARÍA ELENA, PERSONAS DERIVADAS POR OMIL DE MARÍA ELENA, ESPECÍFICAMENTE QUE PERTENECEN AL 80% MAS VULNERABLES</t>
  </si>
  <si>
    <t xml:space="preserve">69253600-2 </t>
  </si>
  <si>
    <t xml:space="preserve">ORFEBRERÍA BÁSICA: SOLDADURA Y CALADO
</t>
  </si>
  <si>
    <t xml:space="preserve">1.1 CONOCER LOS NOMBRES DE LAS HERRAMIENTAS Y SU APLICACIÓN. 1.2 CONOCER Y APLICAR LAS MATERIAS PRIMAS CON LAS QUE SE TRABAJA, CONOCER SUS CARACTERÍSTICAS TÉCNICAS Y SU APLICACIÓN EN DIVERSOS TIPOS DE PIEZAS DE JOYERÍA. 1.3 UTILIZAR CORRECTAMENTE LAS HERRAMIENTAS DE ORFEBRERÍA Y OPERAR LOS ELEMENTOS DE SEGURIDAD.1.4 PRACTICAR EL USO DE HERRAMIENTAS PARA: MEDIR, CORTAR, ASERRAR, LIMAR, SUJETAR Y APRETAR, APLANAR, EMBUTIR, TEXTURAR. 1.5 USAR EL SOPLETE Y APLICAR FUNDENTES PARA DIFERENTES TIPOS DE SOLDADURAS. 2.1 CONOCER Y APLICAR NOCIONES BÁSICAS DEL DISEÑO EN ORFEBRERÍA. 2.2 APLICAR CONOCIMIENTOS DE ELEMENTOS TEÓRICOS EN LA CONFIGURACIÓN DEL VOLUMEN 2.3 RECONOCER LA IMPORTANCIA DE LA JOYERÍA COMO ACCESORIO COMPLEMENTARIO EN LA MODA. 2.4 CONOCER Y RECONOCER DISTINTOS TIPOS DE CORRIENTES DE DISEÑO: TRADICIONALES, CONTEMPORÁNEAS Y DE AUTOR 2.5 REALIZAR A TRAVÉS DEL DIBUJO DISEÑOS GEOMÉTRICOS Y VOLUMEN. 2.6 CONOCER EL MERCADO DE LAS JOYAS EN CHILE. 2.7 DEFINIR EL MERCADO AL CUAL IRÁN DIRIGIDAS LAS JOYAS QUE CONFECCIONA. 3.1 DISEÑAR Y CONFECCIONAR UN JUEGO DE ACCESORIO DE JOYERÍA: ANILLO, AROS, COLGANTE, PIOCHA, ENTRE OTROS. 3.2 APLICAR LAS TÉCNICAS DE SOLDADURA Y CALADO PARA LA CONFECCIÓN DE LOS PRODUCTOS. 3.3 EFECTUAR TERMINACIONES A LAS PIEZAS CONFECCIONADAS Y CONTROL DE CALIDAD. 4.1 IDENTIFICAR EL DECÁLOGO DEL BUEN TRABAJO.4.2 EJERCITAR LA IMPORTANCIA DEL “BUEN TRABAJO” EN EL DESARROLLO DE SU ENTORNO LABORAL.
</t>
  </si>
  <si>
    <t xml:space="preserve">EMPRENDEDORES/AS INFORMALES DERIVADOS DE INSTITUCIONES PÚBLICAS O ENTIDADES SIN FINES DE LUCRO, PERTENECIENTES AL 80% DE LA POBLACIÓN VULNERABLE, SEGÚN EL REGISTRO SOCIAL DE HOGARES. PERTENECIENTES A LOS PROYECTOS EJECUTADOS POR NUESTRA INSTITUCIÓN, DE CADENAS DE COBRE AÑO 2017- 2018, PIEDRAS RECONSTITUIDAS CON RESINAS 2017, DISEÑO CREATIVO PARA TU NEGOCIO AÑOS 2015, 2016, 2017 Y LAPIDACIÓN 2018, 2019 , 2020, 2021 Y 2022 "
</t>
  </si>
  <si>
    <t>PRODUCCIÓN TÉCNICA PARA ESPECTÁCULOS ESCÉNICOS</t>
  </si>
  <si>
    <t>01. LUNES - MAÑANA / 04. MARTES - MAÑANA / 07. MIÉRCOLES - MAÑANA / 11. JUEVES - TARDE / 14. VIERNES - TARDE / 17. SÁBADO - TARDE</t>
  </si>
  <si>
    <t>"APRENDIZAJE: PRODUCCIÓN TÉCNICA PARA ESPECTÁCULOS ESCÉNICOS, CON ÉNFASIS EN LA APLICACIÓN PRÁCTICA EN LA SALA TEAP.
 2. COMPETENCIAS A DESARROLLAR:
 COGNITIVAS:
 COMPRENDER EL LENGUAJE Y FUNDAMENTOS DE LA PRODUCCIÓN TÉCNICA EN UN TEATRO.
 IDENTIFICAR ROLES Y FUNCIONES DENTRO DE UNA PRODUCCIÓN TÉCNICA.
 CONOCER LAS CARACTERÍSTICAS TÉCNICAS Y REQUERIMIENTOS DE DIFERENTES ESPECTÁCULOS (BALLET, ÓPERA, CONCIERTOS, TEATRO, MUSICALES).
 APLICAR CONOCIMIENTOS EN PLANIFICACIÓN TÉCNICA Y OPTIMIZACIÓN DE RECURSOS.
 PROCEDIMENTALES:
 MANEJO DE SISTEMAS DE SONIDO, ILUMINACIÓN Y TRAMOYA.
 EJECUCIÓN DEL MONTAJE TÉCNICO DE ESPECTÁCULOS EN LA SALA TEAP.
 COORDINACIÓN DE ENSAYOS TÉCNICOS CON MÚSICOS Y BAILARINES.
 CONTROL DE INVENTARIOS Y RECURSOS TÉCNICOS.
 ELABORACIÓN DE UN MANUAL TÉCNICO DE PRODUCCIÓN BASADO EN LA EXPERIENCIA DEL CURSO.
 ACTITUDINALES:
 TRABAJO EN EQUIPO EN LA EJECUCIÓN DE ESPECTÁCULOS EN VIVO.
 ORGANIZACIÓN Y DISCIPLINA EN LA GESTIÓN TÉCNICA DEL BACKSTAGE.
 ADAPTABILIDAD PARA LA RESOLUCIÓN DE PROBLEMAS EN PRODUCCIÓN TÉCNICA.
 3. DESCRIPCIÓN DE LOS APRENDIZAJES ESPERADOS
 ETAPA 1: BASES CONCEPTUALES (JUNIO) – SONIDO E ILUMINACIÓN (30 HORAS)
 COMPRENDER EL LENGUAJE TÉCNICO DE SONIDO, ILUMINACIÓN Y TRAMOYA.
 IDENTIFICAR LOS ROLES Y FUNCIONES DENTRO DE UNA PRODUCCIÓN TÉCNICA.
 RECONOCER LAS CARACTERÍSTICAS Y MANEJO DEL EQUIPAMIENTO TÉCNICO DE LA SALA TEAP.
 APLICAR BASES DEL DISEÑO DE ILUMINACIÓN PARA DIFERENTES ESPECTÁCULOS.
 CONSTRUCCIÓN INICIAL DEL MANUAL TÉCNICO DE PRODUCCIÓN.
 ETAPA 2: TRABAJO EN SALA (OCTUBRE) – SONIDO Y MONTAJE (30 HORAS)
 ACTUALIZAR CONOCIMIENTOS SOBRE ROLES Y FUNCIONES EN PRODUCCIÓN TÉCNICA.
 OPERAR SISTEMAS DE SONIDO, ILUMINACIÓN Y TRAMOYA EN LA SALA TEAP.
 GESTIONAR EL MONTAJE DE ESCENOGRAFÍA Y PLANIFICACIÓN DE TRAMOYA.
 CONFIGURAR Y REALIZAR PRUEBAS DE SONIDO SINFÓNICO CON CLICK Y PISTA.
 CONSTRUCCIÓN Y ACTUALIZACIÓN DEL MANUAL TÉCNICO DE PRODUCCIÓN.
 ETAPA 3: TRABAJO EN SALA Y MONTAJE FINAL (NOVIEMBRE) – 40 HORAS
 GESTIONAR EL INVEN</t>
  </si>
  <si>
    <t>MAYORES DE 18 AÑOS CON INTERÉS EN PRODUCCIÓN TÉCNICA DE ESPECTÁCULOS TRABAJADORES EN TEATROS DE COMUNAS REGIONALES, GENTE CON CONOCIMEIENTO EN SONIDO, TRAMOYA O PRODUCCIÓN ESCÉNICA EN FORMACIÓN, GENTE CON CONOCIMIENTO DEL ÁREA CULTURAL INTERESADOS EN LA OPTIMIZACIÓN DE PROCESOS TÉCNICOS. ESTUDIANTES DE GESTIÓN CULTURAL O ARTES ESCÉNICAS, PERSONAS DESEMPLEADAS QUE BUSCAN ADQUIRIR NUEVAS COMPETENCIAS, TRABAJADORES DE LA CORPORACION DE ADELANTO.</t>
  </si>
  <si>
    <t>65027784 -8</t>
  </si>
  <si>
    <t>13. VIERNES - MAÑANA / 14. VIERNES - TARDE</t>
  </si>
  <si>
    <t>1.- CONOCER LOS PRINCIPIOS BÁSICOS DEL DISEÑO, PARA DESARROLLAR JOYAS EN COBRE. 
2- APLICAR TÉCNICAS BÁSICAS PARA LA ELABORACIÓN DE PIEZAS DE JOYERÍA EN COBRE, HACIENDO USO ADECUADO DE HERRAMIENTAS Y MATERIALES.
3.- DISEÑAR Y ELABORAR PIEZAS ORIGINALES DE JOYERÍA EN COBRE, CON APLICACIONES DE OTROS MATERIALES Y REALIZACIÓN DE ACABADO PARA PRESENTACIÓN FINAL.
4.- DESARROLLAR PROCESO DE PRODUCCIÓN APLICANDO LAS NORMAS DE SEGURIDAD Y PREVENCIÓN DE RIESGOS PERSONALES Y MEDIOAMBIENTALES.
5. NOCIONES DE LAPIDACIÓN DE PIEDRAS SEMI PRECIOSAS Y SUS APLICACIONES PRÁCTICAS.
6. NOCIONES DE DIFERENTES TÉCNICAS DE ENGASTADO.
7. ELABORACIÓN DE LIGAS TÉCNICAS Y ESTÉTICAS PARA JOYERÍA.
8. ELABORAR Y PREPARAR HERRAMIENTAS ESPECÍFICAS DE JOYERÍA.
9. CÁLCULO DE COSTOS.</t>
  </si>
  <si>
    <t xml:space="preserve">HOMBRES Y MUJERES,  DE 18 AÑOS A 65 AÑOS , CON ENSEÑANZA MEDIA COMPLETA, SIN EMPLEO,  TRABAJADORES POR CUENTA PROPIA Y/O EMPRENDEDORES CON CONOCIMIENTOS   DE ORFEBRERÍA. COMUNIDAD COLLA 
</t>
  </si>
  <si>
    <t xml:space="preserve">CORPORACION NACIONAL DEL COBRE DE CHILE - DIVISIÓN TENIENTE
</t>
  </si>
  <si>
    <t xml:space="preserve">61704000-k
</t>
  </si>
  <si>
    <t xml:space="preserve">CORPORACIÓN PRO O'HIGGINS
</t>
  </si>
  <si>
    <t xml:space="preserve">75570200-5
</t>
  </si>
  <si>
    <t>07. MIÉRCOLES - MAÑANA / 08. MIÉRCOLES - TARDE</t>
  </si>
  <si>
    <t>1. DISEÑAR, CONFECCIONAR Y VALORAR COMPOSICIONES INNOVADORAS DE ORFEBRERÍA, APLICANDO TÉCNICAS AVANZADAS DE FORJA. 
2. DISEÑAR, CONFECCIONAR Y VALORAR COMPOSICIONES INNOVADORAS DE ORFEBRERÍA, APLICANDO TÉCNICAS AVANZADAS DE REPUJADO. 
3. DISEÑAR, CONFECCIONAR Y VALORAR COMPOSICIONES INNOVADORAS DE ORFEBRERÍA, APLICANDO TÉCNICAS AVANZADAS DE ESMALTADO AL FUEGO. 
4. DISEÑAR, CONFECCIONAR Y VALORAR COMPOSICIONES INNOVADORAS DE ORFEBRERÍA, APLICANDO TÉCNICAS AVANZADAS DE GRABADO AL ÁCIDO. 
5. DISEÑAR, CONFECCIONAR Y VALORAR COMPOSICIONES INNOVADORAS DE ORFEBRERÍA, APLICANDO TÉCNICAS DE CINCELADO Y FABRICACIÓN DE HERRAMIENTAS. 
6. APLICACIÓN DE ALEACIONES DE METALES AL COBRE Y TERMINACIONES DE PIEZAS DE COBRE, APLICANDO LAS NORMAS DE SEGURIDAD Y PREVENCIÓN DE RIESGOS PERSONALES Y MEDIOAMBIENTALES.
7. CALCULO DE COSTO DE LOS PRODUCTOS.
8. ELABORAR HERRAMIENTAS ESPECÍFICAS DE ORFEBRERÍA.
9. ELABORACIÓN DE INSUMOS Y/O CONSUMIBLES Y PREPARACIÓN DE FÓRMULAS QUÍMICAS.</t>
  </si>
  <si>
    <t xml:space="preserve">HOMBRES Y MUJERES,  DE 18 AÑOS A 65 AÑOS , CON ENSEÑANZA MEDIA COMPLETA, SIN EMPLEO, TRABAJADORES POR CUENTA PROPIA Y/O EMPRENDEDORES CON CONOCIMIENTOS  BÁSICOS DE ORFEBRERÍA. COMUNIDAD COLLA
</t>
  </si>
  <si>
    <t>TÉCNICAS DE ORFEBRERIA BÁSICA</t>
  </si>
  <si>
    <t xml:space="preserve">"1. RECONOCER DISEÑOS DE PIEZAS ORNAMENTALES, UTILITARIAS Y JOYAS EN COBRE.  
2. DISEÑAR BOCETOS DE PIEZAS EN COBRE. 
3. ELABORAR PLANIMETRÍAS Y MAQUETAS UTILIZANDO LAS TÉCNICAS DEL DISEÑO 
4. ELABORAR PIEZAS DE COBRE UTILIZANDO LA TÉCNICA DEL TEXTURADO. 
5. ELABORAR PIEZAS DE COBRE UTILIZANDO LA TÉCNICA DEL REPUJADO. 
6. ELABORAR PIEZAS DE COBRE UTILIZANDO LA TÉCNICA DE LA FORJA. 
7. RECONOCER ESTÁNDARES PARA PRODUCTOS DE ORFEBRERÍA.
8. ELABORAR HERRAMIENTAS ESPECÍFICAS DE ORFEBRERÍA."
</t>
  </si>
  <si>
    <t>HOMBRES Y MUJERES ENTRE 18 Y 65 AÑOS, PROVENIENTES DE LA COMUNA DE MACHALÍ, LOCALIDAD  DE COYA,  ARTESANOS AUTODIDACTAS, EMPRENDEDORES SIN EMPLEO, CON ENSEÑANZA
MEDIA  COMPLETA PREFERENTEMENTE, Y CON MÍNIMO DE HABILIDADES ARTÍSTICAS Y MANUALES.</t>
  </si>
  <si>
    <t xml:space="preserve">TÉCNICAS DE TURISMO SUSTENTABLE Y CUIDADO DEL MEDIOAMBIENTE 
</t>
  </si>
  <si>
    <t>EL REALIZAR ESTA FORMACIÓN TIENE POR OBJETIVO APORTAR A MEJORAR LA CALIDAD DE VIDA DE LAS PERSONAS QUE CONFORMAN LA COMUNIDAD DE LA ZONA, APOYÁNDOLOS EN DESARROLLAR Y CONSOLIDAR COMPETENCIAS Y HABILIDADES A TRAVÉS DE LA ENTREGA DE HERRAMIENTAS RELACIONADAS CON EL TURISMO SUSTENTABLE Y CONSERVACIÓN DEL SECTOR,  A TRAVÉS DE SU PATRIMONIO CULTURAL Y NATURAL.
AL TERMINO DEL CURSO LOS PARTICIPANTES ESTARÁN EN CONDICIONES DE APLICAR TÉCNICAS PARA GESTIÓN DE NUEVAS OPORTUNIDADES DE DESARROLLO Y PROYECCIONES DE CRECIMIENTO QUE PUEDAN EVALUAR, UTILIZANDO EL TURISMO COMO APORTE FUNDAMENTAL PARA ESTO.
LOS PARTICIPANTES AL FINALIZAR EL CURSO HABRÁN APRENDIDO A IDENTIFICAR Y APLICAR LAS BASES Y HERRAMIENTAS DEL TURISMO SUSTENTABLE, PARA TRABAJAR RESPETANDO EL MEDIOAMBIENTE, FAUNA NATIVA Y BIODIVERSIDAD EN CONCORDANCIA CON LA CULTURA DEL SECTOR.</t>
  </si>
  <si>
    <t>HOMBRES Y MUJERES, ENTRE 18 Y 64 AÑOS DE EDAD, QUE RESIDAN EN LA COMUNA DE PANGUIPULLI U ALEDAÑAS, SECTOR HUILO HUILO, REGIÓN DE LOS RÍOS,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</si>
  <si>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FUCHS, GELLONA Y SILVA SPA
</t>
  </si>
  <si>
    <t xml:space="preserve">96.675.100-2
</t>
  </si>
  <si>
    <t xml:space="preserve">Fundación Huilo Huilo
</t>
  </si>
  <si>
    <t xml:space="preserve">65.459.510-0
</t>
  </si>
  <si>
    <t xml:space="preserve">TÉCNICAS DE TURISMO SUSTENTABLE Y CUIDADO DEL MEDIOAMBIENTE
</t>
  </si>
  <si>
    <t>HOMBRES Y MUJERES, ENTRE 18 Y 64 AÑOS DE EDAD, QUE RESIDAN EN LA COMUNA DE FUTRONO U ALEDAÑAS, SECTOR HUILO HUILO, REGIÓN DE LOS RÍOS,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</si>
  <si>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TECNICAS PARA EL  USO EFICIENTE DE  ENERGIAS </t>
  </si>
  <si>
    <t xml:space="preserve">1.-IDENTIFICAR TIPOS DE ENERGÍAS TRADICIONALES Y ALTERNATIVAS , SUS PROPIEDADES Y APLICACIÓN.  
2.-DISTINGUIR PRINCIPALES ELEMENTOS CONCEPTUALES RELACIONADOS CON ENERGÍAS RENOVABLES Y/O NO CONVENCIONALES,  HIDROELÉCTRICA, BIOMASA, EÓLICA, PETRÓLEO, FÓSILES, SOLAR, ENTRE OTRAS.	
3.- MEJORAMIENTO DEL ACONDICIONAMIENTO TÉRMICO DE LAS VIVIENDAS,  EFICIENCIA ENERGÉTICA Y LOS MÉTODOS DE  CONSERVACIÓN DE LA ENERGÍA. BALANCE TÉRMICO			
4.- IDENTIFICAR COMPONENTES, CARACTERÍSTICAS Y CLASIFICACIÓN DE  Y ENERGÍAS ALTERNATIVAS, EN ASPECTO DOMICILIARIO Y LAS NORMATIVAS ELÉCTRICAS			
5.- IDENTIFICAR PRINCIPIOS ELÉCTRICOS Y MECÁNICOS RELACIONADOS CON LA INSTALACIÓN Y FUNCIONAMIENTO  DE SISTEMAS ALTERNATIVOS DE ACUERDO A ELEMENTOS TÉCNICOS Y TEÓRICOS ELÉCTRICOS Y RELACIONADOS CON ENERGÍAS NO RENOVABLES, DE ASPECTOS DOMICILIARIOS.	
6.- REALIZAR EVALUACIÓN DE LAS CONDICIONES TÉCNICAS DE INSTALACIÓN DE SISTEMAS SOLARES O ALTERNATIVOS			
7.- IDENTIFICAR Y EFECTUAR TÉCNICAS DE REUTILIZACIÓN  DE  RESIDUOS ORGÁNICOS E INORGÁNICOS , DE SEGUNDO O TERCER USO, POR VARIADAS ACCIONES, SISTEMAS Y  TÉCNICAS RELACIONADAS. 			
</t>
  </si>
  <si>
    <t xml:space="preserve">HABITANTES DE LA COMUNA DE OLIVAR, SECTOR DE GULTRO Y LO CONTI , PROVENIENTES DE LA
SENTAMIENTOS DE LA RIVERA NORTE Y SUR DEL RIO CACHAPOAL, 
1.-PERSONAS ENTRE 22 Y 70AÑOS
2.-CESANTES, AFECTADOS LABORALMENTE POR EFECTOS TEMPORALES CLIMÁTICOS,  O INFORMALIDAD LABORAL.
3.- HOMBRES Y MUJERES
4.-EGRESADOS DE ENSEÑANZA BÁSICA, LECTO- ESCRITORES , HABILIDADES MATEMÁTICAS BÁSICAS
5.-FAMILIAS COMPUESTAS POR JEFAS DE HOGAR , MONO PARENTALES, ADULTOS MAYORES , PREFERENTEMENTE
EN TERRENOS CON CARACTERÍSTICAS DE SUELO AGRÍCOLA Y DE CONSTRUCCIÓN SIN REGULACIÓN.
6.- PERTENECIENTES A 5 JUNTAS DE VECINOS DEL SECTOR, DE AGRUPACIONES FUNCIONALES RECONOCIDAS
POR EL MUNICIPIO, COMITÉS DE AGUA POTABLE RURAL
7.-SECTOR PERIFÉRICO RURAL DE LA RIVERA DE RIO, DE LA RUTA DEL ACIDO. LIMITANTES CON OTRAS COMUNAS 
8.- OFICIOS DE MENOR CALIFICACIÓN, AUTO INSTRUCCIÓN
9.- CONOCIMIENTOS BÁSICOS CONSTRUCCIÓN O SIMILAR     </t>
  </si>
  <si>
    <t>MINERA VALLE CENTRAL</t>
  </si>
  <si>
    <t>96595400-7</t>
  </si>
  <si>
    <t>OMIL , DIDECO OLIVAR</t>
  </si>
  <si>
    <t>69081400-5</t>
  </si>
  <si>
    <t xml:space="preserve">TECNICAS PARA EL USO EFICIENTE DE ENERGIAS   </t>
  </si>
  <si>
    <t>REQUÍNOA</t>
  </si>
  <si>
    <t xml:space="preserve">1.-IDENTIFICAR TIPOS DE ENERGÍAS TRADICIONALES Y ALTERNATIVAS , SUS PROPIEDADES Y APLICACIÓN.  
2.-DISTINGUIR PRINCIPALES ELEMENTOS CONCEPTUALES RELACIONADOS CON ENERGÍAS RENOVABLES Y/O NO CONVENCIONALES,  HIDROELÉCTRICA, BIOMASA, EÓLICA, PETRÓLEO, FÓSILES, SOLAR, ENTRE OTRAS.	
3.- MEJORAMIENTO DEL ACONDICIONAMIENTO TÉRMICO DE LAS VIVIENDAS,  EFICIENCIA ENERGÉTICA Y LOS MÉTODOS DE  CONSERVACIÓN DE LA ENERGÍA. BALANCE TÉRMICO		
4.- IDENTIFICAR COMPONENTES, CARACTERÍSTICAS Y CLASIFICACIÓN DE  Y ENERGÍAS ALTERNATIVAS, EN ASPECTO DOMICILIARIO Y LAS NORMATIVAS ELÉCTRICAS			
5.- IDENTIFICAR PRINCIPIOS ELÉCTRICOS Y MECÁNICOS RELACIONADOS CON LA INSTALACIÓN Y FUNCIONAMIENTO  DE SISTEMAS ALTERNATIVOS DE ACUERDO A ELEMENTOS TÉCNICOS Y TEÓRICOS ELÉCTRICOS Y RELACIONADOS CON ENERGÍAS NO RENOVABLES, DE ASPECTOS DOMICILIARIOS.	
6.- REALIZAR EVALUACIÓN DE LAS CONDICIONES TÉCNICAS DE INSTALACIÓN DE SISTEMAS SOLARES O ALTERNATIVOS			
7.- IDENTIFICAR Y EFECTUAR TÉCNICAS DE REUTILIZACIÓN  DE  RESIDUOS ORGÁNICOS E INORGÁNICOS , DE SEGUNDO O TERCER USO, POR VARIADAS ACCIONES, SISTEMAS Y  TÉCNICAS RELACIONADAS. 			
</t>
  </si>
  <si>
    <t xml:space="preserve">HABITANTES DE LA COMUNA DE  REQUÍNOA ,  PROVENIENTES DE SECTORES RURALES Y PERIFÉRICOS , CON CARACTERÍSTICAS HABITACIONALES DESMEJORADAS
1.-PERSONAS ENTRE 22 Y 70AÑOS
2.-CESANTES, AFECTADOS POR TEMPORALES CLIMÁTICOS, DESEMPLEO, O INFORMALIDAD LABORAL.
3.- HOMBRES Y MUJERES
4.-EGRESADOS DE ENSEÑANZA BÁSICA, LECTO- ESCRITORES , HABILIDADES MATEMÁTICAS BÁSICAS
5.-FAMILIAS COMPUESTAS POR JEFAS DE HOGAR , MONO PARENTALES, ADULTOS MAYORES , PREFERENTEMENTE
EN TERRENOS CON CARACTERÍSTICAS DE SUELO AGRÍCOLA Y DE CONSTRUCCIÓN SIN REGULACIÓN.
6.- PERTENECIENTES A COMITÉS DE AGUA POTABLE RURAL , PRODESAL,  JUNTAS DE VECINOS DEL SECTOR, DE AGRUPACIONES FUNCIONALES RECONOCIDAS
POR EL MUNICIPIO, ARRIEROS.
7.-SECTOR PERIFÉRICO RURAL DE LA COMUNA DE REQUINOA  INSERTA ENTRE LA SUBCUENCA DEL RÍO CACHAPOAL POR EL NORTE, Y LA CUENCA DEL RÍO CLARO DE RENGO POR EL SUR.
8.-NIVEL DE FORMACIÓN DE CARÁCTER INFORMAL , DE AUTOENTRENAMIENTO EN ÁREAS DEL ÁMBITO AGRÍCOLA, PEQUEÑA GANADERÍA.
9.- OPERACIONES MATEMÁTICAS BÁSICAS, CON CONOCIMIENTOS BÁSICOS DE CONSTRUCCIÓN  </t>
  </si>
  <si>
    <t xml:space="preserve">DIDECO , OMIL MUNICIPALIDAD DE REQUINOIA </t>
  </si>
  <si>
    <t>69.081.300-9</t>
  </si>
  <si>
    <t xml:space="preserve">1. -ENTRE 20 Y 80 AÑOS
2.-CESANTES, POR  TEMPORAL CLIMÁTICO  DESEMPLEO, O INFORMALIDAD LABORAL
.3.- HOMBRES Y MUJERES
4.-EGRESADOS DE ENSEÑANZA BÁSICA, LECTO- ESCRITORES , HABILIDADES MATEMÁTICAS BÁSICAS
5.-FAMILIAS COMPUESTAS POR JEFAS DE HOGAR , MONO PARENTALES, ADULTOS MAYORES , PREFERENTEMENTE
EN TERRENOS CON CARACTERÍSTICAS DE SUELO AGRÍCOLA Y DE CONSTRUCCIÓN SIN REGULACIÓN.
6.- PERTENECIENTES A 2 JUNTAS DE VECINOS DEL SECTOR, DE PUENTE NEGRO DE AGRUPACIONES
FUNCIONALES RECONOCIDAS POR EL MUNICIPIO. CON APRS LOCALES CON PROBLEMAS DE ABASTECIMIENTO
HÍDRICO
7.-SECTOR PERIFÉRICO RURAL AFECTADOS POR TEMPORALES Y DESBORDES DEL 2023. HABITANTES DE LA
COMUNA DE SAN FERNANDO SECTOR DE SECTOR DE LAS PEÑAS Y EL LLANO ALTO PROVENIENTES DE SECTORES
CORDILLERANOS ,
8.- INFORMAL EN EL AMBIENTO AGRÍCOLA, ALGUNOS CON CURSOS EN EL ÁREA DE CONSTRUCCIÓN.
9.-CONOCIMIENTOS MÍNIMOS EN CONSTRUCCIÓN 
</t>
  </si>
  <si>
    <t>HIDROELECTRICA LA HIGUERA</t>
  </si>
  <si>
    <t>96990050-5</t>
  </si>
  <si>
    <t xml:space="preserve">Unión Comunal  de JJVV </t>
  </si>
  <si>
    <t>EL PROGRAMA ESTÁ DIRIGIDO A MUJERES EN VÍAS DE REALIZAR UN MICROEMPRENDIMIENTO. ENTRE 18 Y 60 AÑOS, QUE PERTENECEN AL 80% MÁS VULNERABLE DE LA POBLACIÓN, Y QUE RESIDEN EN LA COMUNA DE LO ESPEJO Y QUE TIENEN EDUCACION BASICA COMPLETA PREFERENTEMENTE.</t>
  </si>
  <si>
    <t>RUT 69255100-1 MUNICIPALIDAD DE LO ESPEJO. MUJERES DERIVADAS POR OMIL DE LO ESPEJO, ESPECÍFICAMENTE QUE PERTENECEN AL 80% MAS VULNERABLES</t>
  </si>
  <si>
    <t>69255100-1</t>
  </si>
  <si>
    <t>MUJERES MAYORES DE 18 AÑOS CON REGISTRO SOCIAL DE HOGARES MENOR A 80 %, SIN TRABAJO REMUNERADO, CON EDUCACIÓN BÁSICA COMPLETA PREFERENTEMENTE CON CONOCIMIENTOS DE LECTOESCRITURA BÁSICA Y CONOCIMIENTOS DE CÁLCULOS MATEMÁTICOS BÁSICOS, UNA VEZ TERMINADO ESTE ALUMNO/A SE PODRÁ DESEMPEÑAR EN PASTELERÍAS DE DISTINTO TAMAÑO Y DECORACIÓN DE TORTAS, PASTELES, DULCES Y PANES ESPECIALES, ADEMÁS DE HORNEAR PRODUCTOS DE PASTELERÍA Y CON EL MODULO TRANSVERSAL DE TÉCNICAS DE EMPRENDIMIENTO, LE PERMITIRÁ GENERAR UN EMPRENDIENDO EN EL RUBRO APRENDIDO AUMENTANDO EL INGRESO DEL GRUPO FAMILIAR.</t>
  </si>
  <si>
    <t xml:space="preserve">MUJERES MAYORES DE 18 AÑOS CON REGISTRO SOCIAL DE HOGARES MENOR A 80 %, SIN TRABAJO REMUNERADO, PERTENECIENTES AL PROGRAMA DE SEGURIDAD Y OPORTUNIDADES DEL MINISTERIO DE DESARROLLO SOCIAL Y FAMILIA, CON EDUCACIÓN BÁSICA COMPLETA PREFERENTEMENTE CON CONOCIMIENTOS DE LECTOESCRITURA BÁSICA Y CONOCIMIENTOS DE CÁLCULOS MATEMÁTICOS BÁSICOS, UNA VEZ TERMINADO ESTE ALUMNO/A SE PODRÁ DESEMPEÑAR EN PASTELERÍAS DE DISTINTO TAMAÑO Y DECORACIÓN DE TORTAS, PASTELES, DULCES Y PANES ESPECIALES, ADEMÁS DE HORNEAR PRODUCTOS DE PASTELERÍA Y CON EL MÓDULO TRANSVERSAL DE TÉCNICAS DE EMPRENDIMIENTO, LE PERMITIRÁ GENERAR UN EMPRENDIENDO EN EL RUBRO APRENDIDO AUMENTANDO EL INGRESO DEL GRUPO FAMILIAR.
</t>
  </si>
  <si>
    <t>MUJERES MAYORES DE 18 AÑOS CON REGISTRO SOCIAL DE HOGARES MENOR A 80 %, SIN TRABAJO REMUNERADO, PERTENECIENTES AL PROGRAMA DE SEGURIDAD Y OPORTUNIDADES DEL MINISTERIO DE DESARROLLO SOCIAL Y FAMILIA, CON EDUCACIÓN BÁSICA COMPLETA PREFERENTEMENTE CON CONOCIMIENTOS DE LECTOESCRITURA BÁSICA Y CONOCIMIENTOS DE CÁLCULOS MATEMÁTICOS BÁSICOS, UNA VEZ TERMINADO ESTE ALUMNO/A SE PODRÁ DESEMPEÑAR EN PASTELERÍAS DE DISTINTO TAMAÑO Y DECORACIÓN DE TORTAS, PASTELES, DULCES Y PANES ESPECIALES, ADEMÁS DE HORNEAR PRODUCTOS DE PASTELERÍA Y CON EL MÓDULO TRANSVERSAL DE TÉCNICAS DE EMPRENDIMIENTO, LE PERMITIRÁ GENERAR UN EMPRENDIENDO EN EL RUBRO APRENDIDO AUMENTANDO EL INGRESO DEL GRUPO FAMILIAR.</t>
  </si>
  <si>
    <t>HOMBRES Y MUJERES MAYORES DE 18 AÑOS DE LA COMUNA DE YUNGAY, CON REGISTRO SOCIAL DE HOGARES MENOR A 80 %, SIN TRABAJO REMUNERADO, PERTENECIENTES AL PROGRAMA DE SEGURIDAD Y OPORTUNIDADES DEL MINISTERIO DE DESARROLLO SOCIAL Y FAMILIA, CON EDUCACIÓN MEDIA COMPLETA CIENTÍFICO HUMANISTA O ALUMNOS/AS DE LICEOS DE EDUCACIÓN TÉCNICO PROFESIONAL EGRESADOS O  CURSANDO EL ÚLTIMO AÑO DE LA ESPECIALIDAD DE INSTALACIONES SANITARIAS ACREDITABLE, UNA VEZ TERMINADO EL CURSO, LOS OPERARIOS A ARTEFACTOS A GAS PODRÁN INSTALAR, MANTENER Y/O CONVERTIR ARTEFACTOS DE GAS Y REDES DE GAS EN INSTALACIONES INTERIORES DE BAJA PRESIÓN, CUYA POTENCIA TOTAL INSTALADA SEA IGUAL O SUPERIOR A 60 KW Y CON EL MÓDULO TRANSVERSAL DE TÉCNICAS DE EMPRENDIMIENTO Y LICENCIA EMITIDA SEC DE INSTALADOR DE GAS CLASE A-3, LE PERMITIRÁ GENERAR UN EMPRENDIENDO EN EL RUBRO APRENDIDO Y DESARROLLAR TRABAJOS PARTICULARES CUMPLIENDO LA NORMATIVA VIGENTE Y AUMENTANDO EL INGRESO DEL GRUPO FAMILIAR.</t>
  </si>
  <si>
    <t>NUEVA IMPERIAL</t>
  </si>
  <si>
    <t>EDUCACIÓN MEDIA COMPLETA CIENTÍFICO HUMANISTA O ALUMNOS DE LICEOS DE EDUCACIÓN TÉCNICO PROFESIONAL
EGRESADOS O CURSANDO ÚLTIMO AÑO DE LA ESPECIALIDAD DE ELECTRICIDAD, ACREDITABLE;</t>
  </si>
  <si>
    <t>LICENCIA SEC</t>
  </si>
  <si>
    <t>CUIDADO Y ASISTENCIA PARA PERSONAS CON DEPENDENCIA LEVE O MODERADA</t>
  </si>
  <si>
    <t>PF1500</t>
  </si>
  <si>
    <t>HOMBRES Y MUJERES MAYORES DE 18 AÑOS DE LA COMUNA DE CHILLÁN VIEJO, CON REGISTRO SOCIAL DE HOGARES MENOR A 80 %, SIN TRABAJO REMUNERADO, PERTENECIENTES AL PROGRAMA DE SEGURIDAD Y OPORTUNIDADES DEL MINISTERIO DE DESARROLLO SOCIAL Y FAMILIA, CON EDUCACIÓN MEDIA COMPLETA Y CERTIFICADO DE INHABILIDAD CORRESPONDIENTE, LOGRANDO DESARROLLAR HABILIDADES PARA OTORGAR APOYOS, CUIDADOS O ASISTENCIA A PERSONAS CON DEPENDENCIA LEVE A MODERADA, CONSIDERANDO EL DIAGNÓSTICO, LA FUNCIONALIDAD, LA AUTONOMÍA EN LA TOMA DE DECISIONES , LA ETAPA DEL DESARROLLO Y APLICANDO ENFOQUES CENTRADOS EN LAS PERSONAS, DE DERECHOS, INCLUSIVO, DE GÉNERO Y EN CONFORMIDAD CON LA NORMATIVA VIGENTE.</t>
  </si>
  <si>
    <t>QUILLON</t>
  </si>
  <si>
    <t xml:space="preserve">HOMBRES Y MUJERES MAYORES DE 18 AÑOS DE LA COMUNA DE QUILLÓN, CON REGISTRO SOCIAL DE HOGARES MENOR A 80 %, SIN TRABAJO REMUNERADO, PERTENECIENTES AL PROGRAMA DE SEGURIDAD Y OPORTUNIDADES DEL MINISTERIO DE DESARROLLO SOCIAL Y FAMILIA, CON EDUCACIÓN MEDIA COMPLETA Y CERTIFICADO DE INHABILIDAD CORRESPONDIENTE, LOGRANDO DESARROLLAR HABILIDADES PARA OTORGAR APOYOS, CUIDADOS O ASISTENCIA A PERSONAS CON DEPENDENCIA LEVE A MODERADA, CONSIDERANDO EL DIAGNÓSTICO, LA FUNCIONALIDAD, LA AUTONOMÍA EN LA TOMA DE DECISIONES , LA ETAPA DEL DESARROLLO Y APLICANDO ENFOQUES CENTRADOS EN LAS PERSONAS, DE DERECHOS, INCLUSIVO, DE GÉNERO Y EN CONFORMIDAD CON LA NORMATIVA VIGENTE.
</t>
  </si>
  <si>
    <t xml:space="preserve">HOMBRES Y MUJERES MAYORES DE 18 AÑOS DE LA COMUNA DE PINTO, CON REGISTRO SOCIAL DE HOGARES MENOR A 80 %, SIN TRABAJO REMUNERADO, PERTENECIENTES AL PROGRAMA DE SEGURIDAD Y OPORTUNIDADES DEL MINISTERIO DE DESARROLLO SOCIAL Y FAMILIA, CON EDUCACIÓN MEDIA COMPLETA Y CERTIFICADO DE INHABILIDAD CORRESPONDIENTE, LOGRANDO DESARROLLAR HABILIDADES PARA OTORGAR APOYOS, CUIDADOS O ASISTENCIA A PERSONAS CON DEPENDENCIA LEVE A MODERADA, CONSIDERANDO EL DIAGNÓSTICO, LA FUNCIONALIDAD, LA AUTONOMÍA EN LA TOMA DE DECISIONES , LA ETAPA DEL DESARROLLO Y APLICANDO ENFOQUES CENTRADOS EN LAS PERSONAS, DE DERECHOS, INCLUSIVO, DE GÉNERO Y EN CONFORMIDAD CON LA NORMATIVA VIGENTE.
</t>
  </si>
  <si>
    <t>SAN NICOLAS</t>
  </si>
  <si>
    <t>HOMBRES Y MUJERES MAYORES DE 18 AÑOS DE LA COMUNA DE SAN NICOLÁS, CON REGISTRO SOCIAL DE HOGARES MENOR A 80 %, SIN TRABAJO REMUNERADO, PERTENECIENTES AL PROGRAMA DE SEGURIDAD Y OPORTUNIDADES DEL MINISTERIO DE DESARROLLO SOCIAL Y FAMILIA, CON EDUCACIÓN MEDIA COMPLETA Y/O EXPERIENCIA LABORAL EN ÁREAS AFINES, COMO EL CUIDADO DE PERSONAS O ASISTENCIA EN SERVICIOS DE SALUD Y PRESENTAR CERTIFICADOS DE INHABILIDAD CORRESPONDIENTE, LOGRANDO PROPORCIONAR APOYOS Y ENFOQUES CENTRADOS EN LA PERSONA, DE DERECHOS , INCLUSIVOS Y DE GÉNERO CONFORME A LAS ORIENTACIONES DEL EQUIPO PROFESIONAL / TÉCNICO DE SALUD Y LA NORMATIVA VIGENTE</t>
  </si>
  <si>
    <t>HOMBRES Y MUJERES MAYORES DE 18 AÑOS DE LA COMUNA DE QUIRIHUE, CON REGISTRO SOCIAL DE HOGARES MENOR A 80 %, SIN TRABAJO REMUNERADO, PERTENECIENTES AL PROGRAMA DE SEGURIDAD Y OPORTUNIDADES DEL MINISTERIO DE DESARROLLO SOCIAL Y FAMILIA, CON EDUCACIÓN MEDIA COMPLETA PREFERENTEMENTE, LOS PARTICIPANTES AL TERMINAR EL CURSO PODRÁN MANEJAR PRODUCCIONES GASTRONÓMICAS CUMPLIENDO CON LAS NORMAS DE SEGURIDAD Y PREVENCIÓN DE RIESGOS ALIMENTARIOS.</t>
  </si>
  <si>
    <t>EMPRENDEDORES/AS INFORMALES/PERSONAS  PERTENECIENTES AL 80% MAS VULNERABLE</t>
  </si>
  <si>
    <t xml:space="preserve">HOMBRES Y MUJERES MAYORES DE 18 AÑOS DE LA COMUNA DE SAN CARLOS, CON REGISTRO SOCIAL DE HOGARES MENOR A 80 %, SIN TRABAJO REMUNERADO FORMAL, CON EMPRENDIMIENTOS INFORMALES, ESTA JUNTA DE VECINOS PABLO NERUDA SE ENCUENTRA TRABAJANDO EN CONJUNTO CON FOSIS ÑUBLE EN UN PROYECTO TERRITORIAL DE FORTALECIMIENTO DE LA COMUNIDAD, LOS PARTICIPANTES DEBERÁN CONTAR CON EDUCACIÓN BÁSICA COMPLETA PREFERENTEMENTE Y NIVEL DE MANEJO COMPUTACIONAL BÁSICO O NIVEL USUARIO PREFERENTEMENTE. ESTE CURSO ESTARÁ DIRIGIDO A PERSONAS QUE TENGAN UN EMPRENDIMIENTO EN MARCHA, EN CUALQUIER RUBRO Y EN CUALQUIER NIVEL DE DESARROLLO Y REQUIERAN ADQUIRIR HERRAMIENTAS Y CONOCIMIENTOS PARA AUMENTAR SUS VENTAS, FORMALIZAR SU NEGOCIO, DESARROLLAR ACTIVIDADES PARA AUMENTAR SUS VENTAS A TRAVÉS DE CONOCIMIENTO Y CONCEPTOS CLAVES DE ADMINISTRACIÓN Y GESTIÓN DE NEGOCIO SOSTENIBLES.
</t>
  </si>
  <si>
    <t>HOMBRES Y MUJERES MAYORES DE 18 AÑOS DE LA COMUNA DE SAN CARLOS, CON REGISTRO SOCIAL DE HOGARES MENOR A 80 %, SIN TRABAJO REMUNERADO FORMAL, CON EMPRENDIMIENTOS INFORMALES, Y SER FAMILIAS DEL PROGRAMA SEGURIDAD Y OPORTUNIDADES DEL MINISTERIO DE DESARROLLO SOCIAL Y FAMILIA, LOS PARTICIPANTES DEBERÁN CONTAR CON EDUCACIÓN BÁSICA COMPLETA PREFERENTEMENTE Y NIVEL DE MANEJO COMPUTACIONAL BÁSICO O NIVEL USUARIO PREFERENTEMENTE. ESTE CURSO ESTARÁ DIRIGIDO A PERSONAS QUE TENGAN UN EMPRENDIMIENTO EN MARCHA, EN CUALQUIER RUBRO Y EN CUALQUIER NIVEL DE DESARROLLO Y REQUIERAN ADQUIRIR HERRAMIENTAS Y CONOCIMIENTOS PARA AUMENTAR SUS VENTAS, FORMALIZAR SU NEGOCIO, DESARROLLAR ACTIVIDADES PARA AUMENTAR SUS VENTAS A TRAVÉS DE CONOCIMIENTO Y CONCEPTOS CLAVES DE ADMINISTRACIÓN Y GESTIÓN DE NEGOCIO SOSTENIBLES.</t>
  </si>
  <si>
    <t>BULNES</t>
  </si>
  <si>
    <t>HOMBRES Y MUJERES MAYORES DE 18 AÑOS DE LA COMUNA DE BULNES, CON REGISTRO SOCIAL DE HOGARES MENOR A 80 %, SIN TRABAJO REMUNERADO FORMAL Y SER FAMILIAS DEL PROGRAMA SEGURIDAD Y OPORTUNIDADES DEL MINISTERIO DE DESARROLLO SOCIAL Y FAMILIA, LOS PARTICIPANTES DEBERÁN CONTAR CON EDUCACIÓN MEDIA PREFERENTEMENTE. CON ESTE CURSO EL O LA MANIPULADORA DE ALIMENTO SE DESEMPEÑARÁ EN LABORES DE SOPORTE DE PREPARACIÓN, REELABORACIÓN Y PRESENTACIÓN DE ELABORACIONES CULINARIAS SENCILLAS, SU CAMPO OCUPACIONAL ES EN EMPRESAS GASTRONÓMICAS DE DIVERSO TAMAÑO, COMO TAMBIÉN EN HOTELES, CASINOS INSTITUCIONALES Y EMPRESAS DE PRODUCCIÓN INDUSTRIAL DE ALIMENTOS.</t>
  </si>
  <si>
    <t>HOMBRES Y MUJERES MAYORES DE 18 AÑOS DE LA COMUNA DE QUIRIHUE, CON REGISTRO SOCIAL DE HOGARES MENOR A 80 %, SIN TRABAJO REMUNERADO FORMAL Y SER FAMILIAS DEL PROGRAMA SEGURIDAD Y OPORTUNIDADES DEL MINISTERIO DE DESARROLLO SOCIAL Y FAMILIA, LOS PARTICIPANTES DEBERÁN CONTAR CON EDUCACIÓN MEDIA PREFERENTEMENTE. CON ESTE CURSO EL O LA MANIPULADORA DE ALIMENTO SE DESEMPEÑARÁ EN LABORES DE SOPORTE DE PREPARACIÓN, REELABORACIÓN Y PRESENTACIÓN DE ELABORACIONES CULINARIAS SENCILLAS, SU CAMPO OCUPACIONAL ES EN EMPRESAS GASTRONÓMICAS DE DIVERSO TAMAÑO, COMO TAMBIÉN EN HOTELES, CASINOS INSTITUCIONALES Y EMPRESAS DE PRODUCCIÓN INDUSTRIAL DE ALIMENTOS.</t>
  </si>
  <si>
    <t xml:space="preserve">MUJERES MAYORES DE 18 AÑOS DE LA COMUNA DE SAN NICOLAS, CON REGISTRO SOCIAL DE HOGARES MENOR A 80 %, SIN TRABAJO REMUNERADO FORMAL, LAS PARTICIPANTES DEBERÁN CONTAR CON EDUCACIÓN BÁSICA COMPLETA PREFERENTEMENTE, CON ESTE CURSO LAS ALUMNAS PODRÁN ELABORAR JABONES, BURBUJAS Y SALES DE BAÑO, PROMOVIENDO LOS PRINCIPIOS DE AROMOTERAPIA Y CROMOTERAPIA A TRAVÉS DE LA COSMÉTICA NATURAL Y EL CUIDADO AMBIENTAL.
 </t>
  </si>
  <si>
    <t>HOMBRES Y MUJERES MAYORES DE 18 AÑOS DE LA COMUNA DE SAN NICOLÁS, CON REGISTRO SOCIAL DE HOGARES MENOR A 80 %, SIN TRABAJO REMUNERADO FORMAL, LAS PARTICIPANTES DEBERÁN CONTAR CON EDUCACIÓN MEDIA COMPLETA PREFERENTEMENTE, CON ESTE CURSO LAS ALUMNAS PODRÁN MANEJAR PRODUCCIONES GASTRONÓMICAS NACIONALES CUMPLIENDO LAS NORMAS DE SEGURIDAD Y PREVENCIÓN DE RIESGOS ALIMENTARIOS.</t>
  </si>
  <si>
    <t>ERCILLA</t>
  </si>
  <si>
    <t xml:space="preserve">DAMAS O VARONES DE 20 A 55 AÑOS,  CON ENSEÑANZ MEDIA COMPLETA, CESANTES,  REGISTRO SOCIAL DE HOGARES  HASTA EL 80% DE VULNERABILIDAD RESIDENTES DE TALCAHUANO 
</t>
  </si>
  <si>
    <t>PERSONAS CON MENOS DE UN AÑO DE EGRESO DE CUARTO AÑO DE ENSEÑANZA MEDIA CIENTÍFICA HUMANISTA O DE LICEOS TÉCNICOS PROFESIONALES</t>
  </si>
  <si>
    <t xml:space="preserve">EGRESADOS CON MENOS DE 1 AÑO DE LICEOS TÉCNICOS Y/O CIENTÍFICO HUMANISTA DE LA COMUNA DE MARCHIGUE O ALREDEDORES.  </t>
  </si>
  <si>
    <t>PERSONAS DERIVADAS POR GENDARMERÍAOficio Gendarmería CRC.pdf</t>
  </si>
  <si>
    <t xml:space="preserve">POBLACIÓN DERIVADA POR GENDARMERÍA DE CHILE, QUE CUMPLE LIBERTAD VIGILADA INTENSIVA EN LA COMUNA DE RANCAGUA Y ALREDEDORES.
QUE CUENTEN CON EDUCACIÓN BÁSICA COMPLETA, PREFERENTEMENTE; NOCIONES BÁSICAS DE OPERACIONES MATEMÁTICAS DE OPERACIONES MATEMÁTICAS (SUMA, RESTA,
MULTIPLICACIÓN, DIVISIÓN).
EL CURSO DEBERÁ SER EJECUTADO EN COORDINACIÓN CON GENDARMERÍA. </t>
  </si>
  <si>
    <t>INSTALACIÓN DE REDES Y ARTEFACTOS DE GAS</t>
  </si>
  <si>
    <t>PF1255</t>
  </si>
  <si>
    <t>PERSONAS DE 18 AÑOS O MÁS, PERTENECIENTES AL 80% DEL RSH, DERIVADAS POR LA MUNICIPALIDAD DE NAVIDAD A TRAVÉS DE LA OMIL. EDUCACIÓN MEDIA COMPLETA PREFERENTEMENTE. EXPERIENCIA SECTOR DE INSTALACIÓN DE REDES Y APARATOS DE GAS  EN LOS 2 ÚLTIMOS AÑOS, DEMOSTRABLE. CURSO CONDUCENTE A LA OBTENCIÓN DE LA LICENCIA DE INSTALADOR DE GAS CLASE 3.</t>
  </si>
  <si>
    <t>COINCO</t>
  </si>
  <si>
    <t>SOCIOS, ADMINISTRADORES O TRABAJADORES DE COOPERATIVAS U OTROS DE LA ECONOMÍA SOCIAL HASTA 5.000 UF ANUALES</t>
  </si>
  <si>
    <t>CURSO DIRIGIDO A SOCIOS Y TRABAJADORES DE LOS COMITÉS DE AGUA POTABLE RURAL DE LA COMUNA DE COINCO, SECTOR GULTRO Y COMITÉS DE LOCALIDADES CERCANAS.</t>
  </si>
  <si>
    <t>PERSONAS DE 18 AÑOS O MÁS PERTENECIENTES AL 80% DE LA POBLACIÓN MÁS VULNERABLE, SEGÚN REGISTRO SOCIAL DE HOGARES, CON ENSEÑANZA MEDIA COMPLETA, PERTENECIENTE A LA COMUNA DE LAS CABRAS Y ALREDEDORES.</t>
  </si>
  <si>
    <t>SAN VICENTE</t>
  </si>
  <si>
    <t>PERSONAS DE 18 AÑOS O MÁS PERTENECIENTES AL 80% DE LA POBLACIÓN MÁS VULNERABLE, SEGÚN REGISTRO SOCIAL DE HOGARES, CON ENSEÑANZA MEDIA COMPLETA, PERTENECIENTE A LA COMUNA DE SAN VICENTE Y ALREDEDORES.</t>
  </si>
  <si>
    <t>CONTABILIDAD Y FINANZAS PARA UNA MYPE</t>
  </si>
  <si>
    <t>PF1440</t>
  </si>
  <si>
    <t>LOLOL</t>
  </si>
  <si>
    <t>PERSONAS DE 18 AÑOS O MÁS PERTENECIENTES AL 80% DE LA POBLACIÓN MÁS VULNERABLE, SEGÚN REGISTRO SOCIAL DE
HOGARES, QUE CUENTEN CON EDUCACIÓN MEDIA COMPLETA, PREFERENTEMENTE. LOS POSTULANTES PODRÁN SER DE LA COMUNA DE LOLOL O COMUNAS VECINAS DE LA REGIÓN.</t>
  </si>
  <si>
    <t>PERSONAS DE 18 AÑOS O MÁS PERTENECIENTES AL 80% DE LA POBLACIÓN MÁS VULNERABLE, SEGÚN REGISTRO SOCIAL DE HOGARES, QUE CUMPLAN CON LOS REQUISITOS INDICADOS EN EL ARTÍCULO CUARTO DEL DECRETO 32 DEL 31 DE ENERO 2024; SER MAYOR DE EDAD, SIN ANTECEDENTES PENALES, HABER CURSADO LA EDUCACIÓN MEDIA O SU EQUIVALENTE Y LOS DEMÁS REQUISITOS QUE SE EXIJAN EN AQUELLA NORMA. LOS PARTICIPANTES PODRÁN PROVENIR DE CUALQUIER COMUNA DE LA REGIÓN MIENTRAS CUMPLAN LOS REQUISITOS Y EXIGENCIAS DEL PLAN FORMATIVO.</t>
  </si>
  <si>
    <t>01. LUNES - MAÑANA / 04. MARTES - MAÑANA / 10. JUEVES - MAÑANA / 13. VIERNES - MAÑANA</t>
  </si>
  <si>
    <t>LA ESTRELLA</t>
  </si>
  <si>
    <t>ASISTENCIA Y ENTREGA DE SERVICIOS DE CALIDAD EN TRANSPORTE EN TAXIS, COLECTIVOS Y TRANSPORTE DE PASAJEROS</t>
  </si>
  <si>
    <t xml:space="preserve">SE PROPONE UNA ESTRUCTURA COMO LA PLANTEADA, CONSIDERANDO LAS COMPETENCIAS DEL PLAN Y LAS HORAS.
MÓDULO: ASISTENCIA Y ENTREGA DE SERVICIOS DE CALIDAD EN TRANSPORTE EN TAXIS, COLECTIVOS Y TRANSPORTE DE PASAJEROS:
COMPETENCIAS PLAN: ASEGURAR LA ENTREGA DE UN SERVICIO DE CALIDAD A LOS USUARIOS DE LA LOCOMOCIÓN COLECTIVA DE ACUERDO A LA NORMATIVA  TÉCNICA Y LEGAL VIGENTE.
HORAS 20
MÓDULO: MANEJO DE EMOCIONES Y HABILIDADES COMUNICACIONES PARA TRASPORTISTAS DE TAXIS, COLECTIVOS Y TRANSPORTE DE PASAJEROS	
COMPETENCIAS PLAN: RECONOCER LOS ELEMENTOS QUE PROPICIAN UNA COMUNICACIÓN EFECTIVA Y CONTRIBUYEN AL DESARROLLO LABORAL, AL MEJORAMIENTO DEL DESEMPEÑO Y AL DESARROLLO DE RELACIONES ARMÓNICAS EN EL LUGAR DE TRABAJO EN EL CONTEXTO DEL TRASLADO DE PASAJES EN TAXIS, COLECTIVOS Y TRANSPORTE PÚBLICO
HORAS:	15
MÓDULO: TÉCNICAS PARA LA RESOLUCIÓN DE PROBLEMAS EN TIEMPOS DE CRISIS
COMPETENCIAS PLAN: RESOLVER PROBLEMAS EN DIFERENTES CONTEXTOS CULTURALES, SOCIALES Y ECONOMICOS, CON EL OBJETIVO DE MANTENER UN CORRECTO DESARROLLO Y ESTAR PREPARADO PARA ENFRENTAR LAS SITUACIONES DE CONFLICTO EN LAS LABORES DIARIAS DEL TRANSPORTE DE PASAJEROS.	
HORAS: 10
</t>
  </si>
  <si>
    <t>PERSONAS MAYORES DE 18 AÑOS QUE PERTENEZCAN A LA AGRUPACIÓN DE COLECTIVOS "AGRUPACOL" DE LA COMUNA DE RANCAGUA.
EL PLAN FORMATIVO DEBE CONSIDERAR LAS CARACTERÍSTICAS DE ESTA POBLACIÓN OBJETIVO.</t>
  </si>
  <si>
    <t>SERVICIO MULTICANAL DE CALLCENTER</t>
  </si>
  <si>
    <t>PF1171</t>
  </si>
  <si>
    <t>REQUISITOS PARA POSTULAR:
►PERTENECER AL 80% MÁS VULNERABLE DE LA POBLACIÓN SEGÚN REGISTRO SOCIAL DE HOGARES (RSH).
►TENER 18 AÑOS O MÁS.
►CEDULA DE IDENTIDAD VIGENTE.
►EDUCACIÓN MEDIA COMPLETA.</t>
  </si>
  <si>
    <t>OPERACIONES DE MANTENIMIENTO DE INFRAESTRUCTURA AÉREA EN REDES DE DISTRIBUCIÓN ELÉCTRICA</t>
  </si>
  <si>
    <t>PF1219</t>
  </si>
  <si>
    <t>REQUISITOS PARA POSTULAR:
►PERTENECER AL 80% MÁS VULNERABLE DE LA POBLACIÓN SEGÚN REGISTRO SOCIAL DE HOGARES (RSH).
►TENER 18 AÑOS O MÁS.
►CEDULA DE IDENTIDAD VIGENTE.
►EDUCACIÓN BÁSICA PREFERENTEMENTE</t>
  </si>
  <si>
    <t>SUPERVISIÓN DE OPERACIONES LOGÍSTICAS</t>
  </si>
  <si>
    <t>PF0883</t>
  </si>
  <si>
    <t xml:space="preserve">REQUISITOS PARA POSTULAR:
►PERTENECER AL 80% MÁS VULNERABLE DE LA POBLACIÓN SEGÚN REGISTRO SOCIAL DE HOGARES (RSH).
►TENER 18 AÑOS O MÁS.
►CEDULA DE IDENTIDAD VIGENTE.
►EDUCACIÓN MEDIA COMPLETA PREFERENTEMENTE
►MANEJO DE PC DE CALCULO , NIVEL USUARIO
</t>
  </si>
  <si>
    <t>REQUISITOS PARA POSTULAR:
►PERTENECER AL 80% MÁS VULNERABLE DE LA POBLACIÓN SEGÚN REGISTRO SOCIAL DE HOGARES (RSH).
►TENER 18 AÑOS O MÁS.
►CEDULA DE IDENTIDAD VIGENTE.
►EDUCACIÓN MEDIA PREFERENTEMENTE</t>
  </si>
  <si>
    <t>PERTENECER AL 80% MÁS VULNERABLE DE LA POBLACIÓN SEGÚN REGISTRO SOCIAL DE HOGARES (RSH).
►TENER 18 AÑOS O MÁS.
►CEDULA DE IDENTIDAD VIGENTE.
►EDUCACIÓN MEDIA COMPLETA.
Y PRESENTAR EL CERTIFICADO DE INHABILIDAD CORRESPONDIENTE.</t>
  </si>
  <si>
    <t>INSTALACIÓN DE EQUIPOS ELÉCTRICOS</t>
  </si>
  <si>
    <t>PF1571</t>
  </si>
  <si>
    <t xml:space="preserve">
SER MAYOR DE EDAD
CONTAR CON RSH DE HASTA EL 80% VULNERABILIDAD
TENER CEDULA IDENTIDAD VIGENTE
CONTAR CON EDUCACIÓN MEDIA COMPLETA, PREFERENTEMENTE</t>
  </si>
  <si>
    <t>DIAS FL REDONDEADO</t>
  </si>
  <si>
    <t>CUPO y DIAS</t>
  </si>
  <si>
    <t>CURSO ESPECIAL CON SIMULADOR DE INMERSIÓN TOTAL CONDUCENTE A LICENCIA DE CONDUCTOR PROFESIONAL CLASE A-5</t>
  </si>
  <si>
    <t>PF0621</t>
  </si>
  <si>
    <t>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t>
  </si>
  <si>
    <t>Licencia de Conductor Profesional Clase A-5</t>
  </si>
  <si>
    <t xml:space="preserve">Personas derivadas por Gendarmeria </t>
  </si>
  <si>
    <t xml:space="preserve">TECNICAS PARA LA RESOLUCION DE PROBLEMAS </t>
  </si>
  <si>
    <t xml:space="preserve">Comunicación interna y externa para la reestructuración organizacional </t>
  </si>
  <si>
    <t>Cognitivos:
Comprender la importancia de la comunicación en procesos de reestructuración organizacional.
Analizar los principales desafíos en la comunicación interna y externa dentro de una institución.
Conocer herramientas y estrategias para la construcción de canales de comunicación eficientes.
Procedimentales:
Aplicar metodologías para mejorar la comunicación interna y externa.
Diseñar y ejecutar planes de comunicación alineados con la educación, sostenibilidad y desarrollo de público.
Elaborar un manual de comunicación organizacional con lineamientos y procesos definidos.
Gestionar canales digitales y herramientas de automatización de comunicación.
Actitudinales:
Fomentar una cultura organizacional basada en la transparencia y la colaboración.
Adaptabilidad para responder a crisis comunicacionales.
Desarrollar liderazgo en equipos de comunicación.</t>
  </si>
  <si>
    <t>Cognitivos:</t>
  </si>
  <si>
    <t>Comprender la importancia de la comunicación en procesos de reestructuración organizacional.</t>
  </si>
  <si>
    <t>Analizar los principales desafíos en la comunicación interna y externa dentro de una institución.</t>
  </si>
  <si>
    <t>Conocer herramientas y estrategias para la construcción de canales de comunicación eficientes.</t>
  </si>
  <si>
    <t>Procedimentales:</t>
  </si>
  <si>
    <t>Aplicar metodologías para mejorar la comunicación interna y externa.</t>
  </si>
  <si>
    <t>Diseñar y ejecutar planes de comunicación alineados con la educación, sostenibilidad y desarrollo de público.</t>
  </si>
  <si>
    <t>Elaborar un manual de comunicación organizacional con lineamientos y procesos definidos.</t>
  </si>
  <si>
    <t>Gestionar canales digitales y herramientas de automatización de comunicación.</t>
  </si>
  <si>
    <t>Actitudinales:</t>
  </si>
  <si>
    <t>Fomentar una cultura organizacional basada en la transparencia y la colaboración.</t>
  </si>
  <si>
    <t>Adaptabilidad para responder a crisis comunicacionales.</t>
  </si>
  <si>
    <t>Desarrollar liderazgo en equipos de comunicación.</t>
  </si>
  <si>
    <t>Personas mayores de 18 años, que se encuentren dentro de 80% de la población vulnerable de acuerdo al Registro Social de Hogares, con educación media preferentemente que residan en la comuna de Cabrero y sus alrededores</t>
  </si>
  <si>
    <t xml:space="preserve">LICENCIA DE CONDUCIR CLASE D </t>
  </si>
  <si>
    <t>CERTIFICADO DE APROBACIÓN Y TARJETA DE IDENTIFICACIÓN. CREDENCIAL DE GUARDIA PRIVADO DE SEGURIDAD OS-10 OTORGADA POR LA PREFECTURA DE SEGURIDAD PRIVADA DE CARABINEROS DE CHILE.</t>
  </si>
  <si>
    <t>Módulo 1: Fundamentos del Modelo PMTO
Aprendizajes esperados:
Identificar los principios clave de la metodología PMTO.
Reconocer el impacto de la motivación cooperativa en el desarrollo de dinámicas grupales.
Comprender el rol del modelo PMTO en la modificación de comportamientos.
Módulo 2: Comunicación Efectiva y Colaborativa
Aprendizajes esperados:
Implementar técnicas de comunicación para fomentar respeto, empatía y escucha activa.
Promover interacciones positivas entre los integrantes de un equipo.
Facilitar el entendimiento mutuo para mejorar la cooperación grupal.
Distinguir estrategias de regulación emocional y comunicación efectiva de acuerdo con la metodología PMTO.
Módulo 3: Refuerzos Positivos
Aprendizajes esperados:
Diseñar y aplicar estrategias basadas en refuerzos positivos según el modelo PMTO.
Analizar cómo los refuerzos contribuyen al fortalecimiento de hábitos productivos.
Evaluar la efectividad de los refuerzos positivos en contextos cooperativos.
Reconocer herramientas de cooperación y seguimiento de conductas prosociales de acuerdo con estrategias de instrucciones parentales.
Módulo 4: Manejo de Conflictos y Gestión Emocional
Aprendizajes esperados:
Identificar factores desencadenantes de conflictos en entornos laborales.
Aplicar estrategias de gestión emocional para reducir tensiones y resolver conflictos.
Fomentar un clima de trabajo armonioso basado en el respeto y la colaboración.
Distinguir estrategias de regulación emocional de acuerdo con la metodología PMTO.
Módulo 5: Prevención y Gestión de Desafíos
Aprendizajes esperados:
Reconocer barreras que podrían obstaculizar la motivación cooperativa en equipos de trabajo.
Diseñar planes preventivos para minimizar riesgos y mejorar la dinámica grupal.
Implementar medidas correctivas alineadas con los principios de PMTO para solucionar problemas.
Aplicar técnicas de disciplina efectiva y solución de problemas de acuerdo con la metodología PMTO.
Módulo 6: Liderazgo Cooperativo
Aprendizajes es</t>
  </si>
  <si>
    <t>Comunidad de familias Colegio Jorge Alessandri Rodríguez</t>
  </si>
  <si>
    <t xml:space="preserve">"1. Conocimiento de la Normativa Eléctrica y Seguridad
 • Aprender a aplicar las normativas eléctricas vigentes en Chile, en especial las regulaciones de la SEC (como el Reglamento de Instalaciones Eléctricas y las normas NCh).
 • Comprender las normativas de seguridad eléctrica para proteger a las personas y los bienes, tanto en instalaciones residenciales como comerciales e industriales.
 • Identificar las señales y precauciones de seguridad al trabajar con sistemas eléctricos, y saber cómo actuar ante emergencias eléctricas.
 • Desarrollar una comprensión profunda de la Ley 20.123 que regula el ejercicio profesional de los instaladores eléctricos y sus implicancias legales.
 2. Fundamentos de Electricidad
 • Explicar los principios básicos de la electricidad, como corriente eléctrica, voltaje, resistencia, potencia y ley de Ohm.
 • Conocer los tipos de corriente eléctrica (AC y DC) y sus aplicaciones en las instalaciones eléctricas.
 • Identificar los componentes y equipos eléctricos (conductores, interruptores, enchufes, tomacorrientes, etc.) y su correcto uso y aplicación.
 3. Diseño y Cálculo de Instalaciones Eléctricas
 • Realizar cálculos básicos de instalaciones eléctricas para determinar la capacidad adecuada de los conductores, protección y equipos en función de la carga.
 • Desarrollar diagramas eléctricos y planos de instalaciones, especificando los componentes, dispositivos y conexiones a utilizar.
 • Seleccionar y dimensionar adecuadamente los elementos de protección como fusibles y disyuntores, según el tipo de instalación y cargas conectadas.
 4. Instalaciones Eléctricas Residenciales y Comerciales
 • Planificar y ejecutar instalaciones eléctricas en viviendas y edificios comerciales, respetando las distancias de seguridad y las normas de la SEC.
 • Instalar tableros de distribución eléctrica y realizar conexiones a sistemas de energía, asegurando la correcta distribución de circuitos y protección adecuada.
 • Realizar conexiones de puesta a tierra </t>
  </si>
  <si>
    <t xml:space="preserve">Licencia clase D habilita realización instalación de alumbrado -calefacción de baja tensión (maximo 10KW y 5KW respectivamente). </t>
  </si>
  <si>
    <t xml:space="preserve">Módulo 1: ¿Qué es la Educación Financiera?
Duración: 6 horas Aprendizajes esperados:
Entender qué es la educación financiera y su importancia en la vida cotidiana.
Reconocer conceptos básicos como ingresos, gastos, ahorro y deuda.
Proporcionar herramientas iniciales para la gestión eficiente del dinero.
Contenidos:
Introducción al concepto de educación financiera.
El impacto de las decisiones financieras en el bienestar.
Primeros pasos para organizar las finanzas personales.
Módulo 2: Presupuestos Básicos para Organizar Gastos
Duración: 10 horas Aprendizajes esperados:
Aprender a crear un presupuesto básico.
Identificar ingresos y dividir gastos en categorías esenciales.
Desarrollar hábitos para mantener presupuestos simples y sostenibles.
Contenidos:
¿Qué es un presupuesto y cómo se elabora?
Estrategias para evitar gastos innecesarios.
Ejercicios prácticos: crear presupuestos personalizados.
Módulo 3: Ahorro para el Futuro y Metas Financieras
Duración: 8 horas Aprendizajes esperados:
Enseñar la importancia del ahorro y cómo empezar a ahorrar con recursos limitados.
Establecer metas financieras a corto y largo plazo.
Reconocer la importancia de ahorrar para imprevistos y proyectos futuros.
Contenidos:
Introducción al ahorro: consejos fáciles para empezar.
Cómo establecer metas financieras simples y realizables.
Herramientas básicas para calcular y planificar ahorros.
Módulo 4: Deudas y Decisiones Financieras Informadas
Duración: 8 horas Aprendizajes esperados:
Entender los riesgos del endeudamiento excesivo y cómo evitarlo.
Reconocer diferentes tipos de deuda y sus implicaciones.
Aprender a tomar decisiones financieras informadas y responsables.
Contenidos:
Diferencias entre deuda buena y deuda mala.
Estrategias básicas para salir de deudas.
Ejercicios prácticos: evaluar decisiones de gasto.
Módulo 5: Ayudas del Estado y Herramientas para la Independencia Económica
Duración: 10 horas Aprendizajes esperados:
Informar sobre programas y beneficios del Estado </t>
  </si>
  <si>
    <t>Módulo 1: Trabajo en Equipo
Aprendizajes esperados:
Comprender la importancia del trabajo colaborativo para alcanzar objetivos comunes.
Desarrollar habilidades para construir relaciones efectivas dentro de un equipo.
Aplicar técnicas de comunicación y resolución de conflictos en contextos grupales.
Módulo 2: Herramientas Comunicacionales para el Trabajo
Aprendizajes esperados:
Identificar y aplicar técnicas de comunicación efectiva en el entorno laboral.
Desarrollar habilidades para expresar ideas claramente y escuchar de manera activa.
Facilitar el entendimiento mutuo y mejorar la interacción en equipos de trabajo.
Módulo 3: Iniciativa y Aprendizaje Permanente
Aprendizajes esperados:
Promover la capacidad de tomar decisiones autónomas en el ámbito profesional.
Desarrollar habilidades para buscar y utilizar oportunidades de aprendizaje continuo.
Aplicar estrategias para adaptarse a entornos laborales dinámicos y cambiantes.
Módulo 4: Planificación del Proyecto Ocupacional
Aprendizajes esperados:
Desarrollar habilidades para definir objetivos personales y profesionales.
Identificar pasos clave para implementar un proyecto ocupacional exitoso.
Aplicar herramientas de planificación para mejorar la empleabilidad.
Módulo 5: Efectividad Personal
Aprendizajes esperados:
Reconocer y aplicar estrategias para el desarrollo de la efectividad personal en el trabajo.
Desarrollar habilidades para la autoevaluación y mejora continua.
Fortalecer la capacidad de alcanzar metas y resultados en el entorno laboral.
Módulo 6: Técnicas para la Resolución de Problemas
Aprendizajes esperados:
Identificar problemas y analizar sus causas dentro del ámbito laboral.
Desarrollar habilidades para aplicar técnicas de resolución efectiva de problemas.
Promover la toma de decisiones fundamentadas y orientadas a soluciones.
Módulo 7: Gestión del Tiempo y Prioridades
Aprendizajes esperados:
Aprender a gestionar el tiempo de manera eficiente para cumplir con tareas y objetivos</t>
  </si>
  <si>
    <t>El curso Housekeeping Inclusivo: Limpieza con Profesionalismo está diseñado para capacitar a los participantes en técnicas avanzadas de limpieza y gestión en entornos laborales, promoviendo la inclusión, el profesionalismo y la responsabilidad. Este curso está dedicado a PERSONAS EN SITUACIÓN DE DISCAPACIDAD, DE 18 AÑOS O MÁS, QUE SE ATIENDEN EN EDUDOWN, HOMBRES Y MUJERES, QUE TIENEN O NO EXPERIENCIA LABORAL, RESIDENTES DE LA REGIÓN METROPOLITANA Y QUE BUSCAN CON LA CAPACITACIÓN INSERTARSE AL MUNDO LABORAL.</t>
  </si>
  <si>
    <t xml:space="preserve">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</si>
  <si>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 xml:space="preserve">JÓVENES DE IV° MEDIO DE LICEO BICENTENARIO PEOPLE HELP PEOPLE PILMAIQUÉN (PUYEHUE).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</si>
  <si>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 xml:space="preserve">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</si>
  <si>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Hombres y mujeres de entre 18 y 64 años, pertenecientes al 80% de la población más vulnerable según el Registro Social de Hogares.  Está dirigido a personas que deseen aprender un oficio y desarrollarse en el ámbito laboral,  con el objetivo de generar autonomía económica. No se requiere experiencia previa en el área, ya que el curso está diseñado para quienes buscan adquirir nuevos conocimientos y habilidades.</t>
  </si>
  <si>
    <t>Hombres y Mujeres entre 18 y 50 años que correspondan al 80% más vulnerable según RSH, que pertenecen al sector de Huilo Huilo. Deberán saber leer y escribir, y tener Educación Básica completa.</t>
  </si>
  <si>
    <t>LICENCIA DE INSTALADOR ELÉCTRICO CLASE D EXPEDIDA POR LA SUPERINTENDENCIA DE ELECTRICIDAD Y COMBUSTIBLE (SEC).</t>
  </si>
  <si>
    <t>Emprendedores Hombres y mujeres de 18 años o más, que pertenecen al 80% más vulnerable según el Registro Social de Hogares, residan en la comuna de Tocopilla y cuenten con educación basica completa, de preferencia, nociones basicas de operaciones matematicas (suma, resta, multiplicación, división)</t>
  </si>
  <si>
    <t>Hombres y mujeres de 18 años o más, que pertenecen al 80% más vulnerable según el Registro Social de Hogares, residan en la comuna de Tocopilla y cuenten con educación media completa.</t>
  </si>
  <si>
    <t>Emprendedores Hombres y mujeres de 18 años o más, que pertenecen al 80% más vulnerable según el Registro Social de Hogares, residan en la comuna de María Elena y alrededores, y cuenten con educación media completa. El curso tiene una salida independiente, ya que, se busca fomentar el pensamiento emprendedor, para el desarrollo innovación, resiliencia y la capacidad de identificar oportunidades de mejora, con la finalidad que sean mejores candidatos para procesos de transformación dentro de las organizaciones.</t>
  </si>
  <si>
    <t>70417500-1</t>
  </si>
  <si>
    <t xml:space="preserve">No adjudica dado que presenta procentaje de multas ponderadas </t>
  </si>
  <si>
    <t xml:space="preserve">Adjudica dado que presenta menor procentaje de multas ponderaadas </t>
  </si>
  <si>
    <t xml:space="preserve">Adjudica dado que presenta menor procentaje de multas ponderadas </t>
  </si>
  <si>
    <t>Adjudica</t>
  </si>
  <si>
    <t xml:space="preserve">No adjudica dado que presenta procentaje de multas ponderadas más alto </t>
  </si>
  <si>
    <t>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t>
  </si>
  <si>
    <t>Corregir es Numeral 6.1.2 Item 11</t>
  </si>
  <si>
    <t xml:space="preserve">De acuerdo a normativa debe ajustar a 15 días </t>
  </si>
  <si>
    <t xml:space="preserve">Error en número de días fase lectiva </t>
  </si>
  <si>
    <t>|</t>
  </si>
  <si>
    <t xml:space="preserve">Agregar valores incorrectos presentados por el OTEC , para que planilla refleje error </t>
  </si>
  <si>
    <t xml:space="preserve">Agregar valor subsidio de cuidado presentado por el OTEC , para que planilla refleje error </t>
  </si>
  <si>
    <t xml:space="preserve">Error valor hora alumno  agregar </t>
  </si>
  <si>
    <t>Numeral 7 ítem e) Menor “porcentaje de multas ponderadas” en ítem evaluación comportamiento considerando 4 decimales.</t>
  </si>
  <si>
    <t>Agregado el valor total de subsidio de cuidado</t>
  </si>
  <si>
    <t>Valores solicitados han sido actualizados</t>
  </si>
  <si>
    <t>NUMERAL 6.1.2. ÍTEM 1 - NO DESARROLLA METODOLOGÍA PARA EL MODULO 10 DEL CURSO / 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t>
  </si>
  <si>
    <t>NUMERAL 6.1.2. ÍTEM 7 - OTEC ADJUNTA ANEXO DE PROPUESTA, SIN EMBARGO, NO ADJUNTA EL ANEXO 3 CORRESPONDIENTE AL CURSO / NUMERAL 6.1.2. ÍTEM 11: NO PRESENTA FOTOS QUE ACREDITEN LAS CARACTERISTICAS DESCRITAS EN LA PROPUESTA, NO PRESENTA MODELO CARTA COMPROMISO DE INFRAESTRUCTURA</t>
  </si>
  <si>
    <t>Inadmisibile por Numeral 6.1.2. ítem 1 y 11</t>
  </si>
  <si>
    <t>Inadmisibile por Numeral 6.1.2. ítem 11</t>
  </si>
  <si>
    <t>Inadmisibile por Numeral 6.1.2. ítem 7 y 11</t>
  </si>
  <si>
    <t>Ajustado a 15 días</t>
  </si>
  <si>
    <t>NUMERAL 6.1.2. ÍTEM 5 - El Valor Hora Alumno Capacitación no se encuentra en el rango del tramo definido para el curso, conforme al Anexo N° 8 y al plan de capacitación.</t>
  </si>
  <si>
    <t>Se deja Inadmisible por error en días de Fase Lectiva.</t>
  </si>
  <si>
    <t>NUMERAL 6.1.2. ÍTEM 1 - NO DESARROLLA METODOLOGÍA PARA EL MODULO 10 DEL CURSO
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t>
  </si>
  <si>
    <t>NUMERAL 6.1.2. ÍTEM 5 - EL VALOR HORA ALUMNO CAPACITACIÓN NO SE ENCUENTRA EN EL RANGO DEL TRAMO DEFINIDO PAR EL CURSO, CONFORME AL ANEXO N° 8 Y AL PLAN DE CAPACITACIÓN</t>
  </si>
  <si>
    <t>NUMERAL 6.1.2. ITEM 6 - LA ESTRUCTURA DE COSTOS DEL OTEC SE REALIZA CALCULANDO SUBSIDIO PARA 57 DÍAS DE EJECUCIÓN. SEGÚN NORMATIVA, EL CURSO DEBIERA TENER 69 DÍAS DE EJECUCIÓN.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</si>
</sst>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2" formatCode="_ &quot;$&quot;* #,##0_ ;_ &quot;$&quot;* \-#,##0_ ;_ &quot;$&quot;* &quot;-&quot;_ ;_ @_ "/>
    <numFmt numFmtId="44" formatCode="_ &quot;$&quot;* #,##0.00_ ;_ &quot;$&quot;* \-#,##0.00_ ;_ &quot;$&quot;* &quot;-&quot;??_ ;_ @_ "/>
    <numFmt numFmtId="164" formatCode="_-* #,##0_-;\-* #,##0_-;_-* &quot;-&quot;_-;_-@_-"/>
    <numFmt numFmtId="165" formatCode="_-* #,##0.00_-;\-* #,##0.00_-;_-* &quot;-&quot;??_-;_-@_-"/>
    <numFmt numFmtId="166" formatCode="_-&quot;$&quot;\ * #,##0_-;\-&quot;$&quot;\ * #,##0_-;_-&quot;$&quot;\ * &quot;-&quot;_-;_-@_-"/>
    <numFmt numFmtId="167" formatCode="_-&quot;$&quot;\ * #,##0.00_-;\-&quot;$&quot;\ * #,##0.00_-;_-&quot;$&quot;\ * &quot;-&quot;??_-;_-@_-"/>
    <numFmt numFmtId="168" formatCode="0.0"/>
    <numFmt numFmtId="169" formatCode="0.000%"/>
    <numFmt numFmtId="170" formatCode="_-* #,##0_-;\-* #,##0_-;_-* &quot;-&quot;??_-;_-@_-"/>
    <numFmt numFmtId="171" formatCode="#,##0.0"/>
    <numFmt numFmtId="172" formatCode="#,##0.0000"/>
    <numFmt numFmtId="173" formatCode="0.0000"/>
  </numFmts>
  <fonts count="45" x14ac:knownFonts="1">
    <font>
      <sz val="11"/>
      <color theme="1"/>
      <name val="Calibri"/>
      <family val="2"/>
      <scheme val="minor"/>
    </font>
    <font>
      <sz val="11"/>
      <color theme="1"/>
      <name val="Calibri"/>
      <family val="2"/>
    </font>
    <font>
      <sz val="10"/>
      <name val="Arial"/>
      <family val="2"/>
    </font>
    <font>
      <sz val="11"/>
      <color theme="1"/>
      <name val="Calibri"/>
      <family val="2"/>
      <scheme val="minor"/>
    </font>
    <font>
      <sz val="10"/>
      <name val="Arial"/>
      <family val="2"/>
    </font>
    <font>
      <sz val="9"/>
      <name val="Calibri"/>
      <family val="2"/>
      <scheme val="minor"/>
    </font>
    <font>
      <sz val="11"/>
      <color theme="1"/>
      <name val="Arial"/>
      <family val="2"/>
    </font>
    <font>
      <sz val="9"/>
      <color theme="1"/>
      <name val="Calibri"/>
      <family val="2"/>
      <scheme val="minor"/>
    </font>
    <font>
      <sz val="11"/>
      <name val="Calibri"/>
      <family val="2"/>
    </font>
    <font>
      <sz val="10"/>
      <name val="Calibri"/>
      <family val="2"/>
      <scheme val="minor"/>
    </font>
    <font>
      <b/>
      <sz val="8"/>
      <name val="Calibri"/>
      <family val="2"/>
      <scheme val="minor"/>
    </font>
    <font>
      <sz val="8"/>
      <color theme="0"/>
      <name val="Calibri"/>
      <family val="2"/>
      <scheme val="minor"/>
    </font>
    <font>
      <sz val="7"/>
      <color theme="0"/>
      <name val="Calibri"/>
      <family val="2"/>
      <scheme val="minor"/>
    </font>
    <font>
      <b/>
      <sz val="7"/>
      <name val="Calibri"/>
      <family val="2"/>
      <scheme val="minor"/>
    </font>
    <font>
      <sz val="7"/>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9"/>
      <name val="Calibri"/>
      <family val="2"/>
      <scheme val="minor"/>
    </font>
    <font>
      <b/>
      <sz val="7"/>
      <name val="Calibri"/>
      <family val="2"/>
    </font>
    <font>
      <sz val="11"/>
      <name val="Calibri"/>
      <family val="2"/>
      <scheme val="minor"/>
    </font>
    <font>
      <b/>
      <sz val="10"/>
      <color rgb="FFFF0000"/>
      <name val="Calibri"/>
      <family val="2"/>
      <scheme val="minor"/>
    </font>
    <font>
      <b/>
      <sz val="10"/>
      <name val="Calibri"/>
      <family val="2"/>
      <scheme val="minor"/>
    </font>
    <font>
      <b/>
      <sz val="10"/>
      <color theme="0"/>
      <name val="Calibri"/>
      <family val="2"/>
      <scheme val="minor"/>
    </font>
    <font>
      <sz val="11"/>
      <color theme="1"/>
      <name val="Calibri"/>
      <family val="2"/>
    </font>
    <font>
      <sz val="7"/>
      <name val="Calibri"/>
      <family val="2"/>
      <scheme val="minor"/>
    </font>
    <font>
      <b/>
      <sz val="11"/>
      <name val="Calibri"/>
      <family val="2"/>
    </font>
    <font>
      <sz val="11"/>
      <color rgb="FFFF0000"/>
      <name val="Calibri"/>
      <family val="2"/>
    </font>
    <font>
      <b/>
      <sz val="9"/>
      <color theme="0"/>
      <name val="Calibri"/>
      <family val="2"/>
      <scheme val="minor"/>
    </font>
    <font>
      <b/>
      <sz val="9"/>
      <color rgb="FFFF0000"/>
      <name val="Calibri"/>
      <family val="2"/>
      <scheme val="minor"/>
    </font>
    <font>
      <b/>
      <u/>
      <sz val="9"/>
      <color rgb="FFFF0000"/>
      <name val="Calibri"/>
      <family val="2"/>
      <scheme val="minor"/>
    </font>
    <font>
      <sz val="12"/>
      <color theme="1"/>
      <name val="Aptos"/>
      <family val="2"/>
    </font>
  </fonts>
  <fills count="54">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
      <patternFill patternType="solid">
        <fgColor theme="4" tint="-0.249977111117893"/>
        <bgColor indexed="64"/>
      </patternFill>
    </fill>
    <fill>
      <patternFill patternType="solid">
        <fgColor theme="7"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59999389629810485"/>
        <bgColor indexed="64"/>
      </patternFill>
    </fill>
    <fill>
      <patternFill patternType="solid">
        <fgColor theme="4" tint="0.39997558519241921"/>
        <bgColor rgb="FF9CC2E5"/>
      </patternFill>
    </fill>
    <fill>
      <patternFill patternType="solid">
        <fgColor theme="4" tint="0.79998168889431442"/>
        <bgColor theme="4" tint="0.79998168889431442"/>
      </patternFill>
    </fill>
    <fill>
      <patternFill patternType="solid">
        <fgColor rgb="FFFFFF00"/>
        <bgColor rgb="FF9CC2E5"/>
      </patternFill>
    </fill>
    <fill>
      <patternFill patternType="solid">
        <fgColor rgb="FFFFFFFF"/>
        <bgColor indexed="64"/>
      </patternFill>
    </fill>
    <fill>
      <patternFill patternType="solid">
        <fgColor theme="4" tint="0.79998168889431442"/>
        <bgColor indexed="64"/>
      </patternFill>
    </fill>
    <fill>
      <patternFill patternType="solid">
        <fgColor theme="8"/>
        <bgColor indexed="64"/>
      </patternFill>
    </fill>
    <fill>
      <patternFill patternType="solid">
        <fgColor theme="5"/>
        <bgColor indexed="64"/>
      </patternFill>
    </fill>
    <fill>
      <patternFill patternType="solid">
        <fgColor theme="4"/>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rgb="FF9CC2E5"/>
      </patternFill>
    </fill>
    <fill>
      <patternFill patternType="solid">
        <fgColor theme="9" tint="0.39997558519241921"/>
        <bgColor indexed="64"/>
      </patternFill>
    </fill>
    <fill>
      <patternFill patternType="solid">
        <fgColor theme="0"/>
        <bgColor theme="4" tint="0.79998168889431442"/>
      </patternFill>
    </fill>
    <fill>
      <patternFill patternType="solid">
        <fgColor rgb="FF92D050"/>
        <bgColor indexed="64"/>
      </patternFill>
    </fill>
    <fill>
      <patternFill patternType="solid">
        <fgColor theme="4" tint="0.59999389629810485"/>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000000"/>
      </top>
      <bottom/>
      <diagonal/>
    </border>
    <border>
      <left/>
      <right/>
      <top/>
      <bottom style="thin">
        <color theme="4" tint="0.39997558519241921"/>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right style="thin">
        <color indexed="64"/>
      </right>
      <top style="thin">
        <color indexed="64"/>
      </top>
      <bottom/>
      <diagonal/>
    </border>
    <border>
      <left style="medium">
        <color rgb="FF000000"/>
      </left>
      <right style="medium">
        <color rgb="FF000000"/>
      </right>
      <top style="medium">
        <color rgb="FFCCCCCC"/>
      </top>
      <bottom style="medium">
        <color indexed="64"/>
      </bottom>
      <diagonal/>
    </border>
    <border>
      <left style="medium">
        <color rgb="FFCCCCCC"/>
      </left>
      <right style="medium">
        <color rgb="FF000000"/>
      </right>
      <top style="medium">
        <color rgb="FFCCCCCC"/>
      </top>
      <bottom style="medium">
        <color indexed="64"/>
      </bottom>
      <diagonal/>
    </border>
    <border>
      <left style="medium">
        <color rgb="FF000000"/>
      </left>
      <right style="medium">
        <color rgb="FF000000"/>
      </right>
      <top style="medium">
        <color rgb="FF000000"/>
      </top>
      <bottom style="medium">
        <color indexed="64"/>
      </bottom>
      <diagonal/>
    </border>
    <border>
      <left/>
      <right style="thin">
        <color indexed="64"/>
      </right>
      <top/>
      <bottom/>
      <diagonal/>
    </border>
    <border>
      <left/>
      <right/>
      <top style="thin">
        <color indexed="64"/>
      </top>
      <bottom/>
      <diagonal/>
    </border>
  </borders>
  <cellStyleXfs count="288">
    <xf numFmtId="0" fontId="0" fillId="0" borderId="0"/>
    <xf numFmtId="0" fontId="2" fillId="0" borderId="0"/>
    <xf numFmtId="0" fontId="2" fillId="0" borderId="0"/>
    <xf numFmtId="0" fontId="4" fillId="0" borderId="0"/>
    <xf numFmtId="0" fontId="2" fillId="0" borderId="0"/>
    <xf numFmtId="0" fontId="3" fillId="0" borderId="0"/>
    <xf numFmtId="165" fontId="3" fillId="0" borderId="0" applyFont="0" applyFill="0" applyBorder="0" applyAlignment="0" applyProtection="0"/>
    <xf numFmtId="167"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0" fontId="2" fillId="0" borderId="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6" fillId="0" borderId="0"/>
    <xf numFmtId="0" fontId="8" fillId="0" borderId="0"/>
    <xf numFmtId="164"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0" fontId="15" fillId="0" borderId="0" applyNumberFormat="0" applyFill="0" applyBorder="0" applyAlignment="0" applyProtection="0"/>
    <xf numFmtId="0" fontId="16" fillId="0" borderId="6" applyNumberFormat="0" applyFill="0" applyAlignment="0" applyProtection="0"/>
    <xf numFmtId="0" fontId="17" fillId="0" borderId="7" applyNumberFormat="0" applyFill="0" applyAlignment="0" applyProtection="0"/>
    <xf numFmtId="0" fontId="18" fillId="0" borderId="8" applyNumberFormat="0" applyFill="0" applyAlignment="0" applyProtection="0"/>
    <xf numFmtId="0" fontId="18" fillId="0" borderId="0" applyNumberFormat="0" applyFill="0" applyBorder="0" applyAlignment="0" applyProtection="0"/>
    <xf numFmtId="0" fontId="19" fillId="7" borderId="0" applyNumberFormat="0" applyBorder="0" applyAlignment="0" applyProtection="0"/>
    <xf numFmtId="0" fontId="20" fillId="8" borderId="0" applyNumberFormat="0" applyBorder="0" applyAlignment="0" applyProtection="0"/>
    <xf numFmtId="0" fontId="21" fillId="9" borderId="0" applyNumberFormat="0" applyBorder="0" applyAlignment="0" applyProtection="0"/>
    <xf numFmtId="0" fontId="22" fillId="10" borderId="9" applyNumberFormat="0" applyAlignment="0" applyProtection="0"/>
    <xf numFmtId="0" fontId="23" fillId="11" borderId="10" applyNumberFormat="0" applyAlignment="0" applyProtection="0"/>
    <xf numFmtId="0" fontId="24" fillId="11" borderId="9" applyNumberFormat="0" applyAlignment="0" applyProtection="0"/>
    <xf numFmtId="0" fontId="25" fillId="0" borderId="11" applyNumberFormat="0" applyFill="0" applyAlignment="0" applyProtection="0"/>
    <xf numFmtId="0" fontId="26" fillId="12" borderId="12" applyNumberFormat="0" applyAlignment="0" applyProtection="0"/>
    <xf numFmtId="0" fontId="27" fillId="0" borderId="0" applyNumberFormat="0" applyFill="0" applyBorder="0" applyAlignment="0" applyProtection="0"/>
    <xf numFmtId="0" fontId="3" fillId="13" borderId="13" applyNumberFormat="0" applyFont="0" applyAlignment="0" applyProtection="0"/>
    <xf numFmtId="0" fontId="28" fillId="0" borderId="0" applyNumberFormat="0" applyFill="0" applyBorder="0" applyAlignment="0" applyProtection="0"/>
    <xf numFmtId="0" fontId="29" fillId="0" borderId="14" applyNumberFormat="0" applyFill="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0"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44" fontId="3" fillId="0" borderId="0" applyFont="0" applyFill="0" applyBorder="0" applyAlignment="0" applyProtection="0"/>
    <xf numFmtId="0" fontId="8" fillId="0" borderId="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8"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0" fontId="3" fillId="0" borderId="0"/>
    <xf numFmtId="0" fontId="8" fillId="0" borderId="0"/>
  </cellStyleXfs>
  <cellXfs count="223">
    <xf numFmtId="0" fontId="0" fillId="0" borderId="0" xfId="0"/>
    <xf numFmtId="0" fontId="0" fillId="0" borderId="1" xfId="0" applyBorder="1"/>
    <xf numFmtId="0" fontId="0" fillId="0" borderId="5" xfId="0" applyBorder="1"/>
    <xf numFmtId="10" fontId="0" fillId="0" borderId="0" xfId="51" applyNumberFormat="1" applyFont="1"/>
    <xf numFmtId="170" fontId="0" fillId="4" borderId="5" xfId="6" applyNumberFormat="1" applyFont="1" applyFill="1" applyBorder="1"/>
    <xf numFmtId="169" fontId="0" fillId="4" borderId="5" xfId="51" applyNumberFormat="1" applyFont="1" applyFill="1" applyBorder="1"/>
    <xf numFmtId="0" fontId="5" fillId="3" borderId="0" xfId="0" applyFont="1" applyFill="1" applyAlignment="1">
      <alignment horizontal="center"/>
    </xf>
    <xf numFmtId="0" fontId="5" fillId="3" borderId="0" xfId="0" applyFont="1" applyFill="1"/>
    <xf numFmtId="0" fontId="5" fillId="3" borderId="0" xfId="0" applyFont="1" applyFill="1" applyAlignment="1">
      <alignment horizontal="left"/>
    </xf>
    <xf numFmtId="0" fontId="10" fillId="2" borderId="0" xfId="0" applyFont="1" applyFill="1" applyAlignment="1" applyProtection="1">
      <alignment horizontal="center" vertical="top" wrapText="1"/>
      <protection locked="0"/>
    </xf>
    <xf numFmtId="0" fontId="11" fillId="5" borderId="0" xfId="0" applyFont="1" applyFill="1" applyAlignment="1">
      <alignment horizontal="center" vertical="top" wrapText="1"/>
    </xf>
    <xf numFmtId="168" fontId="5" fillId="3" borderId="0" xfId="0" applyNumberFormat="1" applyFont="1" applyFill="1" applyAlignment="1">
      <alignment horizontal="center"/>
    </xf>
    <xf numFmtId="0" fontId="0" fillId="0" borderId="0" xfId="0" applyAlignment="1">
      <alignment horizontal="center"/>
    </xf>
    <xf numFmtId="3" fontId="10" fillId="2" borderId="0" xfId="0" applyNumberFormat="1" applyFont="1" applyFill="1" applyAlignment="1" applyProtection="1">
      <alignment horizontal="center" vertical="top" wrapText="1"/>
      <protection locked="0"/>
    </xf>
    <xf numFmtId="168" fontId="0" fillId="0" borderId="0" xfId="0" applyNumberFormat="1"/>
    <xf numFmtId="3" fontId="31" fillId="2" borderId="0" xfId="0" applyNumberFormat="1" applyFont="1" applyFill="1" applyAlignment="1" applyProtection="1">
      <alignment horizontal="center" vertical="top" wrapText="1"/>
      <protection locked="0"/>
    </xf>
    <xf numFmtId="3" fontId="5" fillId="3" borderId="0" xfId="0" applyNumberFormat="1" applyFont="1" applyFill="1" applyAlignment="1">
      <alignment horizontal="center"/>
    </xf>
    <xf numFmtId="0" fontId="12" fillId="5" borderId="0" xfId="0" applyFont="1" applyFill="1" applyAlignment="1">
      <alignment horizontal="center" vertical="top" wrapText="1"/>
    </xf>
    <xf numFmtId="0" fontId="13" fillId="2" borderId="0" xfId="0" applyFont="1" applyFill="1" applyAlignment="1" applyProtection="1">
      <alignment horizontal="center" vertical="top" wrapText="1"/>
      <protection locked="0"/>
    </xf>
    <xf numFmtId="1" fontId="13" fillId="38" borderId="0" xfId="0" applyNumberFormat="1" applyFont="1" applyFill="1" applyAlignment="1">
      <alignment horizontal="center" vertical="top" wrapText="1"/>
    </xf>
    <xf numFmtId="168" fontId="13" fillId="38" borderId="0" xfId="0" applyNumberFormat="1" applyFont="1" applyFill="1" applyAlignment="1">
      <alignment horizontal="center" vertical="top" wrapText="1"/>
    </xf>
    <xf numFmtId="3" fontId="13" fillId="38" borderId="0" xfId="0" applyNumberFormat="1" applyFont="1" applyFill="1" applyAlignment="1">
      <alignment horizontal="center" vertical="top" wrapText="1"/>
    </xf>
    <xf numFmtId="0" fontId="13" fillId="38" borderId="0" xfId="0" applyFont="1" applyFill="1" applyAlignment="1">
      <alignment horizontal="center" vertical="top" wrapText="1"/>
    </xf>
    <xf numFmtId="0" fontId="29" fillId="40" borderId="16" xfId="0" applyFont="1" applyFill="1" applyBorder="1"/>
    <xf numFmtId="1" fontId="7" fillId="3" borderId="0" xfId="0" applyNumberFormat="1" applyFont="1" applyFill="1" applyAlignment="1">
      <alignment horizontal="center"/>
    </xf>
    <xf numFmtId="171" fontId="0" fillId="0" borderId="0" xfId="0" applyNumberFormat="1"/>
    <xf numFmtId="0" fontId="0" fillId="0" borderId="0" xfId="0" applyAlignment="1">
      <alignment vertical="top" wrapText="1"/>
    </xf>
    <xf numFmtId="168" fontId="0" fillId="0" borderId="0" xfId="0" applyNumberFormat="1" applyAlignment="1">
      <alignment vertical="top" wrapText="1"/>
    </xf>
    <xf numFmtId="0" fontId="7" fillId="3" borderId="0" xfId="0" applyFont="1" applyFill="1" applyAlignment="1">
      <alignment horizontal="center"/>
    </xf>
    <xf numFmtId="0" fontId="7" fillId="3" borderId="0" xfId="0" applyFont="1" applyFill="1" applyAlignment="1">
      <alignment horizontal="left"/>
    </xf>
    <xf numFmtId="3" fontId="7" fillId="3" borderId="0" xfId="0" applyNumberFormat="1" applyFont="1" applyFill="1" applyAlignment="1">
      <alignment horizontal="center"/>
    </xf>
    <xf numFmtId="0" fontId="7" fillId="3" borderId="0" xfId="0" applyFont="1" applyFill="1"/>
    <xf numFmtId="168" fontId="32" fillId="39" borderId="15" xfId="53" applyNumberFormat="1" applyFont="1" applyFill="1" applyBorder="1" applyAlignment="1">
      <alignment horizontal="center" vertical="top" wrapText="1"/>
    </xf>
    <xf numFmtId="0" fontId="14" fillId="0" borderId="0" xfId="0" applyFont="1" applyAlignment="1">
      <alignment horizontal="center" vertical="top"/>
    </xf>
    <xf numFmtId="0" fontId="9" fillId="3" borderId="0" xfId="0" applyFont="1" applyFill="1"/>
    <xf numFmtId="1" fontId="9" fillId="3" borderId="0" xfId="0" applyNumberFormat="1" applyFont="1" applyFill="1" applyAlignment="1">
      <alignment horizontal="center"/>
    </xf>
    <xf numFmtId="0" fontId="13" fillId="2" borderId="0" xfId="0" applyFont="1" applyFill="1" applyAlignment="1">
      <alignment horizontal="center" vertical="top" wrapText="1"/>
    </xf>
    <xf numFmtId="0" fontId="0" fillId="0" borderId="0" xfId="0" applyAlignment="1">
      <alignment horizontal="left"/>
    </xf>
    <xf numFmtId="171" fontId="0" fillId="0" borderId="0" xfId="0" applyNumberFormat="1" applyAlignment="1">
      <alignment vertical="top" wrapText="1"/>
    </xf>
    <xf numFmtId="0" fontId="0" fillId="0" borderId="0" xfId="0" pivotButton="1"/>
    <xf numFmtId="42" fontId="0" fillId="0" borderId="0" xfId="80" applyFont="1"/>
    <xf numFmtId="0" fontId="32" fillId="41" borderId="15" xfId="53" applyFont="1" applyFill="1" applyBorder="1" applyAlignment="1">
      <alignment horizontal="center" vertical="top" wrapText="1"/>
    </xf>
    <xf numFmtId="1" fontId="13" fillId="4" borderId="0" xfId="0" applyNumberFormat="1" applyFont="1" applyFill="1" applyAlignment="1">
      <alignment horizontal="center" vertical="top" wrapText="1"/>
    </xf>
    <xf numFmtId="168" fontId="13" fillId="4" borderId="0" xfId="0" applyNumberFormat="1" applyFont="1" applyFill="1" applyAlignment="1">
      <alignment horizontal="center" vertical="top" wrapText="1"/>
    </xf>
    <xf numFmtId="0" fontId="7" fillId="0" borderId="17" xfId="0" applyFont="1" applyBorder="1" applyAlignment="1">
      <alignment horizontal="center" wrapText="1"/>
    </xf>
    <xf numFmtId="0" fontId="7" fillId="42" borderId="19" xfId="0" applyFont="1" applyFill="1" applyBorder="1" applyAlignment="1">
      <alignment wrapText="1"/>
    </xf>
    <xf numFmtId="0" fontId="7" fillId="42" borderId="20" xfId="0" applyFont="1" applyFill="1" applyBorder="1" applyAlignment="1">
      <alignment wrapText="1"/>
    </xf>
    <xf numFmtId="0" fontId="13" fillId="4" borderId="0" xfId="0" applyFont="1" applyFill="1" applyAlignment="1">
      <alignment horizontal="center" vertical="top" wrapText="1"/>
    </xf>
    <xf numFmtId="168" fontId="13" fillId="43" borderId="0" xfId="0" applyNumberFormat="1" applyFont="1" applyFill="1" applyAlignment="1">
      <alignment horizontal="center" vertical="top" wrapText="1"/>
    </xf>
    <xf numFmtId="3" fontId="10" fillId="4" borderId="0" xfId="0" applyNumberFormat="1" applyFont="1" applyFill="1" applyAlignment="1" applyProtection="1">
      <alignment horizontal="center" vertical="top" wrapText="1"/>
      <protection locked="0"/>
    </xf>
    <xf numFmtId="49" fontId="12" fillId="5" borderId="0" xfId="0" applyNumberFormat="1" applyFont="1" applyFill="1" applyAlignment="1">
      <alignment horizontal="center" vertical="top" wrapText="1"/>
    </xf>
    <xf numFmtId="3" fontId="31" fillId="4" borderId="0" xfId="0" applyNumberFormat="1" applyFont="1" applyFill="1" applyAlignment="1" applyProtection="1">
      <alignment horizontal="center" vertical="top" wrapText="1"/>
      <protection locked="0"/>
    </xf>
    <xf numFmtId="0" fontId="7" fillId="0" borderId="17" xfId="0" applyFont="1" applyBorder="1" applyAlignment="1">
      <alignment wrapText="1"/>
    </xf>
    <xf numFmtId="0" fontId="7" fillId="0" borderId="18" xfId="0" applyFont="1" applyBorder="1" applyAlignment="1">
      <alignment wrapText="1"/>
    </xf>
    <xf numFmtId="0" fontId="7" fillId="0" borderId="19" xfId="0" applyFont="1" applyBorder="1" applyAlignment="1">
      <alignment wrapText="1"/>
    </xf>
    <xf numFmtId="0" fontId="7" fillId="0" borderId="20" xfId="0" applyFont="1" applyBorder="1" applyAlignment="1">
      <alignment wrapText="1"/>
    </xf>
    <xf numFmtId="3" fontId="0" fillId="0" borderId="0" xfId="0" applyNumberFormat="1"/>
    <xf numFmtId="9" fontId="0" fillId="0" borderId="0" xfId="0" applyNumberFormat="1"/>
    <xf numFmtId="0" fontId="0" fillId="0" borderId="5" xfId="0" applyBorder="1" applyProtection="1">
      <protection locked="0"/>
    </xf>
    <xf numFmtId="0" fontId="0" fillId="0" borderId="5" xfId="0" applyBorder="1" applyAlignment="1" applyProtection="1">
      <alignment horizontal="center" wrapText="1"/>
      <protection locked="0"/>
    </xf>
    <xf numFmtId="0" fontId="0" fillId="0" borderId="5" xfId="0" applyBorder="1" applyAlignment="1" applyProtection="1">
      <alignment wrapText="1"/>
      <protection locked="0"/>
    </xf>
    <xf numFmtId="0" fontId="0" fillId="0" borderId="5" xfId="0" applyBorder="1" applyAlignment="1" applyProtection="1">
      <alignment horizontal="center"/>
      <protection locked="0"/>
    </xf>
    <xf numFmtId="0" fontId="35" fillId="3" borderId="0" xfId="0" applyFont="1" applyFill="1" applyAlignment="1">
      <alignment wrapText="1"/>
    </xf>
    <xf numFmtId="0" fontId="33" fillId="3" borderId="0" xfId="0" applyFont="1" applyFill="1"/>
    <xf numFmtId="3" fontId="7" fillId="0" borderId="18" xfId="52" applyNumberFormat="1" applyFont="1" applyBorder="1" applyAlignment="1">
      <alignment horizontal="right" wrapText="1"/>
    </xf>
    <xf numFmtId="3" fontId="7" fillId="0" borderId="20" xfId="52" applyNumberFormat="1" applyFont="1" applyBorder="1" applyAlignment="1">
      <alignment horizontal="right" wrapText="1"/>
    </xf>
    <xf numFmtId="3" fontId="7" fillId="42" borderId="20" xfId="52" applyNumberFormat="1" applyFont="1" applyFill="1" applyBorder="1" applyAlignment="1">
      <alignment horizontal="right" wrapText="1"/>
    </xf>
    <xf numFmtId="3" fontId="0" fillId="0" borderId="0" xfId="0" applyNumberFormat="1" applyAlignment="1">
      <alignment horizontal="right"/>
    </xf>
    <xf numFmtId="0" fontId="0" fillId="0" borderId="5" xfId="0" applyBorder="1" applyAlignment="1">
      <alignment horizontal="left"/>
    </xf>
    <xf numFmtId="0" fontId="0" fillId="0" borderId="5" xfId="0" applyBorder="1" applyAlignment="1">
      <alignment horizontal="center"/>
    </xf>
    <xf numFmtId="0" fontId="26" fillId="46" borderId="1" xfId="0" applyFont="1" applyFill="1" applyBorder="1" applyAlignment="1">
      <alignment horizontal="center"/>
    </xf>
    <xf numFmtId="3" fontId="26" fillId="46" borderId="1" xfId="0" applyNumberFormat="1" applyFont="1" applyFill="1" applyBorder="1" applyAlignment="1">
      <alignment horizontal="center"/>
    </xf>
    <xf numFmtId="0" fontId="26" fillId="46" borderId="5" xfId="0" applyFont="1" applyFill="1" applyBorder="1" applyAlignment="1" applyProtection="1">
      <alignment horizontal="center"/>
      <protection locked="0"/>
    </xf>
    <xf numFmtId="0" fontId="26" fillId="46" borderId="5" xfId="0" applyFont="1" applyFill="1" applyBorder="1" applyProtection="1">
      <protection locked="0"/>
    </xf>
    <xf numFmtId="0" fontId="0" fillId="0" borderId="22" xfId="0" applyBorder="1" applyAlignment="1" applyProtection="1">
      <alignment horizontal="center"/>
      <protection locked="0"/>
    </xf>
    <xf numFmtId="0" fontId="26" fillId="46" borderId="5" xfId="0" applyFont="1" applyFill="1" applyBorder="1" applyAlignment="1">
      <alignment horizontal="center"/>
    </xf>
    <xf numFmtId="0" fontId="36" fillId="5" borderId="21" xfId="0" applyFont="1" applyFill="1" applyBorder="1" applyAlignment="1">
      <alignment horizontal="center" vertical="top" wrapText="1"/>
    </xf>
    <xf numFmtId="0" fontId="36" fillId="2" borderId="21" xfId="0" applyFont="1" applyFill="1" applyBorder="1" applyAlignment="1">
      <alignment horizontal="center" vertical="top" wrapText="1"/>
    </xf>
    <xf numFmtId="0" fontId="36" fillId="44" borderId="21" xfId="0" applyFont="1" applyFill="1" applyBorder="1" applyAlignment="1">
      <alignment horizontal="center" vertical="top" wrapText="1"/>
    </xf>
    <xf numFmtId="0" fontId="36" fillId="39" borderId="21" xfId="53" applyFont="1" applyFill="1" applyBorder="1" applyAlignment="1">
      <alignment horizontal="center" vertical="top" wrapText="1"/>
    </xf>
    <xf numFmtId="0" fontId="36" fillId="39" borderId="27" xfId="53" applyFont="1" applyFill="1" applyBorder="1" applyAlignment="1">
      <alignment horizontal="center" vertical="top" wrapText="1"/>
    </xf>
    <xf numFmtId="3" fontId="36" fillId="44" borderId="21" xfId="0" applyNumberFormat="1" applyFont="1" applyFill="1" applyBorder="1" applyAlignment="1">
      <alignment horizontal="center" vertical="top" wrapText="1"/>
    </xf>
    <xf numFmtId="172" fontId="7" fillId="3" borderId="0" xfId="0" applyNumberFormat="1" applyFont="1" applyFill="1" applyAlignment="1">
      <alignment horizontal="center"/>
    </xf>
    <xf numFmtId="172" fontId="5" fillId="3" borderId="0" xfId="0" applyNumberFormat="1" applyFont="1" applyFill="1" applyAlignment="1">
      <alignment horizontal="center"/>
    </xf>
    <xf numFmtId="3" fontId="0" fillId="0" borderId="0" xfId="0" applyNumberFormat="1" applyAlignment="1">
      <alignment vertical="top" wrapText="1"/>
    </xf>
    <xf numFmtId="0" fontId="27" fillId="3" borderId="0" xfId="0" applyFont="1" applyFill="1"/>
    <xf numFmtId="0" fontId="27" fillId="3" borderId="0" xfId="0" applyFont="1" applyFill="1" applyAlignment="1">
      <alignment horizontal="left"/>
    </xf>
    <xf numFmtId="0" fontId="36" fillId="2" borderId="29" xfId="0" applyFont="1" applyFill="1" applyBorder="1" applyAlignment="1">
      <alignment horizontal="center" vertical="top" wrapText="1"/>
    </xf>
    <xf numFmtId="168" fontId="7" fillId="3" borderId="0" xfId="0" applyNumberFormat="1" applyFont="1" applyFill="1" applyAlignment="1">
      <alignment horizontal="center"/>
    </xf>
    <xf numFmtId="1" fontId="5" fillId="3" borderId="0" xfId="0" applyNumberFormat="1" applyFont="1" applyFill="1" applyAlignment="1">
      <alignment horizontal="center"/>
    </xf>
    <xf numFmtId="0" fontId="38" fillId="3" borderId="0" xfId="0" applyFont="1" applyFill="1" applyAlignment="1">
      <alignment horizontal="center" vertical="top"/>
    </xf>
    <xf numFmtId="0" fontId="8"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vertical="center"/>
    </xf>
    <xf numFmtId="3" fontId="37" fillId="3" borderId="0" xfId="0" applyNumberFormat="1" applyFont="1" applyFill="1" applyAlignment="1">
      <alignment horizontal="center" vertical="center"/>
    </xf>
    <xf numFmtId="0" fontId="37" fillId="3" borderId="0" xfId="0" applyFont="1" applyFill="1" applyAlignment="1">
      <alignment horizontal="center" vertical="center"/>
    </xf>
    <xf numFmtId="0" fontId="7" fillId="42" borderId="30" xfId="0" applyFont="1" applyFill="1" applyBorder="1" applyAlignment="1">
      <alignment wrapText="1"/>
    </xf>
    <xf numFmtId="0" fontId="7" fillId="42" borderId="31" xfId="0" applyFont="1" applyFill="1" applyBorder="1" applyAlignment="1">
      <alignment wrapText="1"/>
    </xf>
    <xf numFmtId="0" fontId="7" fillId="0" borderId="32" xfId="0" applyFont="1" applyBorder="1" applyAlignment="1">
      <alignment horizontal="center" wrapText="1"/>
    </xf>
    <xf numFmtId="3" fontId="7" fillId="42" borderId="31" xfId="52" applyNumberFormat="1" applyFont="1" applyFill="1" applyBorder="1" applyAlignment="1">
      <alignment horizontal="right" wrapText="1"/>
    </xf>
    <xf numFmtId="0" fontId="36" fillId="39" borderId="28" xfId="53" applyFont="1" applyFill="1" applyBorder="1" applyAlignment="1">
      <alignment horizontal="center" vertical="top" wrapText="1"/>
    </xf>
    <xf numFmtId="0" fontId="36" fillId="45" borderId="21" xfId="0" applyFont="1" applyFill="1" applyBorder="1" applyAlignment="1" applyProtection="1">
      <alignment horizontal="center" vertical="top" wrapText="1"/>
      <protection locked="0"/>
    </xf>
    <xf numFmtId="0" fontId="26" fillId="45" borderId="26" xfId="0" applyFont="1" applyFill="1" applyBorder="1" applyAlignment="1">
      <alignment horizontal="center" vertical="top" wrapText="1"/>
    </xf>
    <xf numFmtId="0" fontId="26" fillId="45" borderId="25" xfId="0" applyFont="1" applyFill="1" applyBorder="1" applyAlignment="1">
      <alignment horizontal="center" vertical="top" wrapText="1"/>
    </xf>
    <xf numFmtId="168" fontId="7" fillId="3" borderId="0" xfId="0" applyNumberFormat="1" applyFont="1" applyFill="1" applyAlignment="1">
      <alignment horizontal="left"/>
    </xf>
    <xf numFmtId="3" fontId="7" fillId="3" borderId="0" xfId="0" applyNumberFormat="1" applyFont="1" applyFill="1" applyAlignment="1">
      <alignment horizontal="left"/>
    </xf>
    <xf numFmtId="1" fontId="7" fillId="3" borderId="0" xfId="0" applyNumberFormat="1" applyFont="1" applyFill="1" applyAlignment="1">
      <alignment horizontal="left"/>
    </xf>
    <xf numFmtId="171" fontId="36" fillId="39" borderId="21" xfId="53" applyNumberFormat="1" applyFont="1" applyFill="1" applyBorder="1" applyAlignment="1">
      <alignment horizontal="center" vertical="top" wrapText="1"/>
    </xf>
    <xf numFmtId="171" fontId="5" fillId="3" borderId="0" xfId="0" applyNumberFormat="1" applyFont="1" applyFill="1" applyAlignment="1">
      <alignment horizontal="center"/>
    </xf>
    <xf numFmtId="171" fontId="7" fillId="3" borderId="0" xfId="0" applyNumberFormat="1" applyFont="1" applyFill="1" applyAlignment="1">
      <alignment horizontal="center"/>
    </xf>
    <xf numFmtId="0" fontId="33" fillId="3" borderId="0" xfId="0" applyFont="1" applyFill="1" applyAlignment="1">
      <alignment horizontal="left"/>
    </xf>
    <xf numFmtId="0" fontId="33" fillId="3" borderId="0" xfId="0" applyFont="1" applyFill="1" applyAlignment="1">
      <alignment horizontal="center"/>
    </xf>
    <xf numFmtId="168" fontId="33" fillId="3" borderId="0" xfId="0" applyNumberFormat="1" applyFont="1" applyFill="1"/>
    <xf numFmtId="0" fontId="5" fillId="3" borderId="0" xfId="0" applyFont="1" applyFill="1" applyAlignment="1">
      <alignment horizontal="center" vertical="top"/>
    </xf>
    <xf numFmtId="0" fontId="27" fillId="3" borderId="0" xfId="0" applyFont="1" applyFill="1" applyAlignment="1">
      <alignment horizontal="center"/>
    </xf>
    <xf numFmtId="3" fontId="33" fillId="3" borderId="0" xfId="0" applyNumberFormat="1" applyFont="1" applyFill="1" applyAlignment="1">
      <alignment horizontal="center"/>
    </xf>
    <xf numFmtId="3" fontId="27" fillId="3" borderId="0" xfId="80" applyNumberFormat="1" applyFont="1" applyFill="1" applyBorder="1" applyAlignment="1">
      <alignment horizontal="center"/>
    </xf>
    <xf numFmtId="3" fontId="27" fillId="3" borderId="0" xfId="0" applyNumberFormat="1" applyFont="1" applyFill="1" applyAlignment="1">
      <alignment horizontal="center"/>
    </xf>
    <xf numFmtId="171" fontId="33" fillId="3" borderId="0" xfId="0" applyNumberFormat="1" applyFont="1" applyFill="1" applyAlignment="1">
      <alignment horizontal="center"/>
    </xf>
    <xf numFmtId="171" fontId="27" fillId="3" borderId="0" xfId="0" applyNumberFormat="1" applyFont="1" applyFill="1" applyAlignment="1">
      <alignment horizontal="center"/>
    </xf>
    <xf numFmtId="0" fontId="41" fillId="5" borderId="21" xfId="0" applyFont="1" applyFill="1" applyBorder="1" applyAlignment="1">
      <alignment horizontal="center" vertical="top" wrapText="1"/>
    </xf>
    <xf numFmtId="0" fontId="41" fillId="44" borderId="21" xfId="0" applyFont="1" applyFill="1" applyBorder="1" applyAlignment="1">
      <alignment horizontal="center" vertical="top" wrapText="1"/>
    </xf>
    <xf numFmtId="3" fontId="41" fillId="44" borderId="21" xfId="0" applyNumberFormat="1" applyFont="1" applyFill="1" applyBorder="1" applyAlignment="1">
      <alignment horizontal="center" vertical="top" wrapText="1"/>
    </xf>
    <xf numFmtId="0" fontId="41" fillId="2" borderId="21" xfId="0" applyFont="1" applyFill="1" applyBorder="1" applyAlignment="1">
      <alignment horizontal="center" vertical="top" wrapText="1"/>
    </xf>
    <xf numFmtId="0" fontId="41" fillId="2" borderId="24" xfId="0" applyFont="1" applyFill="1" applyBorder="1" applyAlignment="1">
      <alignment horizontal="center" vertical="top" wrapText="1"/>
    </xf>
    <xf numFmtId="0" fontId="41" fillId="2" borderId="5" xfId="0" applyFont="1" applyFill="1" applyBorder="1" applyAlignment="1">
      <alignment horizontal="center" vertical="top" wrapText="1"/>
    </xf>
    <xf numFmtId="0" fontId="41" fillId="39" borderId="27" xfId="53" applyFont="1" applyFill="1" applyBorder="1" applyAlignment="1">
      <alignment horizontal="center" vertical="top" wrapText="1"/>
    </xf>
    <xf numFmtId="0" fontId="41" fillId="39" borderId="21" xfId="53" applyFont="1" applyFill="1" applyBorder="1" applyAlignment="1">
      <alignment horizontal="center" vertical="top" wrapText="1"/>
    </xf>
    <xf numFmtId="168" fontId="31" fillId="47" borderId="25" xfId="0" applyNumberFormat="1" applyFont="1" applyFill="1" applyBorder="1" applyAlignment="1">
      <alignment horizontal="center" vertical="top" wrapText="1"/>
    </xf>
    <xf numFmtId="0" fontId="31" fillId="3" borderId="0" xfId="0" applyFont="1" applyFill="1" applyAlignment="1">
      <alignment wrapText="1"/>
    </xf>
    <xf numFmtId="49" fontId="7" fillId="3" borderId="0" xfId="0" applyNumberFormat="1" applyFont="1" applyFill="1" applyAlignment="1">
      <alignment horizontal="center"/>
    </xf>
    <xf numFmtId="168" fontId="31" fillId="48" borderId="25" xfId="0" applyNumberFormat="1" applyFont="1" applyFill="1" applyBorder="1" applyAlignment="1">
      <alignment horizontal="center" vertical="top" wrapText="1"/>
    </xf>
    <xf numFmtId="0" fontId="26" fillId="46" borderId="34" xfId="0" applyFont="1" applyFill="1" applyBorder="1" applyAlignment="1" applyProtection="1">
      <alignment horizontal="center" vertical="center" wrapText="1"/>
      <protection locked="0"/>
    </xf>
    <xf numFmtId="0" fontId="0" fillId="0" borderId="29" xfId="0" applyBorder="1" applyAlignment="1">
      <alignment horizontal="center" vertical="center" wrapText="1"/>
    </xf>
    <xf numFmtId="0" fontId="26" fillId="46" borderId="0" xfId="0" applyFont="1" applyFill="1" applyAlignment="1" applyProtection="1">
      <alignment horizontal="center" vertical="center" wrapText="1"/>
      <protection locked="0"/>
    </xf>
    <xf numFmtId="0" fontId="0" fillId="0" borderId="33" xfId="0" applyBorder="1" applyAlignment="1">
      <alignment horizontal="center" vertical="center" wrapText="1"/>
    </xf>
    <xf numFmtId="0" fontId="0" fillId="0" borderId="23" xfId="0" applyBorder="1" applyAlignment="1" applyProtection="1">
      <alignment horizontal="center" vertical="center" wrapText="1"/>
      <protection locked="0"/>
    </xf>
    <xf numFmtId="0" fontId="31" fillId="49" borderId="25" xfId="53" applyFont="1" applyFill="1" applyBorder="1" applyAlignment="1">
      <alignment horizontal="center" vertical="top" wrapText="1"/>
    </xf>
    <xf numFmtId="168" fontId="31" fillId="50" borderId="25" xfId="0" applyNumberFormat="1" applyFont="1" applyFill="1" applyBorder="1" applyAlignment="1">
      <alignment horizontal="center" vertical="top" wrapText="1"/>
    </xf>
    <xf numFmtId="1" fontId="41" fillId="44" borderId="21" xfId="0" applyNumberFormat="1" applyFont="1" applyFill="1" applyBorder="1" applyAlignment="1">
      <alignment horizontal="center" vertical="top" wrapText="1"/>
    </xf>
    <xf numFmtId="1" fontId="5" fillId="3" borderId="0" xfId="0" applyNumberFormat="1" applyFont="1" applyFill="1" applyAlignment="1">
      <alignment horizontal="left"/>
    </xf>
    <xf numFmtId="171" fontId="42" fillId="39" borderId="21" xfId="53" applyNumberFormat="1" applyFont="1" applyFill="1" applyBorder="1" applyAlignment="1">
      <alignment horizontal="center" vertical="top" wrapText="1"/>
    </xf>
    <xf numFmtId="173" fontId="0" fillId="0" borderId="0" xfId="0" applyNumberFormat="1"/>
    <xf numFmtId="173" fontId="0" fillId="0" borderId="0" xfId="0" applyNumberFormat="1" applyAlignment="1">
      <alignment vertical="top" wrapText="1"/>
    </xf>
    <xf numFmtId="0" fontId="36" fillId="5" borderId="21" xfId="0" applyFont="1" applyFill="1" applyBorder="1" applyAlignment="1">
      <alignment vertical="top" wrapText="1"/>
    </xf>
    <xf numFmtId="168" fontId="31" fillId="4" borderId="25" xfId="0" applyNumberFormat="1" applyFont="1" applyFill="1" applyBorder="1" applyAlignment="1">
      <alignment horizontal="center" vertical="top" wrapText="1"/>
    </xf>
    <xf numFmtId="172" fontId="31" fillId="48" borderId="25" xfId="0" applyNumberFormat="1" applyFont="1" applyFill="1" applyBorder="1" applyAlignment="1">
      <alignment horizontal="center" vertical="top" wrapText="1"/>
    </xf>
    <xf numFmtId="168" fontId="31" fillId="6" borderId="25" xfId="0" applyNumberFormat="1" applyFont="1" applyFill="1" applyBorder="1" applyAlignment="1">
      <alignment horizontal="center" vertical="top" wrapText="1"/>
    </xf>
    <xf numFmtId="168" fontId="7" fillId="6" borderId="0" xfId="0" applyNumberFormat="1" applyFont="1" applyFill="1" applyAlignment="1">
      <alignment horizontal="center"/>
    </xf>
    <xf numFmtId="0" fontId="0" fillId="3" borderId="5" xfId="0" applyFill="1" applyBorder="1" applyAlignment="1">
      <alignment horizontal="center"/>
    </xf>
    <xf numFmtId="0" fontId="0" fillId="3" borderId="0" xfId="0" applyFill="1"/>
    <xf numFmtId="0" fontId="0" fillId="51" borderId="16" xfId="0" applyFill="1" applyBorder="1"/>
    <xf numFmtId="0" fontId="0" fillId="51" borderId="0" xfId="0" applyFill="1"/>
    <xf numFmtId="0" fontId="0" fillId="3" borderId="16" xfId="0" applyFill="1" applyBorder="1"/>
    <xf numFmtId="0" fontId="29" fillId="40" borderId="16" xfId="0" applyFont="1" applyFill="1" applyBorder="1" applyAlignment="1">
      <alignment horizontal="center"/>
    </xf>
    <xf numFmtId="0" fontId="29" fillId="40" borderId="16" xfId="0" applyFont="1" applyFill="1" applyBorder="1" applyAlignment="1">
      <alignment horizontal="left"/>
    </xf>
    <xf numFmtId="0" fontId="0" fillId="3" borderId="0" xfId="0" applyFill="1" applyAlignment="1">
      <alignment horizontal="left"/>
    </xf>
    <xf numFmtId="0" fontId="0" fillId="3" borderId="0" xfId="0" applyFill="1" applyAlignment="1">
      <alignment horizontal="center"/>
    </xf>
    <xf numFmtId="0" fontId="5" fillId="4" borderId="0" xfId="0" applyFont="1" applyFill="1" applyAlignment="1">
      <alignment horizontal="center"/>
    </xf>
    <xf numFmtId="0" fontId="0" fillId="52" borderId="0" xfId="0" applyFill="1" applyAlignment="1">
      <alignment horizontal="center"/>
    </xf>
    <xf numFmtId="0" fontId="0" fillId="52" borderId="0" xfId="0" applyFill="1"/>
    <xf numFmtId="0" fontId="33" fillId="3" borderId="0" xfId="0" applyFont="1" applyFill="1" applyAlignment="1">
      <alignment horizontal="left" wrapText="1"/>
    </xf>
    <xf numFmtId="0" fontId="0" fillId="52" borderId="0" xfId="0" applyFill="1" applyAlignment="1">
      <alignment horizontal="left"/>
    </xf>
    <xf numFmtId="1" fontId="33" fillId="3" borderId="0" xfId="0" applyNumberFormat="1" applyFont="1" applyFill="1"/>
    <xf numFmtId="0" fontId="33" fillId="3" borderId="0" xfId="0" applyFont="1" applyFill="1" applyAlignment="1">
      <alignment wrapText="1"/>
    </xf>
    <xf numFmtId="3" fontId="39" fillId="3" borderId="0" xfId="286" applyNumberFormat="1" applyFont="1" applyFill="1" applyAlignment="1">
      <alignment horizontal="center" vertical="top" wrapText="1"/>
    </xf>
    <xf numFmtId="0" fontId="39" fillId="3" borderId="0" xfId="286" applyFont="1" applyFill="1" applyAlignment="1">
      <alignment vertical="top"/>
    </xf>
    <xf numFmtId="0" fontId="39" fillId="3" borderId="0" xfId="286" applyFont="1" applyFill="1" applyAlignment="1">
      <alignment horizontal="left" vertical="top" wrapText="1"/>
    </xf>
    <xf numFmtId="0" fontId="39" fillId="3" borderId="0" xfId="286" applyFont="1" applyFill="1" applyAlignment="1">
      <alignment horizontal="center" vertical="top"/>
    </xf>
    <xf numFmtId="0" fontId="39" fillId="3" borderId="0" xfId="286" applyFont="1" applyFill="1" applyAlignment="1">
      <alignment vertical="top" wrapText="1"/>
    </xf>
    <xf numFmtId="0" fontId="39" fillId="3" borderId="0" xfId="286" applyFont="1" applyFill="1" applyAlignment="1">
      <alignment horizontal="center" vertical="top" wrapText="1"/>
    </xf>
    <xf numFmtId="0" fontId="39" fillId="3" borderId="0" xfId="286" applyFont="1" applyFill="1" applyAlignment="1">
      <alignment horizontal="left" vertical="top"/>
    </xf>
    <xf numFmtId="3" fontId="39" fillId="3" borderId="0" xfId="286" applyNumberFormat="1" applyFont="1" applyFill="1" applyAlignment="1">
      <alignment vertical="top" wrapText="1"/>
    </xf>
    <xf numFmtId="171" fontId="39" fillId="3" borderId="0" xfId="286" applyNumberFormat="1" applyFont="1" applyFill="1" applyAlignment="1">
      <alignment horizontal="center" vertical="top" wrapText="1"/>
    </xf>
    <xf numFmtId="0" fontId="8" fillId="0" borderId="0" xfId="0" applyFont="1" applyAlignment="1">
      <alignment vertical="top"/>
    </xf>
    <xf numFmtId="0" fontId="8" fillId="3" borderId="0" xfId="287" applyFill="1" applyAlignment="1">
      <alignment vertical="top"/>
    </xf>
    <xf numFmtId="0" fontId="8" fillId="3" borderId="0" xfId="287" applyFill="1" applyAlignment="1">
      <alignment horizontal="center" vertical="top"/>
    </xf>
    <xf numFmtId="0" fontId="8" fillId="3" borderId="0" xfId="286" applyFont="1" applyFill="1" applyAlignment="1">
      <alignment vertical="top"/>
    </xf>
    <xf numFmtId="0" fontId="8" fillId="0" borderId="0" xfId="0" applyFont="1" applyAlignment="1">
      <alignment horizontal="center" vertical="top"/>
    </xf>
    <xf numFmtId="0" fontId="8" fillId="3" borderId="0" xfId="286" applyFont="1" applyFill="1" applyAlignment="1">
      <alignment horizontal="center" vertical="top"/>
    </xf>
    <xf numFmtId="0" fontId="8" fillId="3" borderId="0" xfId="0" applyFont="1" applyFill="1" applyAlignment="1">
      <alignment horizontal="left" vertical="top"/>
    </xf>
    <xf numFmtId="0" fontId="8" fillId="3" borderId="0" xfId="286" applyFont="1" applyFill="1" applyAlignment="1">
      <alignment horizontal="left" vertical="top"/>
    </xf>
    <xf numFmtId="0" fontId="8" fillId="0" borderId="0" xfId="0" applyFont="1" applyAlignment="1">
      <alignment horizontal="left" vertical="top"/>
    </xf>
    <xf numFmtId="3" fontId="8" fillId="3" borderId="0" xfId="286" applyNumberFormat="1" applyFont="1" applyFill="1" applyAlignment="1">
      <alignment horizontal="center" vertical="top"/>
    </xf>
    <xf numFmtId="0" fontId="1" fillId="3" borderId="0" xfId="0" applyFont="1" applyFill="1" applyAlignment="1">
      <alignment vertical="top"/>
    </xf>
    <xf numFmtId="0" fontId="1" fillId="3" borderId="0" xfId="0" applyFont="1" applyFill="1" applyAlignment="1">
      <alignment horizontal="center" vertical="top"/>
    </xf>
    <xf numFmtId="0" fontId="1" fillId="3" borderId="0" xfId="0" applyFont="1" applyFill="1" applyAlignment="1">
      <alignment horizontal="left" vertical="top"/>
    </xf>
    <xf numFmtId="0" fontId="8" fillId="3" borderId="0" xfId="0" applyFont="1" applyFill="1" applyAlignment="1">
      <alignment horizontal="center" vertical="top"/>
    </xf>
    <xf numFmtId="0" fontId="8" fillId="3" borderId="0" xfId="287" applyFill="1" applyAlignment="1">
      <alignment vertical="top" wrapText="1"/>
    </xf>
    <xf numFmtId="0" fontId="8" fillId="0" borderId="0" xfId="287"/>
    <xf numFmtId="0" fontId="8" fillId="0" borderId="0" xfId="287" applyAlignment="1">
      <alignment horizontal="center"/>
    </xf>
    <xf numFmtId="0" fontId="8" fillId="3" borderId="0" xfId="287" applyFill="1" applyAlignment="1">
      <alignment horizontal="left" vertical="top"/>
    </xf>
    <xf numFmtId="0" fontId="40" fillId="3" borderId="0" xfId="287" applyFont="1" applyFill="1" applyAlignment="1">
      <alignment vertical="top"/>
    </xf>
    <xf numFmtId="0" fontId="40" fillId="3" borderId="0" xfId="287" applyFont="1" applyFill="1" applyAlignment="1">
      <alignment horizontal="center" vertical="top"/>
    </xf>
    <xf numFmtId="0" fontId="8" fillId="3" borderId="0" xfId="287" applyFill="1"/>
    <xf numFmtId="0" fontId="8" fillId="3" borderId="0" xfId="287" applyFill="1" applyAlignment="1">
      <alignment horizontal="center"/>
    </xf>
    <xf numFmtId="3" fontId="8" fillId="3" borderId="0" xfId="286" applyNumberFormat="1" applyFont="1" applyFill="1" applyAlignment="1">
      <alignment horizontal="left" vertical="top"/>
    </xf>
    <xf numFmtId="171" fontId="8" fillId="3" borderId="0" xfId="286" applyNumberFormat="1" applyFont="1" applyFill="1" applyAlignment="1">
      <alignment horizontal="center" vertical="top"/>
    </xf>
    <xf numFmtId="0" fontId="8" fillId="4" borderId="0" xfId="286" applyFont="1" applyFill="1" applyAlignment="1">
      <alignment horizontal="center" vertical="top"/>
    </xf>
    <xf numFmtId="0" fontId="39" fillId="4" borderId="0" xfId="286" applyFont="1" applyFill="1" applyAlignment="1">
      <alignment horizontal="center" vertical="top" wrapText="1"/>
    </xf>
    <xf numFmtId="0" fontId="8" fillId="4" borderId="0" xfId="0" applyFont="1" applyFill="1" applyAlignment="1">
      <alignment horizontal="center" vertical="top"/>
    </xf>
    <xf numFmtId="0" fontId="37" fillId="4" borderId="0" xfId="0" applyFont="1" applyFill="1" applyAlignment="1">
      <alignment horizontal="center" vertical="center"/>
    </xf>
    <xf numFmtId="3" fontId="33" fillId="3" borderId="0" xfId="80" applyNumberFormat="1" applyFont="1" applyFill="1" applyBorder="1" applyAlignment="1">
      <alignment horizontal="center"/>
    </xf>
    <xf numFmtId="0" fontId="44" fillId="0" borderId="0" xfId="0" applyFont="1"/>
    <xf numFmtId="0" fontId="0" fillId="0" borderId="0" xfId="0" applyAlignment="1">
      <alignment wrapText="1"/>
    </xf>
    <xf numFmtId="0" fontId="0" fillId="4" borderId="0" xfId="0" applyFill="1"/>
    <xf numFmtId="0" fontId="8" fillId="0" borderId="0" xfId="0" applyFont="1" applyAlignment="1">
      <alignment horizontal="left" vertical="center"/>
    </xf>
    <xf numFmtId="3" fontId="7" fillId="4" borderId="0" xfId="0" applyNumberFormat="1" applyFont="1" applyFill="1" applyAlignment="1">
      <alignment horizontal="center"/>
    </xf>
    <xf numFmtId="0" fontId="41" fillId="53" borderId="21" xfId="0" applyFont="1" applyFill="1" applyBorder="1" applyAlignment="1">
      <alignment horizontal="center" vertical="top" wrapText="1"/>
    </xf>
    <xf numFmtId="0" fontId="33" fillId="3" borderId="0" xfId="0" applyFont="1" applyFill="1" applyAlignment="1">
      <alignment horizontal="center" vertical="top"/>
    </xf>
    <xf numFmtId="0" fontId="33" fillId="4" borderId="0" xfId="0" applyFont="1" applyFill="1"/>
    <xf numFmtId="0" fontId="33" fillId="4" borderId="0" xfId="0" applyFont="1" applyFill="1" applyAlignment="1">
      <alignment horizontal="center"/>
    </xf>
    <xf numFmtId="0" fontId="26" fillId="46" borderId="2" xfId="0" applyFont="1" applyFill="1" applyBorder="1" applyAlignment="1">
      <alignment horizontal="center"/>
    </xf>
    <xf numFmtId="0" fontId="26" fillId="46" borderId="3" xfId="0" applyFont="1" applyFill="1" applyBorder="1" applyAlignment="1">
      <alignment horizontal="center"/>
    </xf>
    <xf numFmtId="0" fontId="26" fillId="46" borderId="4" xfId="0" applyFont="1" applyFill="1" applyBorder="1" applyAlignment="1">
      <alignment horizontal="center"/>
    </xf>
    <xf numFmtId="0" fontId="26" fillId="46" borderId="5" xfId="0" applyFont="1" applyFill="1" applyBorder="1" applyAlignment="1" applyProtection="1">
      <alignment horizontal="center" vertical="center" wrapText="1"/>
      <protection locked="0"/>
    </xf>
    <xf numFmtId="0" fontId="26" fillId="46" borderId="5" xfId="0" applyFont="1" applyFill="1" applyBorder="1" applyAlignment="1" applyProtection="1">
      <alignment horizontal="center"/>
      <protection locked="0"/>
    </xf>
    <xf numFmtId="0" fontId="0" fillId="0" borderId="5" xfId="0" applyBorder="1"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0" fillId="0" borderId="5" xfId="0" applyBorder="1" applyAlignment="1" applyProtection="1">
      <alignment horizontal="left" vertical="center"/>
      <protection locked="0"/>
    </xf>
    <xf numFmtId="0" fontId="0" fillId="0" borderId="5" xfId="0" applyBorder="1" applyAlignment="1">
      <alignment horizontal="center" vertical="center" wrapText="1"/>
    </xf>
    <xf numFmtId="0" fontId="0" fillId="0" borderId="5" xfId="0" applyBorder="1" applyAlignment="1" applyProtection="1">
      <alignment horizontal="left" vertical="center" wrapText="1"/>
      <protection locked="0"/>
    </xf>
    <xf numFmtId="0" fontId="0" fillId="0" borderId="22" xfId="0" applyBorder="1" applyAlignment="1" applyProtection="1">
      <alignment horizontal="center" vertical="center"/>
      <protection locked="0"/>
    </xf>
  </cellXfs>
  <cellStyles count="288">
    <cellStyle name="20% - Énfasis1" xfId="100" builtinId="30" customBuiltin="1"/>
    <cellStyle name="20% - Énfasis2" xfId="104" builtinId="34" customBuiltin="1"/>
    <cellStyle name="20% - Énfasis3" xfId="108" builtinId="38" customBuiltin="1"/>
    <cellStyle name="20% - Énfasis4" xfId="112" builtinId="42" customBuiltin="1"/>
    <cellStyle name="20% - Énfasis5" xfId="116" builtinId="46" customBuiltin="1"/>
    <cellStyle name="20% - Énfasis6" xfId="120" builtinId="50" customBuiltin="1"/>
    <cellStyle name="40% - Énfasis1" xfId="101" builtinId="31" customBuiltin="1"/>
    <cellStyle name="40% - Énfasis2" xfId="105" builtinId="35" customBuiltin="1"/>
    <cellStyle name="40% - Énfasis3" xfId="109" builtinId="39" customBuiltin="1"/>
    <cellStyle name="40% - Énfasis4" xfId="113" builtinId="43" customBuiltin="1"/>
    <cellStyle name="40% - Énfasis5" xfId="117" builtinId="47" customBuiltin="1"/>
    <cellStyle name="40% - Énfasis6" xfId="121" builtinId="51" customBuiltin="1"/>
    <cellStyle name="60% - Énfasis1" xfId="102" builtinId="32" customBuiltin="1"/>
    <cellStyle name="60% - Énfasis2" xfId="106" builtinId="36" customBuiltin="1"/>
    <cellStyle name="60% - Énfasis3" xfId="110" builtinId="40" customBuiltin="1"/>
    <cellStyle name="60% - Énfasis4" xfId="114" builtinId="44" customBuiltin="1"/>
    <cellStyle name="60% - Énfasis5" xfId="118" builtinId="48" customBuiltin="1"/>
    <cellStyle name="60% - Énfasis6" xfId="122" builtinId="52" customBuiltin="1"/>
    <cellStyle name="Bueno" xfId="87" builtinId="26" customBuiltin="1"/>
    <cellStyle name="Cálculo" xfId="92" builtinId="22" customBuiltin="1"/>
    <cellStyle name="Celda de comprobación" xfId="94" builtinId="23" customBuiltin="1"/>
    <cellStyle name="Celda vinculada" xfId="93" builtinId="24" customBuiltin="1"/>
    <cellStyle name="Encabezado 1" xfId="83" builtinId="16" customBuiltin="1"/>
    <cellStyle name="Encabezado 4" xfId="86" builtinId="19" customBuiltin="1"/>
    <cellStyle name="Énfasis1" xfId="99" builtinId="29" customBuiltin="1"/>
    <cellStyle name="Énfasis2" xfId="103" builtinId="33" customBuiltin="1"/>
    <cellStyle name="Énfasis3" xfId="107" builtinId="37" customBuiltin="1"/>
    <cellStyle name="Énfasis4" xfId="111" builtinId="41" customBuiltin="1"/>
    <cellStyle name="Énfasis5" xfId="115" builtinId="45" customBuiltin="1"/>
    <cellStyle name="Énfasis6" xfId="119" builtinId="49" customBuiltin="1"/>
    <cellStyle name="Entrada" xfId="90" builtinId="20" customBuiltin="1"/>
    <cellStyle name="Incorrecto" xfId="88" builtinId="27" customBuiltin="1"/>
    <cellStyle name="Millares [0]" xfId="52" builtinId="6"/>
    <cellStyle name="Millares [0] 2" xfId="55" xr:uid="{FED6039D-7CBF-46D5-807D-BDCE9CF18197}"/>
    <cellStyle name="Millares [0] 3" xfId="79" xr:uid="{358425A1-D328-4EF2-A805-FBFD1DE548E9}"/>
    <cellStyle name="Millares 2" xfId="6" xr:uid="{00000000-0005-0000-0000-000000000000}"/>
    <cellStyle name="Millares 2 2" xfId="10" xr:uid="{00000000-0005-0000-0000-000001000000}"/>
    <cellStyle name="Millares 2 2 2" xfId="37" xr:uid="{00000000-0005-0000-0000-000002000000}"/>
    <cellStyle name="Millares 2 2 2 2" xfId="50" xr:uid="{00000000-0005-0000-0000-000003000000}"/>
    <cellStyle name="Millares 2 2 2 2 2" xfId="78" xr:uid="{A9754F17-D202-47FD-8543-B1D0DE7DC8EE}"/>
    <cellStyle name="Millares 2 2 2 3" xfId="65" xr:uid="{C50C6A22-DAA0-46FA-A74E-A9030D39CFD5}"/>
    <cellStyle name="Millares 2 2 3" xfId="43" xr:uid="{00000000-0005-0000-0000-000004000000}"/>
    <cellStyle name="Millares 2 2 3 2" xfId="71" xr:uid="{6414DB1B-2DCC-4917-B343-2C4D045DB417}"/>
    <cellStyle name="Millares 2 2 4" xfId="58" xr:uid="{6AC2B3EA-AA57-4447-9277-C18D224CEFDA}"/>
    <cellStyle name="Millares 2 3" xfId="34" xr:uid="{00000000-0005-0000-0000-000005000000}"/>
    <cellStyle name="Millares 2 3 2" xfId="47" xr:uid="{00000000-0005-0000-0000-000006000000}"/>
    <cellStyle name="Millares 2 3 2 2" xfId="75" xr:uid="{FEC928B0-BD91-48A5-94B2-301A4E2E6A83}"/>
    <cellStyle name="Millares 2 3 3" xfId="62" xr:uid="{EFE8FCAC-7E67-4C69-8623-35CE677E2F61}"/>
    <cellStyle name="Millares 2 4" xfId="40" xr:uid="{00000000-0005-0000-0000-000007000000}"/>
    <cellStyle name="Millares 2 4 2" xfId="68" xr:uid="{1A9E4585-812E-4F72-88C6-0614643184F0}"/>
    <cellStyle name="Millares 2 5" xfId="56" xr:uid="{C1772B29-E7A5-4659-A01B-5A9D4E308EAA}"/>
    <cellStyle name="Millares 3" xfId="31" xr:uid="{00000000-0005-0000-0000-000008000000}"/>
    <cellStyle name="Millares 3 2" xfId="45" xr:uid="{00000000-0005-0000-0000-000009000000}"/>
    <cellStyle name="Millares 3 2 2" xfId="73" xr:uid="{F5B8F07B-B064-491F-A2A8-C4DF0D22243A}"/>
    <cellStyle name="Millares 3 3" xfId="60" xr:uid="{1F767151-BFAE-45E8-AF7F-8565861B5ABE}"/>
    <cellStyle name="Millares 4" xfId="38" xr:uid="{00000000-0005-0000-0000-00000A000000}"/>
    <cellStyle name="Millares 4 2" xfId="66" xr:uid="{BC2FEEED-0D54-4533-B347-DE4DA1CC9DE3}"/>
    <cellStyle name="Moneda [0]" xfId="80" builtinId="7"/>
    <cellStyle name="Moneda [0] 2" xfId="9" xr:uid="{00000000-0005-0000-0000-00000C000000}"/>
    <cellStyle name="Moneda [0] 2 2" xfId="127" xr:uid="{2B6B4652-A4A7-4A41-B8C6-134506FE4FA4}"/>
    <cellStyle name="Moneda [0] 2 2 2" xfId="174" xr:uid="{69C44CBA-6881-4DD4-B441-289D56393615}"/>
    <cellStyle name="Moneda [0] 2 2 2 2" xfId="266" xr:uid="{6E8F2C82-999D-4E82-8DB0-E535017C13B4}"/>
    <cellStyle name="Moneda [0] 2 2 3" xfId="220" xr:uid="{AD98137B-52EC-4B08-9DA1-C57813235B40}"/>
    <cellStyle name="Moneda [0] 2 3" xfId="149" xr:uid="{AD72BE61-811A-48D5-BE8F-070201980DD3}"/>
    <cellStyle name="Moneda [0] 2 3 2" xfId="241" xr:uid="{8DBD6A1A-091A-4A7D-B6DE-3BEC0256A641}"/>
    <cellStyle name="Moneda [0] 2 4" xfId="195" xr:uid="{1F2AFB9A-B439-4DD2-B04B-30F7735AF4D6}"/>
    <cellStyle name="Moneda [0] 3" xfId="36" xr:uid="{00000000-0005-0000-0000-00000D000000}"/>
    <cellStyle name="Moneda [0] 3 2" xfId="49" xr:uid="{00000000-0005-0000-0000-00000E000000}"/>
    <cellStyle name="Moneda [0] 3 2 2" xfId="77" xr:uid="{881859EB-6B1C-4DBD-A415-BB8E7BC54E07}"/>
    <cellStyle name="Moneda [0] 3 3" xfId="64" xr:uid="{2FE016AA-4094-41E8-A4EB-817F95875B82}"/>
    <cellStyle name="Moneda [0] 4" xfId="42" xr:uid="{00000000-0005-0000-0000-00000F000000}"/>
    <cellStyle name="Moneda [0] 4 2" xfId="70" xr:uid="{DD2EFD11-AE80-4EC5-98BA-C5B5B81298AA}"/>
    <cellStyle name="Moneda [0] 5" xfId="81" xr:uid="{0A7BA0E7-7984-4D46-A4C3-A68FA6EF4638}"/>
    <cellStyle name="Moneda [0] 5 2" xfId="147" xr:uid="{B866ECE5-A7AE-429D-B6A4-8CB73041F94E}"/>
    <cellStyle name="Moneda [0] 5 2 2" xfId="193" xr:uid="{F01BF54F-F713-414E-A8F0-517C2A32E33E}"/>
    <cellStyle name="Moneda [0] 5 2 2 2" xfId="285" xr:uid="{1ECCB6E3-D376-4B32-B42A-35DCC7391EE1}"/>
    <cellStyle name="Moneda [0] 5 2 3" xfId="239" xr:uid="{4FADD063-9AAE-40D6-8657-CDB99293D065}"/>
    <cellStyle name="Moneda [0] 5 3" xfId="170" xr:uid="{6B93318D-7ED7-48B3-995C-643C5446116A}"/>
    <cellStyle name="Moneda [0] 5 3 2" xfId="262" xr:uid="{5ED50CC0-8A37-4655-89E5-327CFEE48153}"/>
    <cellStyle name="Moneda [0] 5 4" xfId="216" xr:uid="{79AA438A-4480-4C48-A678-AB21DD327D15}"/>
    <cellStyle name="Moneda [0] 6" xfId="146" xr:uid="{72E75AF8-8871-45DB-B4FB-3AB70F2E30B5}"/>
    <cellStyle name="Moneda [0] 6 2" xfId="192" xr:uid="{47C88267-95E9-4C3D-A5E7-1FAE0F641590}"/>
    <cellStyle name="Moneda [0] 6 2 2" xfId="284" xr:uid="{8BAEF75B-28A7-47FA-8B2E-7881085E770D}"/>
    <cellStyle name="Moneda [0] 6 3" xfId="238" xr:uid="{36DE1CAF-59BB-4286-8BD2-9E31A8F23FA2}"/>
    <cellStyle name="Moneda [0] 7" xfId="169" xr:uid="{D6838F95-5E59-49F2-A7B6-2102D8C0DACD}"/>
    <cellStyle name="Moneda [0] 7 2" xfId="261" xr:uid="{6DAF4499-F852-4B6B-8FF4-D2927A00C8FF}"/>
    <cellStyle name="Moneda [0] 8" xfId="215" xr:uid="{3695144D-A5B8-4A6F-8922-B30E2B5C0DD8}"/>
    <cellStyle name="Moneda 10" xfId="18" xr:uid="{00000000-0005-0000-0000-000010000000}"/>
    <cellStyle name="Moneda 10 2" xfId="145" xr:uid="{876BBD17-83A7-4958-8C1D-CF57EB3991CE}"/>
    <cellStyle name="Moneda 10 2 2" xfId="191" xr:uid="{27C4407D-28D8-4228-BBFA-1080868F2D7F}"/>
    <cellStyle name="Moneda 10 2 2 2" xfId="283" xr:uid="{0ED2B8AB-53CA-4F46-AFC7-F8069F9A91BE}"/>
    <cellStyle name="Moneda 10 2 3" xfId="237" xr:uid="{8AA68050-2E4A-40D3-8558-D4D79D99254C}"/>
    <cellStyle name="Moneda 10 3" xfId="157" xr:uid="{D29A63D5-7E0D-4468-9773-3F1D2E035D78}"/>
    <cellStyle name="Moneda 10 3 2" xfId="249" xr:uid="{85E8D40D-E881-444E-AC0C-E2FE13AF6CD2}"/>
    <cellStyle name="Moneda 10 4" xfId="203" xr:uid="{581915ED-6C8E-416E-8430-9B4FB000E477}"/>
    <cellStyle name="Moneda 11" xfId="19" xr:uid="{00000000-0005-0000-0000-000011000000}"/>
    <cellStyle name="Moneda 11 2" xfId="138" xr:uid="{F5520B34-E627-4D16-A56D-4FCD4FF3A19D}"/>
    <cellStyle name="Moneda 11 2 2" xfId="185" xr:uid="{45B81840-673A-4F3E-9825-40B846C1D766}"/>
    <cellStyle name="Moneda 11 2 2 2" xfId="277" xr:uid="{8E7951B9-F16D-41F4-8A55-E5E0E0C648A7}"/>
    <cellStyle name="Moneda 11 2 3" xfId="231" xr:uid="{59135FF1-193E-4F0F-97B4-D5D657E692EB}"/>
    <cellStyle name="Moneda 11 3" xfId="158" xr:uid="{A4AC742E-191F-45D9-A82A-84D89A023C09}"/>
    <cellStyle name="Moneda 11 3 2" xfId="250" xr:uid="{776CCDE7-D5B6-462C-A82F-6DA4F8DC4CFD}"/>
    <cellStyle name="Moneda 11 4" xfId="204" xr:uid="{AF03E779-24CF-4305-B1B2-AD3FC9FB69C2}"/>
    <cellStyle name="Moneda 12" xfId="20" xr:uid="{00000000-0005-0000-0000-000012000000}"/>
    <cellStyle name="Moneda 12 2" xfId="144" xr:uid="{7B174FD1-9B45-468D-9FB8-CB406E4AF119}"/>
    <cellStyle name="Moneda 12 2 2" xfId="190" xr:uid="{13196920-8518-41AF-B6A0-3CBD93D1645A}"/>
    <cellStyle name="Moneda 12 2 2 2" xfId="282" xr:uid="{811AF6FC-135D-4691-8636-C9ECC723F2CD}"/>
    <cellStyle name="Moneda 12 2 3" xfId="236" xr:uid="{524E1007-4A3A-46B9-AC71-F51273DF94D6}"/>
    <cellStyle name="Moneda 12 3" xfId="159" xr:uid="{E74228C1-7228-4E6C-B98D-04F252505CDC}"/>
    <cellStyle name="Moneda 12 3 2" xfId="251" xr:uid="{F13F700C-E344-4D3B-8B95-6D0E7D4C48DD}"/>
    <cellStyle name="Moneda 12 4" xfId="205" xr:uid="{12D608D0-A30A-4709-9413-6481064E3124}"/>
    <cellStyle name="Moneda 13" xfId="21" xr:uid="{00000000-0005-0000-0000-000013000000}"/>
    <cellStyle name="Moneda 13 2" xfId="123" xr:uid="{AFDCA095-5758-45B5-BBA8-23B83612D231}"/>
    <cellStyle name="Moneda 13 2 2" xfId="171" xr:uid="{56E09E0A-3B69-46AE-8813-CFEEA5E32EB2}"/>
    <cellStyle name="Moneda 13 2 2 2" xfId="263" xr:uid="{09A71DE4-821B-4908-8A23-F1725E5DC395}"/>
    <cellStyle name="Moneda 13 2 3" xfId="217" xr:uid="{CBC7E070-93BD-4FC9-98BD-E49C7B24D3DD}"/>
    <cellStyle name="Moneda 13 3" xfId="160" xr:uid="{673E9972-77D9-48D5-9A91-BDBD37AD02A6}"/>
    <cellStyle name="Moneda 13 3 2" xfId="252" xr:uid="{B87355FB-587C-40F3-91BD-705CD459CF5C}"/>
    <cellStyle name="Moneda 13 4" xfId="206" xr:uid="{538258D9-4CC3-4A61-9ADE-EFBDF5F14695}"/>
    <cellStyle name="Moneda 14" xfId="22" xr:uid="{00000000-0005-0000-0000-000014000000}"/>
    <cellStyle name="Moneda 14 2" xfId="136" xr:uid="{0AFC5387-A903-4F59-9FD7-2ED998FD1A80}"/>
    <cellStyle name="Moneda 14 2 2" xfId="183" xr:uid="{A2129F89-8A06-4CFB-B147-5D103945704B}"/>
    <cellStyle name="Moneda 14 2 2 2" xfId="275" xr:uid="{4707BAED-7E2F-481F-847D-04AE37811677}"/>
    <cellStyle name="Moneda 14 2 3" xfId="229" xr:uid="{C89A9C9B-9B76-47A2-B464-E38718786008}"/>
    <cellStyle name="Moneda 14 3" xfId="161" xr:uid="{C32C73AB-DE14-45CB-BD70-D29744A37F11}"/>
    <cellStyle name="Moneda 14 3 2" xfId="253" xr:uid="{3FE90685-57A6-4193-B7E9-4A74DE3AE994}"/>
    <cellStyle name="Moneda 14 4" xfId="207" xr:uid="{30AA1F24-9C04-4F53-AAF3-CE2E725CCAD0}"/>
    <cellStyle name="Moneda 15" xfId="23" xr:uid="{00000000-0005-0000-0000-000015000000}"/>
    <cellStyle name="Moneda 15 2" xfId="140" xr:uid="{CFCA270C-CCB4-44E2-AA27-D674A2C4DEF9}"/>
    <cellStyle name="Moneda 15 2 2" xfId="187" xr:uid="{A8FEA554-07D3-4548-B1B3-306CBD89E92A}"/>
    <cellStyle name="Moneda 15 2 2 2" xfId="279" xr:uid="{6CCF542D-641D-4646-A74F-B86DB81C92FF}"/>
    <cellStyle name="Moneda 15 2 3" xfId="233" xr:uid="{8E0E84DE-31EC-44CC-A330-387741C4A21E}"/>
    <cellStyle name="Moneda 15 3" xfId="162" xr:uid="{DE346B3F-B447-40D6-912D-CEAB3AAB33FC}"/>
    <cellStyle name="Moneda 15 3 2" xfId="254" xr:uid="{89D0745D-11D5-4584-900C-A7DC472A4F78}"/>
    <cellStyle name="Moneda 15 4" xfId="208" xr:uid="{C519BC20-6124-4716-BB2C-E3D79ABEED2A}"/>
    <cellStyle name="Moneda 16" xfId="24" xr:uid="{00000000-0005-0000-0000-000016000000}"/>
    <cellStyle name="Moneda 16 2" xfId="141" xr:uid="{0ADCCDBD-50E5-4743-9442-9EE09F5D2C22}"/>
    <cellStyle name="Moneda 16 2 2" xfId="188" xr:uid="{D966DB5E-3669-4165-94CB-5639868C4D2C}"/>
    <cellStyle name="Moneda 16 2 2 2" xfId="280" xr:uid="{D544BE4C-4D28-45FF-9ED0-65BB111BABFA}"/>
    <cellStyle name="Moneda 16 2 3" xfId="234" xr:uid="{DA85AE8C-F321-417F-A978-9ABC57E7996B}"/>
    <cellStyle name="Moneda 16 3" xfId="163" xr:uid="{25319B78-778F-4FDE-AC9A-6E29742D1E40}"/>
    <cellStyle name="Moneda 16 3 2" xfId="255" xr:uid="{6388C1F1-1D75-48C8-BF83-D76C134F14AA}"/>
    <cellStyle name="Moneda 16 4" xfId="209" xr:uid="{132BEDAC-997E-4358-8F45-B598F00D7AE5}"/>
    <cellStyle name="Moneda 17" xfId="25" xr:uid="{00000000-0005-0000-0000-000017000000}"/>
    <cellStyle name="Moneda 17 2" xfId="129" xr:uid="{861ACE44-848B-4F0A-8509-FCE627DE54CE}"/>
    <cellStyle name="Moneda 17 2 2" xfId="176" xr:uid="{73D65BFF-686F-40F4-ABA0-278729C036A0}"/>
    <cellStyle name="Moneda 17 2 2 2" xfId="268" xr:uid="{AD3B5C9C-7EAE-45C1-9709-CB74AE50CBF8}"/>
    <cellStyle name="Moneda 17 2 3" xfId="222" xr:uid="{928F70E6-E3C2-41A6-97E2-A42924424A12}"/>
    <cellStyle name="Moneda 17 3" xfId="164" xr:uid="{2B9B6263-7932-4034-89FD-929E2F231C5E}"/>
    <cellStyle name="Moneda 17 3 2" xfId="256" xr:uid="{1E80CCFD-2833-430A-BFF6-7F03BE1F7B03}"/>
    <cellStyle name="Moneda 17 4" xfId="210" xr:uid="{5CB097CD-A259-4D3C-A130-503A5BF450CF}"/>
    <cellStyle name="Moneda 18" xfId="26" xr:uid="{00000000-0005-0000-0000-000018000000}"/>
    <cellStyle name="Moneda 18 2" xfId="131" xr:uid="{A50828D6-4DF9-4486-A1F3-587CED184386}"/>
    <cellStyle name="Moneda 18 2 2" xfId="178" xr:uid="{7330B953-36D2-412E-B5EC-5D0D894E5858}"/>
    <cellStyle name="Moneda 18 2 2 2" xfId="270" xr:uid="{B654C4CE-DA15-4C97-BC67-8F5CB72024DF}"/>
    <cellStyle name="Moneda 18 2 3" xfId="224" xr:uid="{9F85ECFB-6EE3-4EA3-8A22-7E9C3CD12939}"/>
    <cellStyle name="Moneda 18 3" xfId="165" xr:uid="{64AE44DF-4694-4F6D-8884-7C8D178B84F2}"/>
    <cellStyle name="Moneda 18 3 2" xfId="257" xr:uid="{842BBAE0-6A9D-4183-8D94-AF2213C23205}"/>
    <cellStyle name="Moneda 18 4" xfId="211" xr:uid="{2617FF42-7C46-4F49-83C4-299D7887BAC0}"/>
    <cellStyle name="Moneda 19" xfId="27" xr:uid="{00000000-0005-0000-0000-000019000000}"/>
    <cellStyle name="Moneda 19 2" xfId="125" xr:uid="{7B1FFA3F-5292-46D5-909B-30D300C2ACB0}"/>
    <cellStyle name="Moneda 19 2 2" xfId="172" xr:uid="{1B3BF208-F39F-45C5-8FAE-45FB5A00AA29}"/>
    <cellStyle name="Moneda 19 2 2 2" xfId="264" xr:uid="{D065F1AB-6EFE-4D50-ADE3-7A4332EC3951}"/>
    <cellStyle name="Moneda 19 2 3" xfId="218" xr:uid="{F37BA4DE-77D4-4E18-998E-6300F1805705}"/>
    <cellStyle name="Moneda 19 3" xfId="166" xr:uid="{B85F2704-D568-480A-97F9-D24C3C7C1031}"/>
    <cellStyle name="Moneda 19 3 2" xfId="258" xr:uid="{CF4C86FE-CC08-43FC-A36C-0453BB4BE873}"/>
    <cellStyle name="Moneda 19 4" xfId="212" xr:uid="{F070FA4C-85E4-49CC-9AE4-8A216DD8D691}"/>
    <cellStyle name="Moneda 2" xfId="7" xr:uid="{00000000-0005-0000-0000-00001A000000}"/>
    <cellStyle name="Moneda 2 2" xfId="35" xr:uid="{00000000-0005-0000-0000-00001B000000}"/>
    <cellStyle name="Moneda 2 2 2" xfId="48" xr:uid="{00000000-0005-0000-0000-00001C000000}"/>
    <cellStyle name="Moneda 2 2 2 2" xfId="76" xr:uid="{B1081F6A-F56E-4C35-96EB-EBBEE05BF083}"/>
    <cellStyle name="Moneda 2 2 3" xfId="63" xr:uid="{86E7EA9E-396F-46AB-B6B8-F2C90BFB7E9B}"/>
    <cellStyle name="Moneda 2 3" xfId="41" xr:uid="{00000000-0005-0000-0000-00001D000000}"/>
    <cellStyle name="Moneda 2 3 2" xfId="69" xr:uid="{D0996B81-A892-4DAF-8E99-A185FEAF5D0D}"/>
    <cellStyle name="Moneda 2 4" xfId="57" xr:uid="{06BF41BD-8C88-4EEB-8C90-AA0763AD1C60}"/>
    <cellStyle name="Moneda 20" xfId="28" xr:uid="{00000000-0005-0000-0000-00001E000000}"/>
    <cellStyle name="Moneda 20 2" xfId="130" xr:uid="{415AAC5D-E737-40FB-8BA9-C1876F8847B3}"/>
    <cellStyle name="Moneda 20 2 2" xfId="177" xr:uid="{8B1D7181-74C8-4664-A598-D9057279D7BD}"/>
    <cellStyle name="Moneda 20 2 2 2" xfId="269" xr:uid="{B6232362-A8D4-40E0-B70D-872193D8BCA5}"/>
    <cellStyle name="Moneda 20 2 3" xfId="223" xr:uid="{7755577C-2544-40E7-9B4A-5EE58B0B1EDF}"/>
    <cellStyle name="Moneda 20 3" xfId="167" xr:uid="{DDB04398-781D-451E-ABC8-B771DB280DB7}"/>
    <cellStyle name="Moneda 20 3 2" xfId="259" xr:uid="{DB46943E-9833-42EB-A61C-1F674DE1FCEE}"/>
    <cellStyle name="Moneda 20 4" xfId="213" xr:uid="{B6E251DE-3DE9-4671-BD7A-AE3EA2C7E29F}"/>
    <cellStyle name="Moneda 21" xfId="13" xr:uid="{00000000-0005-0000-0000-00001F000000}"/>
    <cellStyle name="Moneda 21 2" xfId="135" xr:uid="{76750B6A-6935-4FCA-AC39-851AE6095553}"/>
    <cellStyle name="Moneda 21 2 2" xfId="182" xr:uid="{E7DE25AB-F962-4BA4-A7EF-7E0C3C9A9139}"/>
    <cellStyle name="Moneda 21 2 2 2" xfId="274" xr:uid="{1DF207DC-8C77-4A1E-BCA8-668A764DCE04}"/>
    <cellStyle name="Moneda 21 2 3" xfId="228" xr:uid="{6967D7DA-AEFF-4B92-895D-F9F311152316}"/>
    <cellStyle name="Moneda 21 3" xfId="152" xr:uid="{B8CDF1AC-E0B3-4C32-ACBF-856339808AB8}"/>
    <cellStyle name="Moneda 21 3 2" xfId="244" xr:uid="{BEA98BED-1D3F-43B1-B4E2-93AD7396A991}"/>
    <cellStyle name="Moneda 21 4" xfId="198" xr:uid="{D3AF11FC-7249-408B-82C0-D59B1E2D6119}"/>
    <cellStyle name="Moneda 22" xfId="29" xr:uid="{00000000-0005-0000-0000-000020000000}"/>
    <cellStyle name="Moneda 22 2" xfId="134" xr:uid="{FDC2F997-DC5D-436E-AF41-2F68D77B92D3}"/>
    <cellStyle name="Moneda 22 2 2" xfId="181" xr:uid="{DFBAD121-515E-4C6B-BF70-019B106C8F94}"/>
    <cellStyle name="Moneda 22 2 2 2" xfId="273" xr:uid="{810A2B0E-0033-4B45-B6CF-68D37A0EA238}"/>
    <cellStyle name="Moneda 22 2 3" xfId="227" xr:uid="{D512110C-53E2-490B-BE7F-02AA3A96E4F5}"/>
    <cellStyle name="Moneda 22 3" xfId="168" xr:uid="{BD430FEB-D047-447A-8A70-7AC889F9D896}"/>
    <cellStyle name="Moneda 22 3 2" xfId="260" xr:uid="{EA378A0B-F588-4F91-A437-657F29399B15}"/>
    <cellStyle name="Moneda 22 4" xfId="214" xr:uid="{4E11CCB0-700E-4332-97CE-7BCF124C5B6F}"/>
    <cellStyle name="Moneda 23" xfId="32" xr:uid="{00000000-0005-0000-0000-000021000000}"/>
    <cellStyle name="Moneda 23 2" xfId="46" xr:uid="{00000000-0005-0000-0000-000022000000}"/>
    <cellStyle name="Moneda 23 2 2" xfId="74" xr:uid="{116C9899-A2C9-4516-891F-C7144D582905}"/>
    <cellStyle name="Moneda 23 3" xfId="61" xr:uid="{2B0FCC5E-185C-4DB0-B87B-1F5D9E004D90}"/>
    <cellStyle name="Moneda 24" xfId="30" xr:uid="{00000000-0005-0000-0000-000023000000}"/>
    <cellStyle name="Moneda 24 2" xfId="44" xr:uid="{00000000-0005-0000-0000-000024000000}"/>
    <cellStyle name="Moneda 24 2 2" xfId="72" xr:uid="{F40DB212-1E47-4079-8F64-A26C34A49A64}"/>
    <cellStyle name="Moneda 24 3" xfId="59" xr:uid="{68257D15-6491-4538-848D-39ADCA1F84F7}"/>
    <cellStyle name="Moneda 25" xfId="39" xr:uid="{00000000-0005-0000-0000-000025000000}"/>
    <cellStyle name="Moneda 25 2" xfId="67" xr:uid="{0F779125-9CAA-4AF2-951A-07DB5FC9BE49}"/>
    <cellStyle name="Moneda 3" xfId="8" xr:uid="{00000000-0005-0000-0000-000026000000}"/>
    <cellStyle name="Moneda 3 2" xfId="126" xr:uid="{A836B14A-C923-45A7-9D47-C82BD713B0F3}"/>
    <cellStyle name="Moneda 3 2 2" xfId="173" xr:uid="{652FE161-75FA-4009-B1B9-1C4D01C9096E}"/>
    <cellStyle name="Moneda 3 2 2 2" xfId="265" xr:uid="{453236FF-1256-4316-AA3A-CBD6EC1921B3}"/>
    <cellStyle name="Moneda 3 2 3" xfId="219" xr:uid="{6D9F45BB-E7A8-4073-974B-EDE0E2500122}"/>
    <cellStyle name="Moneda 3 3" xfId="148" xr:uid="{ACB1CDB2-2D41-4731-BFDF-9D03034568A5}"/>
    <cellStyle name="Moneda 3 3 2" xfId="240" xr:uid="{F50A21B5-7DBF-4F04-85C4-7F2DAC748B8B}"/>
    <cellStyle name="Moneda 3 4" xfId="194" xr:uid="{E9BF63FE-0DB9-4593-A9DA-A28666242B5A}"/>
    <cellStyle name="Moneda 4" xfId="12" xr:uid="{00000000-0005-0000-0000-000027000000}"/>
    <cellStyle name="Moneda 4 2" xfId="143" xr:uid="{5E81F1B9-3D63-4962-90DC-730EE1EC4017}"/>
    <cellStyle name="Moneda 4 2 2" xfId="189" xr:uid="{0A913E44-E482-4C03-9235-135D7603B8A8}"/>
    <cellStyle name="Moneda 4 2 2 2" xfId="281" xr:uid="{9B8618BB-6177-41BC-957E-28ACA7DE9032}"/>
    <cellStyle name="Moneda 4 2 3" xfId="235" xr:uid="{A58A4557-40D7-4E00-8577-FD4B78FEF815}"/>
    <cellStyle name="Moneda 4 3" xfId="151" xr:uid="{2257EC9D-CA3A-485F-998E-614382505AF4}"/>
    <cellStyle name="Moneda 4 3 2" xfId="243" xr:uid="{19BD4E34-F521-47CB-9542-B5C2B6EE4EEB}"/>
    <cellStyle name="Moneda 4 4" xfId="197" xr:uid="{F3E75F6A-569C-4BE4-9BDD-EFF7983CAFBE}"/>
    <cellStyle name="Moneda 5" xfId="11" xr:uid="{00000000-0005-0000-0000-000028000000}"/>
    <cellStyle name="Moneda 5 2" xfId="132" xr:uid="{B7BBD7DB-19AA-4C60-A6F6-86F6EA7828F5}"/>
    <cellStyle name="Moneda 5 2 2" xfId="179" xr:uid="{712A6EFA-F8DE-418C-BB09-597D22A9CAC0}"/>
    <cellStyle name="Moneda 5 2 2 2" xfId="271" xr:uid="{744C9613-7DD8-4FB0-AAE1-6E890CF78C3B}"/>
    <cellStyle name="Moneda 5 2 3" xfId="225" xr:uid="{DB067975-5910-4AED-A09F-9314E363DB1F}"/>
    <cellStyle name="Moneda 5 3" xfId="150" xr:uid="{9AC35BF0-AB59-429B-8F30-4C9B9AEC8AFD}"/>
    <cellStyle name="Moneda 5 3 2" xfId="242" xr:uid="{E162C52D-7AC6-4B20-AF7D-49B0E45F4D4C}"/>
    <cellStyle name="Moneda 5 4" xfId="196" xr:uid="{5EE18638-A6D5-48EB-B6C4-2699852BE38F}"/>
    <cellStyle name="Moneda 6" xfId="14" xr:uid="{00000000-0005-0000-0000-000029000000}"/>
    <cellStyle name="Moneda 6 2" xfId="137" xr:uid="{18248569-AE25-4F65-9B26-2D39BC81F864}"/>
    <cellStyle name="Moneda 6 2 2" xfId="184" xr:uid="{404D1A26-6638-4362-9191-CCA44186B297}"/>
    <cellStyle name="Moneda 6 2 2 2" xfId="276" xr:uid="{A0C1AEAD-A8FB-4DA1-BA67-7CF0F4FB9DA7}"/>
    <cellStyle name="Moneda 6 2 3" xfId="230" xr:uid="{539E4C40-3D51-4DB9-A058-64E66DA67FD7}"/>
    <cellStyle name="Moneda 6 3" xfId="153" xr:uid="{CAD629E7-2667-4F85-8AD3-E20DC596C805}"/>
    <cellStyle name="Moneda 6 3 2" xfId="245" xr:uid="{616EE107-A948-41DA-ADD5-C4777B60DA04}"/>
    <cellStyle name="Moneda 6 4" xfId="199" xr:uid="{A484ECA1-5D77-4144-A861-9073D5541AF2}"/>
    <cellStyle name="Moneda 7" xfId="15" xr:uid="{00000000-0005-0000-0000-00002A000000}"/>
    <cellStyle name="Moneda 7 2" xfId="128" xr:uid="{EC1D3155-0086-45F7-84CD-516554D630B6}"/>
    <cellStyle name="Moneda 7 2 2" xfId="175" xr:uid="{24B12AD6-8D7D-4F01-B7D4-24D63A3CBA10}"/>
    <cellStyle name="Moneda 7 2 2 2" xfId="267" xr:uid="{07E33564-75B4-4F7A-BEC6-B0ADEA8783B6}"/>
    <cellStyle name="Moneda 7 2 3" xfId="221" xr:uid="{69C26052-F269-4DE1-ACC2-A8EE149B4793}"/>
    <cellStyle name="Moneda 7 3" xfId="154" xr:uid="{12FA7F13-15A4-4EFE-9809-3B7351144F41}"/>
    <cellStyle name="Moneda 7 3 2" xfId="246" xr:uid="{FF009983-0F3F-435C-BCA8-154BDA00DC07}"/>
    <cellStyle name="Moneda 7 4" xfId="200" xr:uid="{DD62A69F-BFB8-45FB-AB8B-1AFD461C68B2}"/>
    <cellStyle name="Moneda 8" xfId="16" xr:uid="{00000000-0005-0000-0000-00002B000000}"/>
    <cellStyle name="Moneda 8 2" xfId="133" xr:uid="{E75C989D-8490-442F-B09D-DED3188B1BFE}"/>
    <cellStyle name="Moneda 8 2 2" xfId="180" xr:uid="{68377B8C-6876-4C2C-AB02-08D4513FDBE7}"/>
    <cellStyle name="Moneda 8 2 2 2" xfId="272" xr:uid="{E95833B9-B722-43F5-AAF9-D6D43895A2D9}"/>
    <cellStyle name="Moneda 8 2 3" xfId="226" xr:uid="{B8156D88-5EFD-4666-8136-37C129AAD985}"/>
    <cellStyle name="Moneda 8 3" xfId="155" xr:uid="{F7C6877F-E3FA-4E0E-AB50-C408519DEFB8}"/>
    <cellStyle name="Moneda 8 3 2" xfId="247" xr:uid="{88D904CD-C670-48E1-AA8B-3105212DC1B3}"/>
    <cellStyle name="Moneda 8 4" xfId="201" xr:uid="{3267639D-C9D1-4F7B-A6E8-AC6AD2FE6560}"/>
    <cellStyle name="Moneda 9" xfId="17" xr:uid="{00000000-0005-0000-0000-00002C000000}"/>
    <cellStyle name="Moneda 9 2" xfId="139" xr:uid="{6851B428-1450-4D0F-9D2C-35126259C83B}"/>
    <cellStyle name="Moneda 9 2 2" xfId="186" xr:uid="{051A153C-C108-4FF0-9472-FD2C66507057}"/>
    <cellStyle name="Moneda 9 2 2 2" xfId="278" xr:uid="{BC62278A-D45B-4CA0-BBBD-D0F24572A817}"/>
    <cellStyle name="Moneda 9 2 3" xfId="232" xr:uid="{1722BE32-5AD0-434D-9278-D2BAFA5B58F1}"/>
    <cellStyle name="Moneda 9 3" xfId="156" xr:uid="{B9D89588-F4D6-4492-894E-A39B2D22F42E}"/>
    <cellStyle name="Moneda 9 3 2" xfId="248" xr:uid="{573E2D00-7E60-4A5B-ABC1-4BA1695AAC70}"/>
    <cellStyle name="Moneda 9 4" xfId="202" xr:uid="{FF0E8369-BD48-413F-845B-A5DADDBD9AF7}"/>
    <cellStyle name="Neutral" xfId="89" builtinId="28" customBuiltin="1"/>
    <cellStyle name="Normal" xfId="0" builtinId="0"/>
    <cellStyle name="Normal 2" xfId="1" xr:uid="{00000000-0005-0000-0000-00002E000000}"/>
    <cellStyle name="Normal 2 2" xfId="4" xr:uid="{00000000-0005-0000-0000-00002F000000}"/>
    <cellStyle name="Normal 2 2 2" xfId="286" xr:uid="{488E3BB9-0340-4333-9DBB-B51A9D883E13}"/>
    <cellStyle name="Normal 2 3" xfId="54" xr:uid="{F279B95E-3F62-469F-BE39-E03724F0CFC0}"/>
    <cellStyle name="Normal 3" xfId="2" xr:uid="{00000000-0005-0000-0000-000030000000}"/>
    <cellStyle name="Normal 3 2" xfId="142" xr:uid="{4A19F3E0-EE42-4B29-A3F7-CC60D0AB912F}"/>
    <cellStyle name="Normal 3 3" xfId="124" xr:uid="{C8B18B9F-1653-4504-9920-C42D105CB4B5}"/>
    <cellStyle name="Normal 4" xfId="5" xr:uid="{00000000-0005-0000-0000-000031000000}"/>
    <cellStyle name="Normal 4 2" xfId="287" xr:uid="{DB2EA862-D116-4C7D-AECF-D9E03726794F}"/>
    <cellStyle name="Normal 5" xfId="3" xr:uid="{00000000-0005-0000-0000-000032000000}"/>
    <cellStyle name="Normal 5 2" xfId="33" xr:uid="{00000000-0005-0000-0000-000033000000}"/>
    <cellStyle name="Normal 6" xfId="53" xr:uid="{46DDC996-550A-4932-A488-AC302D126603}"/>
    <cellStyle name="Notas" xfId="96" builtinId="10" customBuiltin="1"/>
    <cellStyle name="Porcentaje" xfId="51" builtinId="5"/>
    <cellStyle name="Salida" xfId="91" builtinId="21" customBuiltin="1"/>
    <cellStyle name="Texto de advertencia" xfId="95" builtinId="11" customBuiltin="1"/>
    <cellStyle name="Texto explicativo" xfId="97" builtinId="53" customBuiltin="1"/>
    <cellStyle name="Título" xfId="82" builtinId="15" customBuiltin="1"/>
    <cellStyle name="Título 2" xfId="84" builtinId="17" customBuiltin="1"/>
    <cellStyle name="Título 3" xfId="85" builtinId="18" customBuiltin="1"/>
    <cellStyle name="Total" xfId="98" builtinId="25" customBuiltin="1"/>
  </cellStyles>
  <dxfs count="47">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ont>
        <color rgb="FFC00000"/>
      </font>
      <fill>
        <patternFill>
          <bgColor rgb="FFFFFF00"/>
        </patternFill>
      </fill>
    </dxf>
    <dxf>
      <font>
        <color rgb="FFFF0000"/>
      </font>
      <fill>
        <patternFill>
          <bgColor rgb="FFFFFF00"/>
        </patternFill>
      </fill>
    </dxf>
    <dxf>
      <font>
        <color rgb="FFFF0000"/>
      </font>
      <fill>
        <patternFill>
          <bgColor rgb="FFFFFF00"/>
        </patternFill>
      </fill>
    </dxf>
    <dxf>
      <font>
        <strike val="0"/>
        <color rgb="FFC00000"/>
      </font>
      <fill>
        <patternFill>
          <bgColor rgb="FFFFFF00"/>
        </patternFill>
      </fill>
    </dxf>
    <dxf>
      <font>
        <color rgb="FFC00000"/>
      </font>
      <fill>
        <patternFill>
          <bgColor rgb="FFFFFF00"/>
        </patternFill>
      </fill>
    </dxf>
    <dxf>
      <font>
        <strike val="0"/>
        <color rgb="FFC00000"/>
      </font>
      <fill>
        <patternFill>
          <bgColor rgb="FFFFFF00"/>
        </patternFill>
      </fill>
    </dxf>
    <dxf>
      <font>
        <strike val="0"/>
        <color rgb="FFFF0000"/>
      </font>
      <fill>
        <patternFill>
          <bgColor rgb="FFFFFF00"/>
        </patternFill>
      </fill>
    </dxf>
    <dxf>
      <font>
        <color rgb="FF006100"/>
      </font>
      <fill>
        <patternFill>
          <bgColor rgb="FFC6EFCE"/>
        </patternFill>
      </fill>
    </dxf>
    <dxf>
      <font>
        <color rgb="FFFFFF00"/>
      </font>
      <fill>
        <patternFill>
          <fgColor auto="1"/>
          <bgColor rgb="FFFF0000"/>
        </patternFill>
      </fill>
    </dxf>
    <dxf>
      <alignment vertical="top"/>
    </dxf>
    <dxf>
      <alignment wrapText="1"/>
    </dxf>
    <dxf>
      <numFmt numFmtId="168" formatCode="0.0"/>
    </dxf>
    <dxf>
      <numFmt numFmtId="168" formatCode="0.0"/>
    </dxf>
    <dxf>
      <alignment vertical="top"/>
    </dxf>
    <dxf>
      <alignment wrapText="1"/>
    </dxf>
    <dxf>
      <numFmt numFmtId="3" formatCode="#,##0"/>
    </dxf>
    <dxf>
      <numFmt numFmtId="3" formatCode="#,##0"/>
    </dxf>
    <dxf>
      <alignment vertical="top"/>
    </dxf>
    <dxf>
      <alignment wrapText="1"/>
    </dxf>
    <dxf>
      <numFmt numFmtId="168" formatCode="0.0"/>
    </dxf>
    <dxf>
      <numFmt numFmtId="3" formatCode="#,##0"/>
    </dxf>
    <dxf>
      <numFmt numFmtId="3" formatCode="#,##0"/>
    </dxf>
    <dxf>
      <alignment vertical="top"/>
    </dxf>
    <dxf>
      <alignment wrapText="1"/>
    </dxf>
    <dxf>
      <numFmt numFmtId="168" formatCode="0.0"/>
    </dxf>
    <dxf>
      <numFmt numFmtId="173" formatCode="0.0000"/>
    </dxf>
    <dxf>
      <numFmt numFmtId="173" formatCode="0.0000"/>
    </dxf>
    <dxf>
      <alignment vertical="top"/>
    </dxf>
    <dxf>
      <alignment wrapText="1"/>
    </dxf>
    <dxf>
      <numFmt numFmtId="168" formatCode="0.0"/>
    </dxf>
    <dxf>
      <alignment vertical="top"/>
    </dxf>
    <dxf>
      <alignment wrapText="1"/>
    </dxf>
    <dxf>
      <numFmt numFmtId="168" formatCode="0.0"/>
    </dxf>
    <dxf>
      <numFmt numFmtId="168" formatCode="0.0"/>
    </dxf>
    <dxf>
      <alignment vertical="top"/>
    </dxf>
    <dxf>
      <alignment wrapText="1"/>
    </dxf>
    <dxf>
      <numFmt numFmtId="171" formatCode="#,##0.0"/>
    </dxf>
    <dxf>
      <numFmt numFmtId="171" formatCode="#,##0.0"/>
    </dxf>
    <dxf>
      <alignment vertical="top"/>
    </dxf>
    <dxf>
      <alignment wrapText="1"/>
    </dxf>
    <dxf>
      <numFmt numFmtId="168" formatCode="0.0"/>
    </dxf>
    <dxf>
      <numFmt numFmtId="168" formatCode="0.0"/>
    </dxf>
  </dxfs>
  <tableStyles count="1" defaultTableStyle="TableStyleMedium2" defaultPivotStyle="PivotStyleLight16">
    <tableStyle name="Invisible" pivot="0" table="0" count="0" xr9:uid="{AA7B0206-58A1-47BE-A64B-4B5F8DAFE30A}"/>
  </tableStyles>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sence-my.sharepoint.com/personal/anegrete_sence_cl/Documents/Documentos/MIS%20DOCUMENTOS/BL/BL%202025/CONTROL%20DE%20CURSOS%20A%20LICITAR%202025.xlsx" TargetMode="External"/><Relationship Id="rId1" Type="http://schemas.openxmlformats.org/officeDocument/2006/relationships/externalLinkPath" Target="https://sence-my.sharepoint.com/personal/anegrete_sence_cl/Documents/Documentos/MIS%20DOCUMENTOS/BL/BL%202025/CONTROL%20DE%20CURSOS%20A%20LICITAR%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ALOR TRAMOS"/>
      <sheetName val="región"/>
      <sheetName val="con formulas"/>
      <sheetName val="RUT OTIC"/>
      <sheetName val="Planilla PF Catalogo SENCE 2025"/>
      <sheetName val="TRAMO"/>
      <sheetName val="BD OFICIAL"/>
      <sheetName val="Hoja2"/>
      <sheetName val="Hoja1"/>
    </sheetNames>
    <sheetDataSet>
      <sheetData sheetId="0"/>
      <sheetData sheetId="1"/>
      <sheetData sheetId="2"/>
      <sheetData sheetId="3"/>
      <sheetData sheetId="4"/>
      <sheetData sheetId="5">
        <row r="1">
          <cell r="A1" t="str">
            <v>CODIGO DEL CURSO (PLAN FORMATIVO 1)</v>
          </cell>
          <cell r="B1" t="str">
            <v>TRAMO</v>
          </cell>
        </row>
        <row r="2">
          <cell r="A2" t="str">
            <v>PF0981</v>
          </cell>
          <cell r="B2">
            <v>2</v>
          </cell>
        </row>
        <row r="3">
          <cell r="A3" t="str">
            <v>PF0960</v>
          </cell>
          <cell r="B3">
            <v>2</v>
          </cell>
        </row>
        <row r="4">
          <cell r="A4" t="str">
            <v>PF0513</v>
          </cell>
          <cell r="B4">
            <v>2</v>
          </cell>
        </row>
        <row r="5">
          <cell r="A5" t="str">
            <v>PF0603</v>
          </cell>
          <cell r="B5">
            <v>2</v>
          </cell>
        </row>
        <row r="6">
          <cell r="A6" t="str">
            <v>PF0574</v>
          </cell>
          <cell r="B6">
            <v>2</v>
          </cell>
        </row>
        <row r="7">
          <cell r="A7" t="str">
            <v>PF0679</v>
          </cell>
          <cell r="B7">
            <v>3</v>
          </cell>
        </row>
        <row r="8">
          <cell r="A8" t="str">
            <v>PF0704</v>
          </cell>
          <cell r="B8">
            <v>2</v>
          </cell>
        </row>
        <row r="9">
          <cell r="A9" t="str">
            <v>PF1199</v>
          </cell>
          <cell r="B9">
            <v>1</v>
          </cell>
        </row>
        <row r="10">
          <cell r="A10" t="str">
            <v>PF0513</v>
          </cell>
          <cell r="B10">
            <v>2</v>
          </cell>
        </row>
        <row r="11">
          <cell r="A11" t="str">
            <v>PF0706</v>
          </cell>
          <cell r="B11">
            <v>2</v>
          </cell>
        </row>
        <row r="12">
          <cell r="A12" t="str">
            <v>SIN PLAN FORMATIVO</v>
          </cell>
          <cell r="B12">
            <v>2</v>
          </cell>
        </row>
        <row r="13">
          <cell r="A13" t="str">
            <v>SIN PLAN FORMATIVO</v>
          </cell>
          <cell r="B13">
            <v>2</v>
          </cell>
        </row>
        <row r="14">
          <cell r="A14" t="str">
            <v>PF0579</v>
          </cell>
          <cell r="B14">
            <v>1</v>
          </cell>
        </row>
        <row r="15">
          <cell r="A15" t="str">
            <v>PF0519</v>
          </cell>
          <cell r="B15">
            <v>2</v>
          </cell>
        </row>
        <row r="16">
          <cell r="A16" t="str">
            <v>PF1430</v>
          </cell>
          <cell r="B16">
            <v>2</v>
          </cell>
        </row>
        <row r="17">
          <cell r="A17" t="str">
            <v>PF1182</v>
          </cell>
          <cell r="B17">
            <v>2</v>
          </cell>
        </row>
        <row r="18">
          <cell r="A18" t="str">
            <v>SIN PLAN FORMATIVO</v>
          </cell>
          <cell r="B18">
            <v>2</v>
          </cell>
        </row>
        <row r="19">
          <cell r="A19" t="str">
            <v>PF0794</v>
          </cell>
          <cell r="B19">
            <v>2</v>
          </cell>
        </row>
        <row r="20">
          <cell r="A20" t="str">
            <v>PF0679</v>
          </cell>
          <cell r="B20">
            <v>3</v>
          </cell>
        </row>
        <row r="21">
          <cell r="A21" t="str">
            <v>PF0704</v>
          </cell>
          <cell r="B21">
            <v>2</v>
          </cell>
        </row>
        <row r="22">
          <cell r="A22" t="str">
            <v>PF0625</v>
          </cell>
          <cell r="B22">
            <v>2</v>
          </cell>
        </row>
        <row r="23">
          <cell r="A23" t="str">
            <v>PF1255</v>
          </cell>
          <cell r="B23">
            <v>3</v>
          </cell>
        </row>
        <row r="24">
          <cell r="A24" t="str">
            <v>PF0624</v>
          </cell>
          <cell r="B24">
            <v>3</v>
          </cell>
        </row>
        <row r="25">
          <cell r="A25" t="str">
            <v>PF0514</v>
          </cell>
          <cell r="B25">
            <v>1</v>
          </cell>
        </row>
        <row r="26">
          <cell r="A26" t="str">
            <v>PF0611</v>
          </cell>
          <cell r="B26">
            <v>2</v>
          </cell>
        </row>
        <row r="27">
          <cell r="A27" t="str">
            <v>PF0549</v>
          </cell>
          <cell r="B27">
            <v>2</v>
          </cell>
        </row>
        <row r="28">
          <cell r="A28" t="str">
            <v>PF0611</v>
          </cell>
          <cell r="B28">
            <v>2</v>
          </cell>
        </row>
        <row r="29">
          <cell r="A29" t="str">
            <v>PF0519</v>
          </cell>
          <cell r="B29">
            <v>2</v>
          </cell>
        </row>
        <row r="30">
          <cell r="A30" t="str">
            <v>PF0576</v>
          </cell>
          <cell r="B30">
            <v>2</v>
          </cell>
        </row>
        <row r="31">
          <cell r="A31" t="str">
            <v>PF0585</v>
          </cell>
          <cell r="B31">
            <v>3</v>
          </cell>
        </row>
        <row r="32">
          <cell r="A32" t="str">
            <v>PF0555</v>
          </cell>
          <cell r="B32">
            <v>3</v>
          </cell>
        </row>
        <row r="33">
          <cell r="A33" t="str">
            <v>PF0573</v>
          </cell>
          <cell r="B33">
            <v>3</v>
          </cell>
        </row>
        <row r="34">
          <cell r="A34" t="str">
            <v>PF0622</v>
          </cell>
          <cell r="B34">
            <v>3</v>
          </cell>
        </row>
        <row r="35">
          <cell r="A35" t="str">
            <v>PF0717</v>
          </cell>
          <cell r="B35">
            <v>2</v>
          </cell>
        </row>
        <row r="36">
          <cell r="A36" t="str">
            <v>PF1432</v>
          </cell>
          <cell r="B36">
            <v>2</v>
          </cell>
        </row>
        <row r="37">
          <cell r="A37" t="str">
            <v>PF1199</v>
          </cell>
          <cell r="B37">
            <v>1</v>
          </cell>
        </row>
        <row r="38">
          <cell r="A38" t="str">
            <v>PF1199</v>
          </cell>
          <cell r="B38">
            <v>1</v>
          </cell>
        </row>
        <row r="39">
          <cell r="A39" t="str">
            <v>PF1199</v>
          </cell>
          <cell r="B39">
            <v>1</v>
          </cell>
        </row>
        <row r="40">
          <cell r="A40" t="str">
            <v>PF0676</v>
          </cell>
          <cell r="B40">
            <v>2</v>
          </cell>
        </row>
        <row r="41">
          <cell r="A41" t="str">
            <v>PF0676</v>
          </cell>
          <cell r="B41">
            <v>2</v>
          </cell>
        </row>
        <row r="42">
          <cell r="A42" t="str">
            <v>PF0576</v>
          </cell>
          <cell r="B42">
            <v>2</v>
          </cell>
        </row>
        <row r="43">
          <cell r="A43" t="str">
            <v>PF1424</v>
          </cell>
          <cell r="B43">
            <v>1</v>
          </cell>
        </row>
        <row r="44">
          <cell r="A44" t="str">
            <v>PF0674</v>
          </cell>
          <cell r="B44">
            <v>3</v>
          </cell>
        </row>
        <row r="45">
          <cell r="A45" t="str">
            <v>PF0947</v>
          </cell>
          <cell r="B45">
            <v>3</v>
          </cell>
        </row>
        <row r="46">
          <cell r="A46" t="str">
            <v>PF1432</v>
          </cell>
          <cell r="B46">
            <v>2</v>
          </cell>
        </row>
        <row r="47">
          <cell r="A47" t="str">
            <v>PF0779</v>
          </cell>
          <cell r="B47">
            <v>2</v>
          </cell>
        </row>
        <row r="48">
          <cell r="A48" t="str">
            <v>PF0611</v>
          </cell>
          <cell r="B48">
            <v>2</v>
          </cell>
        </row>
        <row r="49">
          <cell r="A49" t="str">
            <v>PF1255</v>
          </cell>
          <cell r="B49">
            <v>3</v>
          </cell>
        </row>
        <row r="50">
          <cell r="A50" t="str">
            <v>PF1387</v>
          </cell>
          <cell r="B50">
            <v>1</v>
          </cell>
        </row>
        <row r="51">
          <cell r="A51" t="str">
            <v>PF0624</v>
          </cell>
          <cell r="B51">
            <v>3</v>
          </cell>
        </row>
        <row r="52">
          <cell r="A52" t="str">
            <v>PF0624</v>
          </cell>
          <cell r="B52">
            <v>3</v>
          </cell>
        </row>
        <row r="53">
          <cell r="A53" t="str">
            <v>SIN PLAN FORMATIVO</v>
          </cell>
          <cell r="B53">
            <v>2</v>
          </cell>
        </row>
        <row r="54">
          <cell r="A54" t="str">
            <v>SIN PLAN FORMATIVO</v>
          </cell>
          <cell r="B54">
            <v>1</v>
          </cell>
        </row>
        <row r="55">
          <cell r="A55" t="str">
            <v>PF1331</v>
          </cell>
          <cell r="B55">
            <v>3</v>
          </cell>
        </row>
        <row r="56">
          <cell r="A56" t="str">
            <v>PF0574</v>
          </cell>
          <cell r="B56">
            <v>2</v>
          </cell>
        </row>
        <row r="57">
          <cell r="A57" t="str">
            <v>PF0574</v>
          </cell>
          <cell r="B57">
            <v>2</v>
          </cell>
        </row>
        <row r="58">
          <cell r="A58" t="str">
            <v>PF0571</v>
          </cell>
          <cell r="B58">
            <v>2</v>
          </cell>
        </row>
        <row r="59">
          <cell r="A59" t="str">
            <v>PF0572</v>
          </cell>
          <cell r="B59">
            <v>2</v>
          </cell>
        </row>
        <row r="60">
          <cell r="A60" t="str">
            <v>PF0725</v>
          </cell>
          <cell r="B60">
            <v>2</v>
          </cell>
        </row>
        <row r="61">
          <cell r="A61" t="str">
            <v>PF0714</v>
          </cell>
          <cell r="B61">
            <v>2</v>
          </cell>
        </row>
        <row r="62">
          <cell r="A62" t="str">
            <v>PF0575</v>
          </cell>
          <cell r="B62">
            <v>3</v>
          </cell>
        </row>
        <row r="63">
          <cell r="A63" t="str">
            <v>PF0578</v>
          </cell>
          <cell r="B63">
            <v>2</v>
          </cell>
        </row>
        <row r="64">
          <cell r="A64" t="str">
            <v>PF0766</v>
          </cell>
          <cell r="B64">
            <v>2</v>
          </cell>
        </row>
        <row r="65">
          <cell r="A65" t="str">
            <v>PF0715</v>
          </cell>
          <cell r="B65">
            <v>2</v>
          </cell>
        </row>
        <row r="66">
          <cell r="A66" t="str">
            <v>PF0981</v>
          </cell>
          <cell r="B66">
            <v>2</v>
          </cell>
        </row>
        <row r="67">
          <cell r="A67" t="str">
            <v>PF0611</v>
          </cell>
          <cell r="B67">
            <v>2</v>
          </cell>
        </row>
        <row r="68">
          <cell r="A68" t="str">
            <v>PF0603</v>
          </cell>
          <cell r="B68">
            <v>2</v>
          </cell>
        </row>
        <row r="69">
          <cell r="A69" t="str">
            <v>PF0517</v>
          </cell>
          <cell r="B69">
            <v>2</v>
          </cell>
        </row>
        <row r="70">
          <cell r="A70" t="str">
            <v>PF0628</v>
          </cell>
          <cell r="B70">
            <v>2</v>
          </cell>
        </row>
        <row r="71">
          <cell r="A71" t="str">
            <v>PF0981</v>
          </cell>
          <cell r="B71">
            <v>2</v>
          </cell>
        </row>
        <row r="72">
          <cell r="A72" t="str">
            <v>PF1067</v>
          </cell>
          <cell r="B72">
            <v>3</v>
          </cell>
        </row>
        <row r="73">
          <cell r="A73" t="str">
            <v>PF1431</v>
          </cell>
          <cell r="B73">
            <v>2</v>
          </cell>
        </row>
        <row r="74">
          <cell r="A74" t="str">
            <v>PF1246</v>
          </cell>
          <cell r="B74">
            <v>1</v>
          </cell>
        </row>
        <row r="75">
          <cell r="A75" t="str">
            <v>PF0679</v>
          </cell>
          <cell r="B75">
            <v>3</v>
          </cell>
        </row>
        <row r="76">
          <cell r="A76" t="str">
            <v>SIN PLAN FORMATIVO</v>
          </cell>
          <cell r="B76">
            <v>1</v>
          </cell>
        </row>
        <row r="77">
          <cell r="A77" t="str">
            <v>PF1431</v>
          </cell>
          <cell r="B77">
            <v>2</v>
          </cell>
        </row>
        <row r="78">
          <cell r="A78" t="str">
            <v>PF1432</v>
          </cell>
          <cell r="B78">
            <v>2</v>
          </cell>
        </row>
        <row r="79">
          <cell r="A79" t="str">
            <v>PF1257</v>
          </cell>
          <cell r="B79">
            <v>3</v>
          </cell>
        </row>
        <row r="80">
          <cell r="A80" t="str">
            <v>PF1432</v>
          </cell>
          <cell r="B80">
            <v>2</v>
          </cell>
        </row>
        <row r="81">
          <cell r="A81" t="str">
            <v>PF1280</v>
          </cell>
          <cell r="B81">
            <v>2</v>
          </cell>
        </row>
        <row r="82">
          <cell r="A82" t="str">
            <v>SIN PLAN FORMATIVO</v>
          </cell>
          <cell r="B82">
            <v>1</v>
          </cell>
        </row>
        <row r="83">
          <cell r="A83" t="str">
            <v>PF1184</v>
          </cell>
          <cell r="B83">
            <v>1</v>
          </cell>
        </row>
        <row r="84">
          <cell r="A84" t="str">
            <v>PF1432</v>
          </cell>
          <cell r="B84">
            <v>2</v>
          </cell>
        </row>
        <row r="85">
          <cell r="A85" t="str">
            <v>PF1432</v>
          </cell>
          <cell r="B85">
            <v>2</v>
          </cell>
        </row>
        <row r="86">
          <cell r="A86" t="str">
            <v>PF0622</v>
          </cell>
          <cell r="B86">
            <v>3</v>
          </cell>
        </row>
        <row r="87">
          <cell r="A87" t="str">
            <v>PF0603</v>
          </cell>
          <cell r="B87">
            <v>2</v>
          </cell>
        </row>
        <row r="88">
          <cell r="A88" t="str">
            <v>PF0896</v>
          </cell>
          <cell r="B88">
            <v>2</v>
          </cell>
        </row>
        <row r="89">
          <cell r="A89" t="str">
            <v>PF1255</v>
          </cell>
          <cell r="B89">
            <v>3</v>
          </cell>
        </row>
        <row r="90">
          <cell r="A90" t="str">
            <v>SIN PLAN FORMATIVO</v>
          </cell>
          <cell r="B90">
            <v>2</v>
          </cell>
        </row>
        <row r="91">
          <cell r="A91" t="str">
            <v>PF0723</v>
          </cell>
          <cell r="B91">
            <v>1</v>
          </cell>
        </row>
        <row r="92">
          <cell r="A92" t="str">
            <v>PF1184</v>
          </cell>
          <cell r="B92">
            <v>1</v>
          </cell>
        </row>
        <row r="93">
          <cell r="A93" t="str">
            <v>SIN PLAN FORMATIVO</v>
          </cell>
          <cell r="B93">
            <v>2</v>
          </cell>
        </row>
        <row r="94">
          <cell r="A94" t="str">
            <v>PF1257</v>
          </cell>
          <cell r="B94">
            <v>3</v>
          </cell>
        </row>
        <row r="95">
          <cell r="A95" t="str">
            <v>PF0519</v>
          </cell>
          <cell r="B95">
            <v>2</v>
          </cell>
        </row>
        <row r="96">
          <cell r="A96" t="str">
            <v>PF0981</v>
          </cell>
          <cell r="B96">
            <v>2</v>
          </cell>
        </row>
        <row r="97">
          <cell r="A97" t="str">
            <v>PF0625</v>
          </cell>
          <cell r="B97">
            <v>2</v>
          </cell>
        </row>
        <row r="98">
          <cell r="A98" t="str">
            <v>PF0572</v>
          </cell>
          <cell r="B98">
            <v>2</v>
          </cell>
        </row>
        <row r="99">
          <cell r="A99" t="str">
            <v>PF0573</v>
          </cell>
          <cell r="B99">
            <v>3</v>
          </cell>
        </row>
        <row r="100">
          <cell r="A100" t="str">
            <v>PF0573</v>
          </cell>
          <cell r="B100">
            <v>3</v>
          </cell>
        </row>
        <row r="101">
          <cell r="A101" t="str">
            <v>PF0501</v>
          </cell>
          <cell r="B101">
            <v>3</v>
          </cell>
        </row>
        <row r="102">
          <cell r="A102" t="str">
            <v>PF0501</v>
          </cell>
          <cell r="B102">
            <v>3</v>
          </cell>
        </row>
        <row r="103">
          <cell r="A103" t="str">
            <v>PF0501</v>
          </cell>
          <cell r="B103">
            <v>3</v>
          </cell>
        </row>
        <row r="104">
          <cell r="A104" t="str">
            <v>PF0501</v>
          </cell>
          <cell r="B104">
            <v>3</v>
          </cell>
        </row>
        <row r="105">
          <cell r="A105" t="str">
            <v>PF0576</v>
          </cell>
          <cell r="B105">
            <v>2</v>
          </cell>
        </row>
        <row r="106">
          <cell r="A106" t="str">
            <v>PF0576</v>
          </cell>
          <cell r="B106">
            <v>2</v>
          </cell>
        </row>
        <row r="107">
          <cell r="A107" t="str">
            <v>PF0576</v>
          </cell>
          <cell r="B107">
            <v>2</v>
          </cell>
        </row>
        <row r="108">
          <cell r="A108" t="str">
            <v>PF0576</v>
          </cell>
          <cell r="B108">
            <v>2</v>
          </cell>
        </row>
        <row r="109">
          <cell r="A109" t="str">
            <v>PF0607</v>
          </cell>
          <cell r="B109">
            <v>2</v>
          </cell>
        </row>
        <row r="110">
          <cell r="A110" t="str">
            <v>PF0624</v>
          </cell>
          <cell r="B110">
            <v>3</v>
          </cell>
        </row>
        <row r="111">
          <cell r="A111" t="str">
            <v>PF0624</v>
          </cell>
          <cell r="B111">
            <v>3</v>
          </cell>
        </row>
        <row r="112">
          <cell r="A112" t="str">
            <v>PF0624</v>
          </cell>
          <cell r="B112">
            <v>3</v>
          </cell>
        </row>
        <row r="113">
          <cell r="A113" t="str">
            <v>PF0624</v>
          </cell>
          <cell r="B113">
            <v>3</v>
          </cell>
        </row>
        <row r="114">
          <cell r="A114" t="str">
            <v>PF0624</v>
          </cell>
          <cell r="B114">
            <v>3</v>
          </cell>
        </row>
        <row r="115">
          <cell r="A115" t="str">
            <v>PF0626</v>
          </cell>
          <cell r="B115">
            <v>2</v>
          </cell>
        </row>
        <row r="116">
          <cell r="A116" t="str">
            <v>PF0626</v>
          </cell>
          <cell r="B116">
            <v>2</v>
          </cell>
        </row>
        <row r="117">
          <cell r="A117" t="str">
            <v>PF0626</v>
          </cell>
          <cell r="B117">
            <v>2</v>
          </cell>
        </row>
        <row r="118">
          <cell r="A118" t="str">
            <v>PF0679</v>
          </cell>
          <cell r="B118">
            <v>3</v>
          </cell>
        </row>
        <row r="119">
          <cell r="A119" t="str">
            <v>PF0679</v>
          </cell>
          <cell r="B119">
            <v>3</v>
          </cell>
        </row>
        <row r="120">
          <cell r="A120" t="str">
            <v>PF0762</v>
          </cell>
          <cell r="B120">
            <v>3</v>
          </cell>
        </row>
        <row r="121">
          <cell r="A121" t="str">
            <v>PF0762</v>
          </cell>
          <cell r="B121">
            <v>3</v>
          </cell>
        </row>
        <row r="122">
          <cell r="A122" t="str">
            <v>PF0762</v>
          </cell>
          <cell r="B122">
            <v>3</v>
          </cell>
        </row>
        <row r="123">
          <cell r="A123" t="str">
            <v>PF0762</v>
          </cell>
          <cell r="B123">
            <v>3</v>
          </cell>
        </row>
        <row r="124">
          <cell r="A124" t="str">
            <v>SIN PLAN FORMATIVO</v>
          </cell>
          <cell r="B124">
            <v>3</v>
          </cell>
        </row>
        <row r="125">
          <cell r="A125" t="str">
            <v>SIN PLAN FORMATIVO</v>
          </cell>
          <cell r="B125">
            <v>3</v>
          </cell>
        </row>
        <row r="126">
          <cell r="A126" t="str">
            <v>SIN PLAN FORMATIVO</v>
          </cell>
          <cell r="B126">
            <v>3</v>
          </cell>
        </row>
        <row r="127">
          <cell r="A127" t="str">
            <v>PF1199</v>
          </cell>
          <cell r="B127">
            <v>1</v>
          </cell>
        </row>
        <row r="128">
          <cell r="A128" t="str">
            <v>PF0623</v>
          </cell>
          <cell r="B128">
            <v>3</v>
          </cell>
        </row>
        <row r="129">
          <cell r="A129" t="str">
            <v xml:space="preserve">PF0702 </v>
          </cell>
          <cell r="B129">
            <v>1</v>
          </cell>
        </row>
        <row r="130">
          <cell r="A130" t="str">
            <v>PF0513</v>
          </cell>
          <cell r="B130">
            <v>2</v>
          </cell>
        </row>
        <row r="131">
          <cell r="A131" t="str">
            <v>PF0519</v>
          </cell>
          <cell r="B131">
            <v>2</v>
          </cell>
        </row>
        <row r="132">
          <cell r="A132" t="str">
            <v>PF0601</v>
          </cell>
          <cell r="B132">
            <v>2</v>
          </cell>
        </row>
        <row r="133">
          <cell r="A133" t="str">
            <v>PF0622</v>
          </cell>
          <cell r="B133">
            <v>3</v>
          </cell>
        </row>
        <row r="134">
          <cell r="A134" t="str">
            <v>PF0908</v>
          </cell>
          <cell r="B134">
            <v>1</v>
          </cell>
        </row>
        <row r="135">
          <cell r="A135" t="str">
            <v>PF1293</v>
          </cell>
          <cell r="B135">
            <v>2</v>
          </cell>
        </row>
        <row r="136">
          <cell r="A136" t="str">
            <v>PF1313</v>
          </cell>
          <cell r="B136">
            <v>3</v>
          </cell>
        </row>
        <row r="137">
          <cell r="A137" t="str">
            <v>SIN PLAN FORMATIVO</v>
          </cell>
          <cell r="B137">
            <v>3</v>
          </cell>
        </row>
        <row r="138">
          <cell r="A138" t="str">
            <v>PF0578</v>
          </cell>
          <cell r="B138">
            <v>2</v>
          </cell>
        </row>
        <row r="139">
          <cell r="A139" t="str">
            <v>PF0725</v>
          </cell>
          <cell r="B139">
            <v>2</v>
          </cell>
        </row>
        <row r="140">
          <cell r="A140" t="str">
            <v>PF0604</v>
          </cell>
          <cell r="B140">
            <v>2</v>
          </cell>
        </row>
        <row r="141">
          <cell r="A141" t="str">
            <v>PF0857</v>
          </cell>
          <cell r="B141">
            <v>2</v>
          </cell>
        </row>
        <row r="142">
          <cell r="A142" t="str">
            <v>PF1184</v>
          </cell>
          <cell r="B142">
            <v>1</v>
          </cell>
        </row>
        <row r="143">
          <cell r="A143" t="str">
            <v>PF0679</v>
          </cell>
          <cell r="B143">
            <v>3</v>
          </cell>
        </row>
        <row r="144">
          <cell r="A144" t="str">
            <v>PF0980</v>
          </cell>
          <cell r="B144">
            <v>1</v>
          </cell>
        </row>
        <row r="145">
          <cell r="A145" t="str">
            <v>PF1355</v>
          </cell>
          <cell r="B145">
            <v>1</v>
          </cell>
        </row>
        <row r="146">
          <cell r="A146" t="str">
            <v>PF0513</v>
          </cell>
          <cell r="B146">
            <v>2</v>
          </cell>
        </row>
        <row r="147">
          <cell r="A147" t="str">
            <v>PF0584</v>
          </cell>
          <cell r="B147">
            <v>3</v>
          </cell>
        </row>
        <row r="148">
          <cell r="A148" t="str">
            <v>PF0611</v>
          </cell>
          <cell r="B148">
            <v>2</v>
          </cell>
        </row>
        <row r="149">
          <cell r="A149" t="str">
            <v>PF0615</v>
          </cell>
          <cell r="B149">
            <v>2</v>
          </cell>
        </row>
        <row r="150">
          <cell r="A150" t="str">
            <v>PF0804</v>
          </cell>
          <cell r="B150">
            <v>2</v>
          </cell>
        </row>
        <row r="151">
          <cell r="A151" t="str">
            <v>PF0817</v>
          </cell>
          <cell r="B151">
            <v>2</v>
          </cell>
        </row>
        <row r="152">
          <cell r="A152" t="str">
            <v>PF0960</v>
          </cell>
          <cell r="B152">
            <v>2</v>
          </cell>
        </row>
        <row r="153">
          <cell r="A153" t="str">
            <v>PF0981</v>
          </cell>
          <cell r="B153">
            <v>2</v>
          </cell>
        </row>
        <row r="154">
          <cell r="A154" t="str">
            <v>PF0838</v>
          </cell>
          <cell r="B154">
            <v>1</v>
          </cell>
        </row>
        <row r="155">
          <cell r="A155" t="str">
            <v>PF0839</v>
          </cell>
          <cell r="B155">
            <v>1</v>
          </cell>
        </row>
        <row r="156">
          <cell r="A156" t="str">
            <v>PF0840</v>
          </cell>
          <cell r="B156">
            <v>1</v>
          </cell>
        </row>
        <row r="157">
          <cell r="A157" t="str">
            <v>PF0841</v>
          </cell>
          <cell r="B157">
            <v>1</v>
          </cell>
        </row>
        <row r="158">
          <cell r="A158" t="str">
            <v>SIN PLAN FORMATIVO</v>
          </cell>
          <cell r="B158">
            <v>2</v>
          </cell>
        </row>
        <row r="159">
          <cell r="A159" t="str">
            <v>PF0921</v>
          </cell>
          <cell r="B159">
            <v>1</v>
          </cell>
        </row>
        <row r="160">
          <cell r="A160" t="str">
            <v>PF1199</v>
          </cell>
          <cell r="B160">
            <v>1</v>
          </cell>
        </row>
        <row r="161">
          <cell r="A161" t="str">
            <v>PF0704</v>
          </cell>
          <cell r="B161">
            <v>2</v>
          </cell>
        </row>
        <row r="162">
          <cell r="A162" t="str">
            <v>PF0704</v>
          </cell>
          <cell r="B162">
            <v>2</v>
          </cell>
        </row>
        <row r="163">
          <cell r="A163" t="str">
            <v>SIN PLAN FORMATIVO</v>
          </cell>
          <cell r="B163">
            <v>2</v>
          </cell>
        </row>
        <row r="164">
          <cell r="A164" t="str">
            <v>SIN PLAN FORMATIVO</v>
          </cell>
          <cell r="B164">
            <v>2</v>
          </cell>
        </row>
        <row r="165">
          <cell r="A165" t="str">
            <v>SIN PLAN FORMATIVO</v>
          </cell>
          <cell r="B165">
            <v>2</v>
          </cell>
        </row>
        <row r="166">
          <cell r="A166" t="str">
            <v>SIN PLAN FORMATIVO</v>
          </cell>
          <cell r="B166">
            <v>2</v>
          </cell>
        </row>
        <row r="167">
          <cell r="A167" t="str">
            <v>SIN PLAN FORMATIVO</v>
          </cell>
          <cell r="B167">
            <v>2</v>
          </cell>
        </row>
        <row r="168">
          <cell r="A168" t="str">
            <v>SIN PLAN FORMATIVO</v>
          </cell>
          <cell r="B168">
            <v>2</v>
          </cell>
        </row>
        <row r="169">
          <cell r="A169" t="str">
            <v>SIN PLAN FORMATIVO</v>
          </cell>
          <cell r="B169">
            <v>2</v>
          </cell>
        </row>
        <row r="170">
          <cell r="A170" t="str">
            <v>SIN PLAN FORMATIVO</v>
          </cell>
          <cell r="B170">
            <v>2</v>
          </cell>
        </row>
        <row r="171">
          <cell r="A171" t="str">
            <v>SIN PLAN FORMATIVO</v>
          </cell>
          <cell r="B171">
            <v>2</v>
          </cell>
        </row>
        <row r="172">
          <cell r="A172" t="str">
            <v>SIN PLAN FORMATIVO</v>
          </cell>
          <cell r="B172">
            <v>2</v>
          </cell>
        </row>
        <row r="173">
          <cell r="A173" t="str">
            <v>SIN PLAN FORMATIVO</v>
          </cell>
          <cell r="B173">
            <v>2</v>
          </cell>
        </row>
        <row r="174">
          <cell r="A174" t="str">
            <v>PF0611</v>
          </cell>
          <cell r="B174">
            <v>2</v>
          </cell>
        </row>
        <row r="175">
          <cell r="A175" t="str">
            <v>PF0611</v>
          </cell>
          <cell r="B175">
            <v>2</v>
          </cell>
        </row>
        <row r="176">
          <cell r="A176" t="str">
            <v>PF0611</v>
          </cell>
          <cell r="B176">
            <v>2</v>
          </cell>
        </row>
        <row r="177">
          <cell r="A177" t="str">
            <v>PF0612</v>
          </cell>
          <cell r="B177">
            <v>2</v>
          </cell>
        </row>
        <row r="178">
          <cell r="A178" t="str">
            <v>PF0549</v>
          </cell>
          <cell r="B178">
            <v>2</v>
          </cell>
        </row>
        <row r="179">
          <cell r="A179" t="str">
            <v>PF0792</v>
          </cell>
          <cell r="B179">
            <v>1</v>
          </cell>
        </row>
        <row r="180">
          <cell r="A180" t="str">
            <v>PF0576</v>
          </cell>
          <cell r="B180">
            <v>2</v>
          </cell>
        </row>
        <row r="181">
          <cell r="A181" t="str">
            <v>PF0611</v>
          </cell>
          <cell r="B181">
            <v>2</v>
          </cell>
        </row>
        <row r="182">
          <cell r="A182" t="str">
            <v>PF0611</v>
          </cell>
          <cell r="B182">
            <v>2</v>
          </cell>
        </row>
        <row r="183">
          <cell r="A183" t="str">
            <v>PF0623</v>
          </cell>
          <cell r="B183">
            <v>3</v>
          </cell>
        </row>
        <row r="184">
          <cell r="A184" t="str">
            <v>PF0513</v>
          </cell>
          <cell r="B184">
            <v>2</v>
          </cell>
        </row>
        <row r="185">
          <cell r="A185" t="str">
            <v>PF0513</v>
          </cell>
          <cell r="B185">
            <v>2</v>
          </cell>
        </row>
        <row r="186">
          <cell r="A186" t="str">
            <v>PF0729</v>
          </cell>
          <cell r="B186">
            <v>2</v>
          </cell>
        </row>
        <row r="187">
          <cell r="A187" t="str">
            <v>SIN PLAN FORMATIVO</v>
          </cell>
          <cell r="B187">
            <v>2</v>
          </cell>
        </row>
        <row r="188">
          <cell r="A188" t="str">
            <v>PF1432</v>
          </cell>
          <cell r="B188">
            <v>2</v>
          </cell>
        </row>
        <row r="189">
          <cell r="A189" t="str">
            <v>PF0784</v>
          </cell>
          <cell r="B189">
            <v>3</v>
          </cell>
        </row>
        <row r="190">
          <cell r="A190" t="str">
            <v>SIN PLAN FORMATIVO</v>
          </cell>
          <cell r="B190">
            <v>1</v>
          </cell>
        </row>
        <row r="191">
          <cell r="A191" t="str">
            <v>PF1257</v>
          </cell>
          <cell r="B191">
            <v>3</v>
          </cell>
        </row>
        <row r="192">
          <cell r="A192" t="str">
            <v>PF0611</v>
          </cell>
          <cell r="B192">
            <v>2</v>
          </cell>
        </row>
        <row r="193">
          <cell r="A193" t="str">
            <v>PF0679</v>
          </cell>
          <cell r="B193">
            <v>3</v>
          </cell>
        </row>
        <row r="194">
          <cell r="A194" t="str">
            <v>PF0981</v>
          </cell>
          <cell r="B194">
            <v>2</v>
          </cell>
        </row>
        <row r="195">
          <cell r="A195" t="str">
            <v>PF0728</v>
          </cell>
          <cell r="B195">
            <v>1</v>
          </cell>
        </row>
        <row r="196">
          <cell r="A196" t="str">
            <v>PF0729</v>
          </cell>
          <cell r="B196">
            <v>2</v>
          </cell>
        </row>
        <row r="197">
          <cell r="A197" t="str">
            <v>SIN PLAN FORMATIVO</v>
          </cell>
          <cell r="B197">
            <v>1</v>
          </cell>
        </row>
        <row r="198">
          <cell r="A198" t="str">
            <v>PF1328</v>
          </cell>
          <cell r="B198">
            <v>2</v>
          </cell>
        </row>
        <row r="199">
          <cell r="A199" t="str">
            <v>PF1328</v>
          </cell>
          <cell r="B199">
            <v>2</v>
          </cell>
        </row>
        <row r="200">
          <cell r="A200" t="str">
            <v>PF1233</v>
          </cell>
          <cell r="B200">
            <v>3</v>
          </cell>
        </row>
        <row r="201">
          <cell r="A201" t="str">
            <v>PF0690</v>
          </cell>
          <cell r="B201">
            <v>1</v>
          </cell>
        </row>
        <row r="202">
          <cell r="A202" t="str">
            <v>PF1274</v>
          </cell>
          <cell r="B202">
            <v>2</v>
          </cell>
        </row>
        <row r="203">
          <cell r="A203" t="str">
            <v>SIN PLAN FORMATIVO</v>
          </cell>
          <cell r="B203">
            <v>2</v>
          </cell>
        </row>
        <row r="204">
          <cell r="A204" t="str">
            <v>PF0981</v>
          </cell>
          <cell r="B204">
            <v>2</v>
          </cell>
        </row>
        <row r="205">
          <cell r="A205" t="str">
            <v>PF0625</v>
          </cell>
          <cell r="B205">
            <v>2</v>
          </cell>
        </row>
        <row r="206">
          <cell r="A206" t="str">
            <v>PF0611</v>
          </cell>
          <cell r="B206">
            <v>2</v>
          </cell>
        </row>
        <row r="207">
          <cell r="A207" t="str">
            <v xml:space="preserve">PF0916 </v>
          </cell>
          <cell r="B207">
            <v>1</v>
          </cell>
        </row>
        <row r="208">
          <cell r="A208" t="str">
            <v>SIN PLAN FORMATIVO</v>
          </cell>
          <cell r="B208">
            <v>2</v>
          </cell>
        </row>
        <row r="209">
          <cell r="A209" t="str">
            <v>SIN PLAN FORMATIVO</v>
          </cell>
          <cell r="B209">
            <v>2</v>
          </cell>
        </row>
        <row r="210">
          <cell r="A210" t="str">
            <v>SIN PLAN FORMATIVO</v>
          </cell>
          <cell r="B210">
            <v>2</v>
          </cell>
        </row>
        <row r="211">
          <cell r="A211" t="str">
            <v>SIN PLAN FORMATIVO</v>
          </cell>
          <cell r="B211">
            <v>1</v>
          </cell>
        </row>
        <row r="212">
          <cell r="A212" t="str">
            <v>SIN PLAN FORMATIVO</v>
          </cell>
          <cell r="B212">
            <v>2</v>
          </cell>
        </row>
        <row r="213">
          <cell r="A213" t="str">
            <v>SIN PLAN FORMATIVO</v>
          </cell>
          <cell r="B213">
            <v>1</v>
          </cell>
        </row>
        <row r="214">
          <cell r="A214" t="str">
            <v>SIN PLAN FORMATIVO</v>
          </cell>
          <cell r="B214">
            <v>1</v>
          </cell>
        </row>
        <row r="215">
          <cell r="A215" t="str">
            <v>SIN PLAN FORMATIVO</v>
          </cell>
          <cell r="B215">
            <v>1</v>
          </cell>
        </row>
        <row r="216">
          <cell r="A216" t="str">
            <v>SIN PLAN FORMATIVO</v>
          </cell>
          <cell r="B216">
            <v>1</v>
          </cell>
        </row>
        <row r="217">
          <cell r="A217" t="str">
            <v>PF0574</v>
          </cell>
          <cell r="B217">
            <v>2</v>
          </cell>
        </row>
        <row r="218">
          <cell r="A218" t="str">
            <v>SIN PLAN FORMATIVO</v>
          </cell>
          <cell r="B218">
            <v>2</v>
          </cell>
        </row>
        <row r="219">
          <cell r="A219" t="str">
            <v>PF0552</v>
          </cell>
          <cell r="B219">
            <v>2</v>
          </cell>
        </row>
        <row r="220">
          <cell r="A220" t="str">
            <v>PF0552</v>
          </cell>
          <cell r="B220">
            <v>2</v>
          </cell>
        </row>
        <row r="221">
          <cell r="A221" t="str">
            <v>PF0552</v>
          </cell>
          <cell r="B221">
            <v>2</v>
          </cell>
        </row>
        <row r="222">
          <cell r="A222" t="str">
            <v>PF0552</v>
          </cell>
          <cell r="B222">
            <v>2</v>
          </cell>
        </row>
        <row r="223">
          <cell r="A223" t="str">
            <v>PF0552</v>
          </cell>
          <cell r="B223">
            <v>2</v>
          </cell>
        </row>
        <row r="224">
          <cell r="A224" t="str">
            <v>SIN PLAN FORMATIVO</v>
          </cell>
          <cell r="B224">
            <v>2</v>
          </cell>
        </row>
        <row r="225">
          <cell r="A225" t="str">
            <v>SIN PLAN FORMATIVO</v>
          </cell>
          <cell r="B225">
            <v>2</v>
          </cell>
        </row>
        <row r="226">
          <cell r="A226" t="str">
            <v>PF0944</v>
          </cell>
          <cell r="B226">
            <v>2</v>
          </cell>
        </row>
        <row r="227">
          <cell r="A227" t="str">
            <v>SIN PLAN FORMATIVO</v>
          </cell>
          <cell r="B227">
            <v>1</v>
          </cell>
        </row>
        <row r="228">
          <cell r="A228" t="str">
            <v>SIN PLAN FORMATIVO</v>
          </cell>
          <cell r="B228">
            <v>1</v>
          </cell>
        </row>
        <row r="229">
          <cell r="A229" t="str">
            <v>SIN PLAN FORMATIVO</v>
          </cell>
          <cell r="B229">
            <v>1</v>
          </cell>
        </row>
        <row r="230">
          <cell r="A230" t="str">
            <v>SIN PLAN FORMATIVO</v>
          </cell>
          <cell r="B230">
            <v>1</v>
          </cell>
        </row>
        <row r="231">
          <cell r="A231" t="str">
            <v>SIN PLAN FORMATIVO</v>
          </cell>
          <cell r="B231">
            <v>1</v>
          </cell>
        </row>
        <row r="232">
          <cell r="A232" t="str">
            <v>SIN PLAN FORMATIVO</v>
          </cell>
          <cell r="B232">
            <v>1</v>
          </cell>
        </row>
        <row r="233">
          <cell r="A233" t="str">
            <v>SIN PLAN FORMATIVO</v>
          </cell>
          <cell r="B233">
            <v>1</v>
          </cell>
        </row>
        <row r="234">
          <cell r="A234" t="str">
            <v>SIN PLAN FORMATIVO</v>
          </cell>
          <cell r="B234">
            <v>1</v>
          </cell>
        </row>
        <row r="235">
          <cell r="A235" t="str">
            <v>SIN PLAN FORMATIVO</v>
          </cell>
          <cell r="B235">
            <v>1</v>
          </cell>
        </row>
        <row r="236">
          <cell r="A236" t="str">
            <v>PF1257</v>
          </cell>
          <cell r="B236">
            <v>3</v>
          </cell>
        </row>
        <row r="237">
          <cell r="A237" t="str">
            <v>PF1257</v>
          </cell>
          <cell r="B237">
            <v>3</v>
          </cell>
        </row>
        <row r="238">
          <cell r="A238" t="str">
            <v>PF1432</v>
          </cell>
          <cell r="B238">
            <v>2</v>
          </cell>
        </row>
        <row r="239">
          <cell r="A239" t="str">
            <v>PF1432</v>
          </cell>
          <cell r="B239">
            <v>2</v>
          </cell>
        </row>
        <row r="240">
          <cell r="A240" t="str">
            <v>PF0615</v>
          </cell>
          <cell r="B240">
            <v>2</v>
          </cell>
        </row>
        <row r="241">
          <cell r="A241" t="str">
            <v>PF0615</v>
          </cell>
          <cell r="B241">
            <v>2</v>
          </cell>
        </row>
        <row r="242">
          <cell r="A242" t="str">
            <v>PF1280</v>
          </cell>
          <cell r="B242">
            <v>2</v>
          </cell>
        </row>
        <row r="243">
          <cell r="A243" t="str">
            <v>PF1280</v>
          </cell>
          <cell r="B243">
            <v>2</v>
          </cell>
        </row>
        <row r="244">
          <cell r="A244" t="str">
            <v>PF0960</v>
          </cell>
          <cell r="B244">
            <v>2</v>
          </cell>
        </row>
        <row r="245">
          <cell r="A245" t="str">
            <v>PF0790</v>
          </cell>
          <cell r="B245">
            <v>1</v>
          </cell>
        </row>
        <row r="246">
          <cell r="A246" t="str">
            <v>PF0729</v>
          </cell>
          <cell r="B246">
            <v>2</v>
          </cell>
        </row>
        <row r="247">
          <cell r="A247" t="str">
            <v>PF0762</v>
          </cell>
          <cell r="B247">
            <v>3</v>
          </cell>
        </row>
        <row r="248">
          <cell r="A248" t="str">
            <v>PF0762</v>
          </cell>
          <cell r="B248">
            <v>3</v>
          </cell>
        </row>
        <row r="249">
          <cell r="A249" t="str">
            <v>SIN PLAN FORMATIVO</v>
          </cell>
          <cell r="B249">
            <v>2</v>
          </cell>
        </row>
        <row r="250">
          <cell r="A250" t="str">
            <v>PF0594</v>
          </cell>
          <cell r="B250">
            <v>1</v>
          </cell>
        </row>
        <row r="251">
          <cell r="A251" t="str">
            <v>PF0944</v>
          </cell>
          <cell r="B251">
            <v>2</v>
          </cell>
        </row>
        <row r="252">
          <cell r="A252" t="str">
            <v>SIN PLAN FORMATIVO</v>
          </cell>
          <cell r="B252">
            <v>1</v>
          </cell>
        </row>
        <row r="253">
          <cell r="A253" t="str">
            <v>SIN PLAN FORMATIVO</v>
          </cell>
          <cell r="B253">
            <v>2</v>
          </cell>
        </row>
        <row r="254">
          <cell r="A254" t="str">
            <v>SIN PLAN FORMATIVO</v>
          </cell>
          <cell r="B254">
            <v>1</v>
          </cell>
        </row>
        <row r="255">
          <cell r="A255" t="str">
            <v>SIN PLAN FORMATIVO</v>
          </cell>
          <cell r="B255">
            <v>2</v>
          </cell>
        </row>
        <row r="256">
          <cell r="A256" t="str">
            <v>SIN PLAN FORMATIVO</v>
          </cell>
          <cell r="B256">
            <v>1</v>
          </cell>
        </row>
        <row r="257">
          <cell r="A257" t="str">
            <v>SIN PLAN FORMATIVO</v>
          </cell>
          <cell r="B257">
            <v>2</v>
          </cell>
        </row>
        <row r="258">
          <cell r="A258" t="str">
            <v>SIN PLAN FORMATIVO</v>
          </cell>
          <cell r="B258">
            <v>2</v>
          </cell>
        </row>
        <row r="259">
          <cell r="A259" t="str">
            <v>SIN PLAN FORMATIVO</v>
          </cell>
          <cell r="B259">
            <v>3</v>
          </cell>
        </row>
        <row r="260">
          <cell r="A260" t="str">
            <v>PF0594</v>
          </cell>
          <cell r="B260">
            <v>1</v>
          </cell>
        </row>
        <row r="261">
          <cell r="A261" t="str">
            <v>SIN PLAN FORMATIVO</v>
          </cell>
          <cell r="B261">
            <v>2</v>
          </cell>
        </row>
        <row r="262">
          <cell r="A262" t="str">
            <v>PF0729</v>
          </cell>
          <cell r="B262">
            <v>2</v>
          </cell>
        </row>
        <row r="263">
          <cell r="A263" t="str">
            <v>SIN PLAN FORMATIVO</v>
          </cell>
          <cell r="B263">
            <v>3</v>
          </cell>
        </row>
        <row r="264">
          <cell r="A264" t="str">
            <v>SIN PLAN FORMATIVO</v>
          </cell>
          <cell r="B264">
            <v>2</v>
          </cell>
        </row>
        <row r="265">
          <cell r="A265" t="str">
            <v>PF0923</v>
          </cell>
          <cell r="B265">
            <v>2</v>
          </cell>
        </row>
        <row r="266">
          <cell r="A266" t="str">
            <v>SIN PLAN FORMATIVO</v>
          </cell>
          <cell r="B266">
            <v>3</v>
          </cell>
        </row>
        <row r="267">
          <cell r="A267" t="str">
            <v>PF1182</v>
          </cell>
          <cell r="B267">
            <v>2</v>
          </cell>
        </row>
        <row r="268">
          <cell r="A268" t="str">
            <v>SIN PLAN FORMATIVO</v>
          </cell>
          <cell r="B268">
            <v>2</v>
          </cell>
        </row>
        <row r="269">
          <cell r="A269" t="str">
            <v>SIN PLAN FORMATIVO</v>
          </cell>
          <cell r="B269">
            <v>1</v>
          </cell>
        </row>
        <row r="270">
          <cell r="A270" t="str">
            <v>SIN PLAN FORMATIVO</v>
          </cell>
          <cell r="B270">
            <v>3</v>
          </cell>
        </row>
        <row r="271">
          <cell r="A271" t="str">
            <v>PF0728</v>
          </cell>
          <cell r="B271">
            <v>1</v>
          </cell>
        </row>
        <row r="272">
          <cell r="A272" t="str">
            <v>SIN PLAN FORMATIVO</v>
          </cell>
          <cell r="B272">
            <v>2</v>
          </cell>
        </row>
        <row r="273">
          <cell r="A273" t="str">
            <v>SIN PLAN FORMATIVO</v>
          </cell>
          <cell r="B273">
            <v>2</v>
          </cell>
        </row>
        <row r="274">
          <cell r="A274" t="str">
            <v>PF0927</v>
          </cell>
          <cell r="B274">
            <v>1</v>
          </cell>
        </row>
        <row r="275">
          <cell r="A275" t="str">
            <v>SIN PLAN FORMATIVO</v>
          </cell>
          <cell r="B275">
            <v>2</v>
          </cell>
        </row>
        <row r="276">
          <cell r="A276" t="str">
            <v>PF0927</v>
          </cell>
          <cell r="B276">
            <v>1</v>
          </cell>
        </row>
        <row r="277">
          <cell r="A277" t="str">
            <v>SIN PLAN FORMATIVO</v>
          </cell>
          <cell r="B277">
            <v>2</v>
          </cell>
        </row>
        <row r="278">
          <cell r="A278" t="str">
            <v>SIN PLAN FORMATIVO</v>
          </cell>
          <cell r="B278">
            <v>2</v>
          </cell>
        </row>
        <row r="279">
          <cell r="A279" t="str">
            <v>SIN PLAN FORMATIVO</v>
          </cell>
          <cell r="B279">
            <v>2</v>
          </cell>
        </row>
        <row r="280">
          <cell r="A280" t="str">
            <v>SIN PLAN FORMATIVO</v>
          </cell>
          <cell r="B280">
            <v>1</v>
          </cell>
        </row>
        <row r="281">
          <cell r="A281" t="str">
            <v>SIN PLAN FORMATIVO</v>
          </cell>
          <cell r="B281">
            <v>1</v>
          </cell>
        </row>
        <row r="282">
          <cell r="A282" t="str">
            <v>PF0576</v>
          </cell>
          <cell r="B282">
            <v>2</v>
          </cell>
        </row>
        <row r="283">
          <cell r="A283" t="str">
            <v>PF0728</v>
          </cell>
          <cell r="B283">
            <v>1</v>
          </cell>
        </row>
        <row r="284">
          <cell r="A284" t="str">
            <v>PF0945</v>
          </cell>
          <cell r="B284">
            <v>1</v>
          </cell>
        </row>
        <row r="285">
          <cell r="A285" t="str">
            <v>SIN PLAN FORMATIVO</v>
          </cell>
          <cell r="B285">
            <v>2</v>
          </cell>
        </row>
        <row r="286">
          <cell r="A286" t="str">
            <v>SIN PLAN FORMATIVO</v>
          </cell>
          <cell r="B286">
            <v>2</v>
          </cell>
        </row>
        <row r="287">
          <cell r="A287" t="str">
            <v>SIN PLAN FORMATIVO</v>
          </cell>
          <cell r="B287">
            <v>2</v>
          </cell>
        </row>
        <row r="288">
          <cell r="A288" t="str">
            <v>SIN PLAN FORMATIVO</v>
          </cell>
          <cell r="B288">
            <v>2</v>
          </cell>
        </row>
        <row r="289">
          <cell r="A289" t="str">
            <v>SIN PLAN FORMATIVO</v>
          </cell>
          <cell r="B289">
            <v>2</v>
          </cell>
        </row>
        <row r="290">
          <cell r="A290" t="str">
            <v>SIN PLAN FORMATIVO</v>
          </cell>
          <cell r="B290">
            <v>2</v>
          </cell>
        </row>
        <row r="291">
          <cell r="A291" t="str">
            <v>PF0611</v>
          </cell>
          <cell r="B291">
            <v>2</v>
          </cell>
        </row>
        <row r="292">
          <cell r="A292" t="str">
            <v>PF0611</v>
          </cell>
          <cell r="B292">
            <v>2</v>
          </cell>
        </row>
        <row r="293">
          <cell r="A293" t="str">
            <v>PF0611</v>
          </cell>
          <cell r="B293">
            <v>2</v>
          </cell>
        </row>
        <row r="294">
          <cell r="A294" t="str">
            <v>SIN PLAN FORMATIVO</v>
          </cell>
          <cell r="B294">
            <v>1</v>
          </cell>
        </row>
        <row r="295">
          <cell r="A295" t="str">
            <v>SIN PLAN FORMATIVO</v>
          </cell>
          <cell r="B295">
            <v>2</v>
          </cell>
        </row>
        <row r="296">
          <cell r="A296" t="str">
            <v>PF0513</v>
          </cell>
          <cell r="B296">
            <v>2</v>
          </cell>
        </row>
        <row r="297">
          <cell r="A297" t="str">
            <v>SIN PLAN FORMATIVO</v>
          </cell>
          <cell r="B297">
            <v>2</v>
          </cell>
        </row>
        <row r="298">
          <cell r="A298" t="str">
            <v>PF0513</v>
          </cell>
          <cell r="B298">
            <v>2</v>
          </cell>
        </row>
        <row r="299">
          <cell r="A299" t="str">
            <v>SIN PLAN FORMATIVO</v>
          </cell>
          <cell r="B299">
            <v>2</v>
          </cell>
        </row>
        <row r="300">
          <cell r="A300" t="str">
            <v>PF1432</v>
          </cell>
          <cell r="B300">
            <v>2</v>
          </cell>
        </row>
        <row r="301">
          <cell r="A301" t="str">
            <v>PF0513</v>
          </cell>
          <cell r="B301">
            <v>2</v>
          </cell>
        </row>
        <row r="302">
          <cell r="A302" t="str">
            <v>PF0513</v>
          </cell>
          <cell r="B302">
            <v>2</v>
          </cell>
        </row>
        <row r="303">
          <cell r="A303" t="str">
            <v>PF0513</v>
          </cell>
          <cell r="B303">
            <v>2</v>
          </cell>
        </row>
        <row r="304">
          <cell r="A304" t="str">
            <v>PF0611</v>
          </cell>
          <cell r="B304">
            <v>2</v>
          </cell>
        </row>
        <row r="305">
          <cell r="A305" t="str">
            <v>SIN PLAN FORMATIVO</v>
          </cell>
          <cell r="B305">
            <v>2</v>
          </cell>
        </row>
        <row r="306">
          <cell r="A306" t="str">
            <v>SIN PLAN FORMATIVO</v>
          </cell>
          <cell r="B306">
            <v>3</v>
          </cell>
        </row>
        <row r="307">
          <cell r="A307" t="str">
            <v>SIN PLAN FORMATIVO</v>
          </cell>
          <cell r="B307">
            <v>3</v>
          </cell>
        </row>
        <row r="308">
          <cell r="A308" t="str">
            <v>PF0901</v>
          </cell>
          <cell r="B308">
            <v>2</v>
          </cell>
        </row>
        <row r="309">
          <cell r="A309" t="str">
            <v>SIN PLAN FORMATIVO</v>
          </cell>
          <cell r="B309">
            <v>2</v>
          </cell>
        </row>
        <row r="310">
          <cell r="A310" t="str">
            <v>PF1032</v>
          </cell>
          <cell r="B310">
            <v>1</v>
          </cell>
        </row>
        <row r="311">
          <cell r="A311" t="str">
            <v>PF0927</v>
          </cell>
          <cell r="B311">
            <v>1</v>
          </cell>
        </row>
        <row r="312">
          <cell r="A312" t="str">
            <v>PF0729</v>
          </cell>
          <cell r="B312">
            <v>2</v>
          </cell>
        </row>
        <row r="313">
          <cell r="A313" t="str">
            <v>PF0585</v>
          </cell>
          <cell r="B313">
            <v>3</v>
          </cell>
        </row>
        <row r="314">
          <cell r="A314" t="str">
            <v>PF1175</v>
          </cell>
          <cell r="B314">
            <v>2</v>
          </cell>
        </row>
        <row r="315">
          <cell r="A315" t="str">
            <v>PF0987</v>
          </cell>
          <cell r="B315">
            <v>2</v>
          </cell>
        </row>
        <row r="316">
          <cell r="A316" t="str">
            <v>PF0729</v>
          </cell>
          <cell r="B316">
            <v>2</v>
          </cell>
        </row>
        <row r="317">
          <cell r="A317" t="str">
            <v>PF0579</v>
          </cell>
          <cell r="B317">
            <v>1</v>
          </cell>
        </row>
        <row r="318">
          <cell r="A318" t="str">
            <v>SIN PLAN FORMATIVO</v>
          </cell>
          <cell r="B318">
            <v>2</v>
          </cell>
        </row>
        <row r="319">
          <cell r="A319" t="str">
            <v>SIN PLAN FORMATIVO</v>
          </cell>
          <cell r="B319">
            <v>2</v>
          </cell>
        </row>
        <row r="320">
          <cell r="A320" t="str">
            <v>PF1199</v>
          </cell>
          <cell r="B320">
            <v>1</v>
          </cell>
        </row>
        <row r="321">
          <cell r="A321" t="str">
            <v>PF1426</v>
          </cell>
          <cell r="B321">
            <v>2</v>
          </cell>
        </row>
        <row r="322">
          <cell r="A322" t="str">
            <v>PF0808</v>
          </cell>
          <cell r="B322">
            <v>1</v>
          </cell>
        </row>
        <row r="323">
          <cell r="A323" t="str">
            <v>SIN PLAN FORMATIVO</v>
          </cell>
          <cell r="B323">
            <v>2</v>
          </cell>
        </row>
        <row r="324">
          <cell r="A324" t="str">
            <v>SIN PLAN FORMATIVO</v>
          </cell>
          <cell r="B324">
            <v>2</v>
          </cell>
        </row>
        <row r="325">
          <cell r="A325" t="str">
            <v>PF1445</v>
          </cell>
          <cell r="B325">
            <v>2</v>
          </cell>
        </row>
        <row r="326">
          <cell r="A326" t="str">
            <v>PF0841</v>
          </cell>
          <cell r="B326">
            <v>1</v>
          </cell>
        </row>
        <row r="327">
          <cell r="A327" t="str">
            <v>PF0604</v>
          </cell>
          <cell r="B327">
            <v>2</v>
          </cell>
        </row>
        <row r="328">
          <cell r="A328" t="str">
            <v>PF0928</v>
          </cell>
          <cell r="B328">
            <v>2</v>
          </cell>
        </row>
        <row r="329">
          <cell r="A329" t="str">
            <v>SIN PLAN FORMATIVO</v>
          </cell>
          <cell r="B329">
            <v>2</v>
          </cell>
        </row>
        <row r="330">
          <cell r="A330" t="str">
            <v>PF0965</v>
          </cell>
          <cell r="B330">
            <v>2</v>
          </cell>
        </row>
        <row r="331">
          <cell r="A331" t="str">
            <v>PF0965</v>
          </cell>
          <cell r="B331">
            <v>2</v>
          </cell>
        </row>
        <row r="332">
          <cell r="A332" t="str">
            <v>PF0965</v>
          </cell>
          <cell r="B332">
            <v>2</v>
          </cell>
        </row>
        <row r="333">
          <cell r="A333" t="str">
            <v>PF0594</v>
          </cell>
          <cell r="B333">
            <v>1</v>
          </cell>
        </row>
        <row r="334">
          <cell r="A334" t="str">
            <v>PF0594</v>
          </cell>
          <cell r="B334">
            <v>1</v>
          </cell>
        </row>
        <row r="335">
          <cell r="A335" t="str">
            <v>SIN PLAN FORMATIVO</v>
          </cell>
          <cell r="B335">
            <v>2</v>
          </cell>
        </row>
        <row r="336">
          <cell r="A336" t="str">
            <v>SIN PLAN FORMATIVO</v>
          </cell>
          <cell r="B336">
            <v>2</v>
          </cell>
        </row>
        <row r="337">
          <cell r="A337" t="str">
            <v>SIN PLAN FORMATIVO</v>
          </cell>
          <cell r="B337">
            <v>2</v>
          </cell>
        </row>
        <row r="338">
          <cell r="A338" t="str">
            <v>PF1257</v>
          </cell>
          <cell r="B338">
            <v>3</v>
          </cell>
        </row>
        <row r="339">
          <cell r="A339" t="str">
            <v>PF0797</v>
          </cell>
          <cell r="B339">
            <v>2</v>
          </cell>
        </row>
        <row r="340">
          <cell r="A340" t="str">
            <v>PF0615</v>
          </cell>
          <cell r="B340">
            <v>2</v>
          </cell>
        </row>
        <row r="341">
          <cell r="A341" t="str">
            <v>PF0625</v>
          </cell>
          <cell r="B341">
            <v>2</v>
          </cell>
        </row>
        <row r="342">
          <cell r="A342" t="str">
            <v>PF0623</v>
          </cell>
          <cell r="B342">
            <v>3</v>
          </cell>
        </row>
        <row r="343">
          <cell r="A343" t="str">
            <v>PF0623</v>
          </cell>
          <cell r="B343">
            <v>3</v>
          </cell>
        </row>
        <row r="344">
          <cell r="A344" t="str">
            <v>PF0623</v>
          </cell>
          <cell r="B344">
            <v>3</v>
          </cell>
        </row>
        <row r="345">
          <cell r="A345" t="str">
            <v>PF0623</v>
          </cell>
          <cell r="B345">
            <v>3</v>
          </cell>
        </row>
        <row r="346">
          <cell r="A346" t="str">
            <v>PF0623</v>
          </cell>
          <cell r="B346">
            <v>3</v>
          </cell>
        </row>
        <row r="347">
          <cell r="A347" t="str">
            <v>PF0623</v>
          </cell>
          <cell r="B347">
            <v>3</v>
          </cell>
        </row>
        <row r="348">
          <cell r="A348" t="str">
            <v>PF0623</v>
          </cell>
          <cell r="B348">
            <v>3</v>
          </cell>
        </row>
        <row r="349">
          <cell r="A349" t="str">
            <v>PF0623</v>
          </cell>
          <cell r="B349">
            <v>3</v>
          </cell>
        </row>
        <row r="350">
          <cell r="A350" t="str">
            <v>PF0623</v>
          </cell>
          <cell r="B350">
            <v>3</v>
          </cell>
        </row>
        <row r="351">
          <cell r="A351" t="str">
            <v>PF0623</v>
          </cell>
          <cell r="B351">
            <v>3</v>
          </cell>
        </row>
        <row r="352">
          <cell r="A352" t="str">
            <v>PF0623</v>
          </cell>
          <cell r="B352">
            <v>3</v>
          </cell>
        </row>
        <row r="353">
          <cell r="A353" t="str">
            <v>PF0960</v>
          </cell>
          <cell r="B353">
            <v>2</v>
          </cell>
        </row>
        <row r="354">
          <cell r="A354" t="str">
            <v>PF0960</v>
          </cell>
          <cell r="B354">
            <v>2</v>
          </cell>
        </row>
        <row r="355">
          <cell r="A355" t="str">
            <v>PF1184</v>
          </cell>
          <cell r="B355">
            <v>1</v>
          </cell>
        </row>
        <row r="356">
          <cell r="A356" t="str">
            <v>PF1257</v>
          </cell>
          <cell r="B356">
            <v>3</v>
          </cell>
        </row>
        <row r="357">
          <cell r="A357" t="str">
            <v>PF1257</v>
          </cell>
          <cell r="B357">
            <v>3</v>
          </cell>
        </row>
        <row r="358">
          <cell r="A358" t="str">
            <v>PF0607</v>
          </cell>
          <cell r="B358">
            <v>2</v>
          </cell>
        </row>
        <row r="359">
          <cell r="A359" t="str">
            <v>PF0712</v>
          </cell>
          <cell r="B359">
            <v>2</v>
          </cell>
        </row>
        <row r="360">
          <cell r="A360" t="str">
            <v>SIN PLAN FORMATIVO</v>
          </cell>
          <cell r="B360">
            <v>3</v>
          </cell>
        </row>
        <row r="361">
          <cell r="A361" t="str">
            <v>SIN PLAN FORMATIVO</v>
          </cell>
          <cell r="B361">
            <v>2</v>
          </cell>
        </row>
        <row r="362">
          <cell r="A362" t="str">
            <v>PF0679</v>
          </cell>
          <cell r="B362">
            <v>3</v>
          </cell>
        </row>
        <row r="363">
          <cell r="A363" t="str">
            <v>SIN PLAN FORMATIVO</v>
          </cell>
          <cell r="B363">
            <v>2</v>
          </cell>
        </row>
        <row r="364">
          <cell r="A364" t="str">
            <v>SIN PLAN FORMATIVO</v>
          </cell>
          <cell r="B364">
            <v>2</v>
          </cell>
        </row>
        <row r="365">
          <cell r="A365" t="str">
            <v>SIN PLAN FORMATIVO</v>
          </cell>
          <cell r="B365">
            <v>2</v>
          </cell>
        </row>
        <row r="366">
          <cell r="A366" t="str">
            <v>SIN PLAN FORMATIVO</v>
          </cell>
          <cell r="B366">
            <v>2</v>
          </cell>
        </row>
        <row r="367">
          <cell r="A367" t="str">
            <v>SIN PLAN FORMATIVO</v>
          </cell>
          <cell r="B367">
            <v>3</v>
          </cell>
        </row>
        <row r="368">
          <cell r="A368" t="str">
            <v>SIN PLAN FORMATIVO</v>
          </cell>
          <cell r="B368">
            <v>2</v>
          </cell>
        </row>
        <row r="369">
          <cell r="A369" t="str">
            <v>PF1415</v>
          </cell>
          <cell r="B369">
            <v>1</v>
          </cell>
        </row>
        <row r="370">
          <cell r="A370" t="str">
            <v>PF1182</v>
          </cell>
          <cell r="B370">
            <v>2</v>
          </cell>
        </row>
        <row r="371">
          <cell r="A371" t="str">
            <v>PF0679</v>
          </cell>
          <cell r="B371">
            <v>3</v>
          </cell>
        </row>
        <row r="372">
          <cell r="A372" t="str">
            <v>PF1198</v>
          </cell>
          <cell r="B372">
            <v>3</v>
          </cell>
        </row>
        <row r="373">
          <cell r="A373" t="str">
            <v>PF1198</v>
          </cell>
          <cell r="B373">
            <v>3</v>
          </cell>
        </row>
        <row r="374">
          <cell r="A374" t="str">
            <v>PF1199</v>
          </cell>
          <cell r="B374">
            <v>1</v>
          </cell>
        </row>
        <row r="375">
          <cell r="A375" t="str">
            <v>PF0571</v>
          </cell>
          <cell r="B375">
            <v>2</v>
          </cell>
        </row>
        <row r="376">
          <cell r="A376" t="str">
            <v>PF0513</v>
          </cell>
          <cell r="B376">
            <v>2</v>
          </cell>
        </row>
        <row r="377">
          <cell r="A377" t="str">
            <v>PF0513</v>
          </cell>
          <cell r="B377">
            <v>2</v>
          </cell>
        </row>
        <row r="378">
          <cell r="A378" t="str">
            <v>SIN PLAN FORMATIVO</v>
          </cell>
          <cell r="B378">
            <v>3</v>
          </cell>
        </row>
        <row r="379">
          <cell r="A379" t="str">
            <v>PF0624</v>
          </cell>
          <cell r="B379">
            <v>3</v>
          </cell>
        </row>
        <row r="380">
          <cell r="A380" t="str">
            <v>PF0594</v>
          </cell>
          <cell r="B380">
            <v>1</v>
          </cell>
        </row>
        <row r="381">
          <cell r="A381" t="str">
            <v>PF0762</v>
          </cell>
          <cell r="B381">
            <v>3</v>
          </cell>
        </row>
        <row r="382">
          <cell r="A382" t="str">
            <v>SIN PLAN FORMATIVO</v>
          </cell>
          <cell r="B382">
            <v>2</v>
          </cell>
        </row>
        <row r="383">
          <cell r="A383" t="str">
            <v>PF0573</v>
          </cell>
          <cell r="B383">
            <v>3</v>
          </cell>
        </row>
        <row r="384">
          <cell r="A384" t="str">
            <v>PF1432</v>
          </cell>
          <cell r="B384">
            <v>2</v>
          </cell>
        </row>
        <row r="385">
          <cell r="A385" t="str">
            <v>PF0513</v>
          </cell>
          <cell r="B385">
            <v>2</v>
          </cell>
        </row>
        <row r="386">
          <cell r="A386" t="str">
            <v>PF1432</v>
          </cell>
          <cell r="B386">
            <v>2</v>
          </cell>
        </row>
        <row r="387">
          <cell r="A387" t="str">
            <v>SIN PLAN FORMATIVO</v>
          </cell>
          <cell r="B387">
            <v>3</v>
          </cell>
        </row>
        <row r="388">
          <cell r="A388" t="str">
            <v>SIN PLAN FORMATIVO</v>
          </cell>
          <cell r="B388">
            <v>3</v>
          </cell>
        </row>
        <row r="389">
          <cell r="A389" t="str">
            <v>SIN PLAN FORMATIVO</v>
          </cell>
          <cell r="B389">
            <v>3</v>
          </cell>
        </row>
        <row r="390">
          <cell r="A390" t="str">
            <v>PF0657</v>
          </cell>
          <cell r="B390">
            <v>3</v>
          </cell>
        </row>
        <row r="391">
          <cell r="A391" t="str">
            <v>SIN PLAN FORMATIVO</v>
          </cell>
          <cell r="B391">
            <v>3</v>
          </cell>
        </row>
        <row r="392">
          <cell r="A392" t="str">
            <v>PF1198</v>
          </cell>
          <cell r="B392">
            <v>3</v>
          </cell>
        </row>
        <row r="393">
          <cell r="A393" t="str">
            <v>PF0623</v>
          </cell>
          <cell r="B393">
            <v>3</v>
          </cell>
        </row>
        <row r="394">
          <cell r="A394" t="str">
            <v>PF0624</v>
          </cell>
          <cell r="B394">
            <v>3</v>
          </cell>
        </row>
        <row r="395">
          <cell r="A395" t="str">
            <v>PF0624</v>
          </cell>
          <cell r="B395">
            <v>3</v>
          </cell>
        </row>
        <row r="396">
          <cell r="A396" t="str">
            <v>PF0623</v>
          </cell>
          <cell r="B396">
            <v>3</v>
          </cell>
        </row>
        <row r="397">
          <cell r="A397" t="str">
            <v>PF0623</v>
          </cell>
          <cell r="B397">
            <v>3</v>
          </cell>
        </row>
        <row r="398">
          <cell r="A398" t="str">
            <v>PF0623</v>
          </cell>
          <cell r="B398">
            <v>3</v>
          </cell>
        </row>
        <row r="399">
          <cell r="A399" t="str">
            <v>PLAN FORMATIVO DE LA ARMADA</v>
          </cell>
          <cell r="B399">
            <v>3</v>
          </cell>
        </row>
        <row r="400">
          <cell r="A400" t="str">
            <v>PLAN FORMATIVO DE LA ARMADA</v>
          </cell>
          <cell r="B400">
            <v>3</v>
          </cell>
        </row>
        <row r="401">
          <cell r="A401" t="str">
            <v>PLAN FORMATIVO DE LA ARMADA</v>
          </cell>
          <cell r="B401">
            <v>3</v>
          </cell>
        </row>
        <row r="402">
          <cell r="A402" t="str">
            <v>PLAN FORMATIVO DE LA ARMADA</v>
          </cell>
          <cell r="B402">
            <v>3</v>
          </cell>
        </row>
        <row r="403">
          <cell r="A403" t="str">
            <v>PLAN FORMATIVO DE LA ARMADA</v>
          </cell>
          <cell r="B403">
            <v>3</v>
          </cell>
        </row>
        <row r="404">
          <cell r="A404" t="str">
            <v>PF0591</v>
          </cell>
          <cell r="B404">
            <v>1</v>
          </cell>
        </row>
        <row r="405">
          <cell r="A405" t="str">
            <v>PF0679</v>
          </cell>
          <cell r="B405">
            <v>3</v>
          </cell>
        </row>
        <row r="406">
          <cell r="A406" t="str">
            <v>PF1257</v>
          </cell>
          <cell r="B406">
            <v>3</v>
          </cell>
        </row>
        <row r="407">
          <cell r="A407" t="str">
            <v>PF0611</v>
          </cell>
          <cell r="B407">
            <v>2</v>
          </cell>
        </row>
        <row r="408">
          <cell r="A408" t="str">
            <v>PF0792</v>
          </cell>
          <cell r="B408">
            <v>1</v>
          </cell>
        </row>
        <row r="409">
          <cell r="A409" t="str">
            <v>SIN PLAN FORMATIVO</v>
          </cell>
          <cell r="B409">
            <v>2</v>
          </cell>
        </row>
        <row r="410">
          <cell r="A410" t="str">
            <v>PF0704</v>
          </cell>
          <cell r="B410">
            <v>2</v>
          </cell>
        </row>
        <row r="411">
          <cell r="A411" t="str">
            <v>PF1269</v>
          </cell>
          <cell r="B411">
            <v>2</v>
          </cell>
        </row>
        <row r="412">
          <cell r="A412" t="str">
            <v>PF0928</v>
          </cell>
          <cell r="B412">
            <v>2</v>
          </cell>
        </row>
        <row r="413">
          <cell r="A413" t="str">
            <v>PF1313</v>
          </cell>
          <cell r="B413">
            <v>3</v>
          </cell>
        </row>
        <row r="414">
          <cell r="A414" t="str">
            <v>PF0778</v>
          </cell>
          <cell r="B414">
            <v>2</v>
          </cell>
        </row>
        <row r="415">
          <cell r="A415" t="str">
            <v>PF0607</v>
          </cell>
          <cell r="B415">
            <v>2</v>
          </cell>
        </row>
        <row r="416">
          <cell r="A416" t="str">
            <v>PF0674</v>
          </cell>
          <cell r="B416">
            <v>3</v>
          </cell>
        </row>
        <row r="417">
          <cell r="A417" t="str">
            <v>SIN PLAN FORMATIVO</v>
          </cell>
          <cell r="B417">
            <v>3</v>
          </cell>
        </row>
        <row r="418">
          <cell r="A418" t="str">
            <v>SIN PLAN FORMATIVO</v>
          </cell>
          <cell r="B418">
            <v>3</v>
          </cell>
        </row>
        <row r="419">
          <cell r="A419" t="str">
            <v>SIN PLAN FORMATIVO</v>
          </cell>
          <cell r="B419">
            <v>3</v>
          </cell>
        </row>
        <row r="420">
          <cell r="A420" t="str">
            <v>SIN PLAN FORMATIVO</v>
          </cell>
          <cell r="B420">
            <v>3</v>
          </cell>
        </row>
        <row r="421">
          <cell r="A421" t="str">
            <v>SIN PLAN FORMATIVO</v>
          </cell>
          <cell r="B421">
            <v>3</v>
          </cell>
        </row>
        <row r="422">
          <cell r="A422" t="str">
            <v>SIN PLAN FORMATIVO</v>
          </cell>
          <cell r="B422">
            <v>3</v>
          </cell>
        </row>
        <row r="423">
          <cell r="A423" t="str">
            <v>SIN PLAN FORMATIVO</v>
          </cell>
          <cell r="B423">
            <v>3</v>
          </cell>
        </row>
        <row r="424">
          <cell r="A424" t="str">
            <v>SIN PLAN FORMATIVO</v>
          </cell>
          <cell r="B424">
            <v>3</v>
          </cell>
        </row>
        <row r="425">
          <cell r="A425" t="str">
            <v>PF1245</v>
          </cell>
          <cell r="B425">
            <v>1</v>
          </cell>
        </row>
        <row r="426">
          <cell r="A426" t="str">
            <v>PF0778</v>
          </cell>
          <cell r="B426">
            <v>2</v>
          </cell>
        </row>
        <row r="427">
          <cell r="A427" t="str">
            <v>PF0704</v>
          </cell>
          <cell r="B427">
            <v>2</v>
          </cell>
        </row>
        <row r="428">
          <cell r="A428" t="str">
            <v>PF0611</v>
          </cell>
          <cell r="B428">
            <v>2</v>
          </cell>
        </row>
        <row r="429">
          <cell r="A429" t="str">
            <v>PF0513</v>
          </cell>
          <cell r="B429">
            <v>2</v>
          </cell>
        </row>
        <row r="430">
          <cell r="A430" t="str">
            <v>PF0513</v>
          </cell>
          <cell r="B430">
            <v>2</v>
          </cell>
        </row>
        <row r="431">
          <cell r="A431" t="str">
            <v>PF0578</v>
          </cell>
          <cell r="B431">
            <v>2</v>
          </cell>
        </row>
        <row r="432">
          <cell r="A432" t="str">
            <v>PF0625</v>
          </cell>
          <cell r="B432">
            <v>2</v>
          </cell>
        </row>
        <row r="433">
          <cell r="A433" t="str">
            <v>PF0519</v>
          </cell>
          <cell r="B433">
            <v>2</v>
          </cell>
        </row>
        <row r="434">
          <cell r="A434" t="str">
            <v>PF0615</v>
          </cell>
          <cell r="B434">
            <v>2</v>
          </cell>
        </row>
        <row r="435">
          <cell r="A435" t="str">
            <v>PF0573</v>
          </cell>
          <cell r="B435">
            <v>3</v>
          </cell>
        </row>
        <row r="436">
          <cell r="A436" t="str">
            <v>PF0513</v>
          </cell>
          <cell r="B436">
            <v>2</v>
          </cell>
        </row>
        <row r="437">
          <cell r="A437" t="str">
            <v>PF0513</v>
          </cell>
          <cell r="B437">
            <v>2</v>
          </cell>
        </row>
        <row r="438">
          <cell r="A438" t="str">
            <v>PF1184</v>
          </cell>
          <cell r="B438">
            <v>1</v>
          </cell>
        </row>
        <row r="439">
          <cell r="A439" t="str">
            <v>PF1184</v>
          </cell>
          <cell r="B439">
            <v>1</v>
          </cell>
        </row>
        <row r="440">
          <cell r="A440" t="str">
            <v>PF1184</v>
          </cell>
          <cell r="B440">
            <v>1</v>
          </cell>
        </row>
        <row r="441">
          <cell r="A441" t="str">
            <v>PF1184</v>
          </cell>
          <cell r="B441">
            <v>1</v>
          </cell>
        </row>
        <row r="442">
          <cell r="A442" t="str">
            <v>PF1184</v>
          </cell>
          <cell r="B442">
            <v>1</v>
          </cell>
        </row>
        <row r="443">
          <cell r="A443" t="str">
            <v>PF1184</v>
          </cell>
          <cell r="B443">
            <v>1</v>
          </cell>
        </row>
        <row r="444">
          <cell r="A444" t="str">
            <v>PF0576</v>
          </cell>
          <cell r="B444">
            <v>2</v>
          </cell>
        </row>
        <row r="445">
          <cell r="A445" t="str">
            <v>PF1184</v>
          </cell>
          <cell r="B445">
            <v>1</v>
          </cell>
        </row>
        <row r="446">
          <cell r="A446" t="str">
            <v>PF1184</v>
          </cell>
          <cell r="B446">
            <v>1</v>
          </cell>
        </row>
        <row r="447">
          <cell r="A447" t="str">
            <v>PF1184</v>
          </cell>
          <cell r="B447">
            <v>1</v>
          </cell>
        </row>
        <row r="448">
          <cell r="A448" t="str">
            <v>PF0576</v>
          </cell>
          <cell r="B448">
            <v>2</v>
          </cell>
        </row>
        <row r="449">
          <cell r="A449" t="str">
            <v>PF0944</v>
          </cell>
          <cell r="B449">
            <v>2</v>
          </cell>
        </row>
        <row r="450">
          <cell r="A450" t="str">
            <v>PF0624</v>
          </cell>
          <cell r="B450">
            <v>3</v>
          </cell>
        </row>
        <row r="451">
          <cell r="A451" t="str">
            <v>PF0622</v>
          </cell>
          <cell r="B451">
            <v>3</v>
          </cell>
        </row>
        <row r="452">
          <cell r="A452" t="str">
            <v>PF0622</v>
          </cell>
          <cell r="B452">
            <v>3</v>
          </cell>
        </row>
        <row r="453">
          <cell r="A453" t="str">
            <v>PF0624</v>
          </cell>
          <cell r="B453">
            <v>3</v>
          </cell>
        </row>
        <row r="454">
          <cell r="A454" t="str">
            <v>PF1067</v>
          </cell>
          <cell r="B454">
            <v>3</v>
          </cell>
        </row>
        <row r="455">
          <cell r="A455" t="str">
            <v>PF0624</v>
          </cell>
          <cell r="B455">
            <v>3</v>
          </cell>
        </row>
        <row r="456">
          <cell r="A456" t="str">
            <v>PF0725</v>
          </cell>
          <cell r="B456">
            <v>2</v>
          </cell>
        </row>
        <row r="457">
          <cell r="A457" t="str">
            <v>PF1198</v>
          </cell>
          <cell r="B457">
            <v>3</v>
          </cell>
        </row>
        <row r="458">
          <cell r="A458" t="str">
            <v>PF0725</v>
          </cell>
          <cell r="B458">
            <v>2</v>
          </cell>
        </row>
        <row r="459">
          <cell r="A459" t="str">
            <v>PF0504</v>
          </cell>
          <cell r="B459">
            <v>3</v>
          </cell>
        </row>
        <row r="460">
          <cell r="A460" t="str">
            <v>PF0501</v>
          </cell>
          <cell r="B460">
            <v>3</v>
          </cell>
        </row>
        <row r="461">
          <cell r="A461" t="str">
            <v>PF1198</v>
          </cell>
          <cell r="B461">
            <v>3</v>
          </cell>
        </row>
        <row r="462">
          <cell r="A462" t="str">
            <v>PF1067</v>
          </cell>
          <cell r="B462">
            <v>3</v>
          </cell>
        </row>
        <row r="463">
          <cell r="A463" t="str">
            <v>PF0540</v>
          </cell>
          <cell r="B463">
            <v>3</v>
          </cell>
        </row>
        <row r="464">
          <cell r="A464" t="str">
            <v>PF0587</v>
          </cell>
          <cell r="B464">
            <v>3</v>
          </cell>
        </row>
        <row r="465">
          <cell r="A465" t="str">
            <v>PF1246</v>
          </cell>
          <cell r="B465">
            <v>1</v>
          </cell>
        </row>
        <row r="466">
          <cell r="A466" t="str">
            <v>PF0679</v>
          </cell>
          <cell r="B466">
            <v>3</v>
          </cell>
        </row>
        <row r="467">
          <cell r="A467" t="str">
            <v>PF0708</v>
          </cell>
          <cell r="B467">
            <v>3</v>
          </cell>
        </row>
        <row r="468">
          <cell r="A468" t="str">
            <v>PF1335</v>
          </cell>
          <cell r="B468">
            <v>2</v>
          </cell>
        </row>
        <row r="469">
          <cell r="A469" t="str">
            <v>PF1293</v>
          </cell>
          <cell r="B469">
            <v>2</v>
          </cell>
        </row>
        <row r="470">
          <cell r="A470" t="str">
            <v>PF0708</v>
          </cell>
          <cell r="B470">
            <v>3</v>
          </cell>
        </row>
        <row r="471">
          <cell r="A471" t="str">
            <v>PF0587</v>
          </cell>
          <cell r="B471">
            <v>3</v>
          </cell>
        </row>
        <row r="472">
          <cell r="A472" t="str">
            <v>PF0679</v>
          </cell>
          <cell r="B472">
            <v>3</v>
          </cell>
        </row>
        <row r="473">
          <cell r="A473" t="str">
            <v>PF1433</v>
          </cell>
          <cell r="B473">
            <v>2</v>
          </cell>
        </row>
        <row r="474">
          <cell r="A474" t="str">
            <v>SIN PLAN FORMATIVO</v>
          </cell>
          <cell r="B474">
            <v>2</v>
          </cell>
        </row>
        <row r="475">
          <cell r="A475" t="str">
            <v>PF0666</v>
          </cell>
          <cell r="B475">
            <v>2</v>
          </cell>
        </row>
        <row r="476">
          <cell r="A476" t="str">
            <v>PF1199</v>
          </cell>
          <cell r="B476">
            <v>1</v>
          </cell>
        </row>
        <row r="477">
          <cell r="A477" t="str">
            <v>PF1199</v>
          </cell>
          <cell r="B477">
            <v>1</v>
          </cell>
        </row>
        <row r="478">
          <cell r="A478" t="str">
            <v>PF1199</v>
          </cell>
          <cell r="B478">
            <v>1</v>
          </cell>
        </row>
        <row r="479">
          <cell r="A479" t="str">
            <v>PF0604</v>
          </cell>
          <cell r="B479">
            <v>2</v>
          </cell>
        </row>
        <row r="480">
          <cell r="B480">
            <v>3</v>
          </cell>
        </row>
        <row r="481">
          <cell r="A481" t="str">
            <v>PF1257</v>
          </cell>
          <cell r="B481">
            <v>3</v>
          </cell>
        </row>
        <row r="482">
          <cell r="A482" t="str">
            <v>PF0587</v>
          </cell>
          <cell r="B482">
            <v>3</v>
          </cell>
        </row>
        <row r="483">
          <cell r="A483" t="str">
            <v>PF1184</v>
          </cell>
          <cell r="B483">
            <v>1</v>
          </cell>
        </row>
        <row r="484">
          <cell r="A484" t="str">
            <v>PF1184</v>
          </cell>
          <cell r="B484">
            <v>1</v>
          </cell>
        </row>
        <row r="485">
          <cell r="A485" t="str">
            <v>PF1184</v>
          </cell>
          <cell r="B485">
            <v>1</v>
          </cell>
        </row>
        <row r="486">
          <cell r="A486" t="str">
            <v>PF1184</v>
          </cell>
          <cell r="B486">
            <v>1</v>
          </cell>
        </row>
        <row r="487">
          <cell r="A487" t="str">
            <v>PF1184</v>
          </cell>
          <cell r="B487">
            <v>1</v>
          </cell>
        </row>
        <row r="488">
          <cell r="A488" t="str">
            <v>SIN PLAN FORMATIVO</v>
          </cell>
          <cell r="B488">
            <v>1</v>
          </cell>
        </row>
        <row r="489">
          <cell r="A489" t="str">
            <v>PF0704</v>
          </cell>
          <cell r="B489">
            <v>2</v>
          </cell>
        </row>
        <row r="490">
          <cell r="A490" t="str">
            <v>PF0517</v>
          </cell>
          <cell r="B490">
            <v>2</v>
          </cell>
        </row>
        <row r="491">
          <cell r="A491" t="str">
            <v>PF0607</v>
          </cell>
          <cell r="B491">
            <v>2</v>
          </cell>
        </row>
        <row r="492">
          <cell r="A492" t="str">
            <v>PF0944</v>
          </cell>
          <cell r="B492">
            <v>2</v>
          </cell>
        </row>
        <row r="493">
          <cell r="A493" t="str">
            <v>PF0981</v>
          </cell>
          <cell r="B493">
            <v>2</v>
          </cell>
        </row>
        <row r="494">
          <cell r="A494" t="str">
            <v>PF0628</v>
          </cell>
          <cell r="B494">
            <v>2</v>
          </cell>
        </row>
        <row r="495">
          <cell r="A495" t="str">
            <v>PF0906</v>
          </cell>
          <cell r="B495">
            <v>1</v>
          </cell>
        </row>
        <row r="496">
          <cell r="A496" t="str">
            <v>PF0792</v>
          </cell>
          <cell r="B496">
            <v>1</v>
          </cell>
        </row>
        <row r="497">
          <cell r="A497" t="str">
            <v>PF0573</v>
          </cell>
          <cell r="B497">
            <v>3</v>
          </cell>
        </row>
        <row r="498">
          <cell r="A498" t="str">
            <v>PF0822</v>
          </cell>
          <cell r="B498">
            <v>2</v>
          </cell>
        </row>
        <row r="499">
          <cell r="A499" t="str">
            <v>PF0611</v>
          </cell>
          <cell r="B499">
            <v>2</v>
          </cell>
        </row>
        <row r="500">
          <cell r="A500" t="str">
            <v>PF0960</v>
          </cell>
          <cell r="B500">
            <v>2</v>
          </cell>
        </row>
        <row r="501">
          <cell r="A501" t="str">
            <v>PF0960</v>
          </cell>
          <cell r="B501">
            <v>2</v>
          </cell>
        </row>
        <row r="502">
          <cell r="A502" t="str">
            <v>PF0906</v>
          </cell>
          <cell r="B502">
            <v>1</v>
          </cell>
        </row>
        <row r="503">
          <cell r="A503" t="str">
            <v>PF0944</v>
          </cell>
          <cell r="B503">
            <v>2</v>
          </cell>
        </row>
        <row r="504">
          <cell r="A504" t="str">
            <v>PF0572</v>
          </cell>
          <cell r="B504">
            <v>2</v>
          </cell>
        </row>
        <row r="505">
          <cell r="A505" t="str">
            <v>PF0623</v>
          </cell>
          <cell r="B505">
            <v>3</v>
          </cell>
        </row>
        <row r="506">
          <cell r="A506" t="str">
            <v>PF0513</v>
          </cell>
          <cell r="B506">
            <v>2</v>
          </cell>
        </row>
        <row r="507">
          <cell r="A507" t="str">
            <v>PF0784</v>
          </cell>
          <cell r="B507">
            <v>3</v>
          </cell>
        </row>
        <row r="508">
          <cell r="A508" t="str">
            <v>PF1182</v>
          </cell>
          <cell r="B508">
            <v>2</v>
          </cell>
        </row>
        <row r="509">
          <cell r="A509" t="str">
            <v>PF0729</v>
          </cell>
          <cell r="B509">
            <v>2</v>
          </cell>
        </row>
        <row r="510">
          <cell r="A510" t="str">
            <v>PF0575</v>
          </cell>
          <cell r="B510">
            <v>3</v>
          </cell>
        </row>
        <row r="511">
          <cell r="A511" t="str">
            <v>SIN PLAN FORMATIVO</v>
          </cell>
          <cell r="B511">
            <v>2</v>
          </cell>
        </row>
        <row r="512">
          <cell r="A512" t="str">
            <v>SIN PLAN FORMATIVO</v>
          </cell>
          <cell r="B512">
            <v>2</v>
          </cell>
        </row>
        <row r="513">
          <cell r="A513" t="str">
            <v>SIN PLAN FORMATIVO</v>
          </cell>
          <cell r="B513">
            <v>2</v>
          </cell>
        </row>
        <row r="514">
          <cell r="A514" t="str">
            <v>SIN PLAN FORMATIVO</v>
          </cell>
          <cell r="B514">
            <v>2</v>
          </cell>
        </row>
        <row r="515">
          <cell r="A515" t="str">
            <v>SIN PLAN FORMATIVO</v>
          </cell>
          <cell r="B515">
            <v>2</v>
          </cell>
        </row>
        <row r="516">
          <cell r="A516" t="str">
            <v>SIN PLAN FORMATIVO</v>
          </cell>
          <cell r="B516">
            <v>2</v>
          </cell>
        </row>
        <row r="517">
          <cell r="A517" t="str">
            <v>SIN PLAN FORMATIVO</v>
          </cell>
          <cell r="B517">
            <v>2</v>
          </cell>
        </row>
        <row r="518">
          <cell r="A518" t="str">
            <v>PF0513</v>
          </cell>
          <cell r="B518">
            <v>2</v>
          </cell>
        </row>
        <row r="519">
          <cell r="A519" t="str">
            <v>SIN PLAN FORMATIVO</v>
          </cell>
          <cell r="B519">
            <v>2</v>
          </cell>
        </row>
        <row r="520">
          <cell r="A520" t="str">
            <v>SIN PLAN FORMATIVO</v>
          </cell>
          <cell r="B520">
            <v>2</v>
          </cell>
        </row>
        <row r="521">
          <cell r="A521" t="str">
            <v>PF1374</v>
          </cell>
          <cell r="B521">
            <v>2</v>
          </cell>
        </row>
        <row r="522">
          <cell r="A522" t="str">
            <v>PF1374</v>
          </cell>
          <cell r="B522">
            <v>2</v>
          </cell>
        </row>
        <row r="523">
          <cell r="A523" t="str">
            <v>PF0768</v>
          </cell>
          <cell r="B523">
            <v>2</v>
          </cell>
        </row>
        <row r="524">
          <cell r="A524" t="str">
            <v>SIN PLAN FORMATIVO</v>
          </cell>
          <cell r="B524">
            <v>2</v>
          </cell>
        </row>
        <row r="525">
          <cell r="A525" t="str">
            <v>SIN PLAN FORMATIVO</v>
          </cell>
          <cell r="B525">
            <v>2</v>
          </cell>
        </row>
        <row r="526">
          <cell r="A526" t="str">
            <v>PF0584</v>
          </cell>
          <cell r="B526">
            <v>3</v>
          </cell>
        </row>
        <row r="527">
          <cell r="A527" t="str">
            <v>PF0572</v>
          </cell>
          <cell r="B527">
            <v>2</v>
          </cell>
        </row>
        <row r="528">
          <cell r="A528" t="str">
            <v>PF0573</v>
          </cell>
          <cell r="B528">
            <v>3</v>
          </cell>
        </row>
        <row r="529">
          <cell r="A529" t="str">
            <v>PF0727</v>
          </cell>
          <cell r="B529">
            <v>1</v>
          </cell>
        </row>
        <row r="530">
          <cell r="A530" t="str">
            <v>PF0927</v>
          </cell>
          <cell r="B530">
            <v>1</v>
          </cell>
        </row>
        <row r="531">
          <cell r="A531" t="str">
            <v>PF0513</v>
          </cell>
          <cell r="B531">
            <v>2</v>
          </cell>
        </row>
        <row r="532">
          <cell r="A532" t="str">
            <v>PF0981</v>
          </cell>
          <cell r="B532">
            <v>2</v>
          </cell>
        </row>
        <row r="533">
          <cell r="A533" t="str">
            <v>PF0574</v>
          </cell>
          <cell r="B533">
            <v>2</v>
          </cell>
        </row>
        <row r="534">
          <cell r="A534" t="str">
            <v>PF0513</v>
          </cell>
          <cell r="B534">
            <v>2</v>
          </cell>
        </row>
        <row r="535">
          <cell r="A535" t="str">
            <v>PF0792</v>
          </cell>
          <cell r="B535">
            <v>1</v>
          </cell>
        </row>
        <row r="536">
          <cell r="A536" t="str">
            <v>PF0714</v>
          </cell>
          <cell r="B536">
            <v>2</v>
          </cell>
        </row>
        <row r="537">
          <cell r="A537" t="str">
            <v>PF1313</v>
          </cell>
          <cell r="B537">
            <v>3</v>
          </cell>
        </row>
        <row r="538">
          <cell r="A538" t="str">
            <v>PF0626</v>
          </cell>
          <cell r="B538">
            <v>2</v>
          </cell>
        </row>
        <row r="539">
          <cell r="A539" t="str">
            <v>PF0794</v>
          </cell>
          <cell r="B539">
            <v>2</v>
          </cell>
        </row>
        <row r="540">
          <cell r="A540" t="str">
            <v>PF0576</v>
          </cell>
          <cell r="B540">
            <v>2</v>
          </cell>
        </row>
        <row r="541">
          <cell r="A541" t="str">
            <v>PF0690</v>
          </cell>
          <cell r="B541">
            <v>1</v>
          </cell>
        </row>
        <row r="542">
          <cell r="A542" t="str">
            <v>PF0576</v>
          </cell>
          <cell r="B542">
            <v>2</v>
          </cell>
        </row>
        <row r="543">
          <cell r="A543" t="str">
            <v>PF0679</v>
          </cell>
          <cell r="B543">
            <v>3</v>
          </cell>
        </row>
        <row r="544">
          <cell r="A544" t="str">
            <v>PF0679</v>
          </cell>
          <cell r="B544">
            <v>3</v>
          </cell>
        </row>
        <row r="545">
          <cell r="A545" t="str">
            <v>PF0679</v>
          </cell>
          <cell r="B545">
            <v>3</v>
          </cell>
        </row>
        <row r="546">
          <cell r="A546" t="str">
            <v>PF1199</v>
          </cell>
          <cell r="B546">
            <v>1</v>
          </cell>
        </row>
        <row r="547">
          <cell r="A547" t="str">
            <v>PF1184</v>
          </cell>
          <cell r="B547">
            <v>1</v>
          </cell>
        </row>
        <row r="548">
          <cell r="A548" t="str">
            <v>PF1184</v>
          </cell>
          <cell r="B548">
            <v>1</v>
          </cell>
        </row>
        <row r="549">
          <cell r="A549" t="str">
            <v>PF1184</v>
          </cell>
          <cell r="B549">
            <v>1</v>
          </cell>
        </row>
        <row r="550">
          <cell r="A550" t="str">
            <v>PF1184</v>
          </cell>
          <cell r="B550">
            <v>1</v>
          </cell>
        </row>
        <row r="551">
          <cell r="A551" t="str">
            <v>PF1280</v>
          </cell>
          <cell r="B551">
            <v>2</v>
          </cell>
        </row>
        <row r="552">
          <cell r="A552" t="str">
            <v>PF1454</v>
          </cell>
          <cell r="B552">
            <v>2</v>
          </cell>
        </row>
        <row r="553">
          <cell r="A553" t="str">
            <v>PF0624</v>
          </cell>
          <cell r="B553">
            <v>3</v>
          </cell>
        </row>
        <row r="554">
          <cell r="A554" t="str">
            <v>PF0624</v>
          </cell>
          <cell r="B554">
            <v>3</v>
          </cell>
        </row>
        <row r="555">
          <cell r="A555" t="str">
            <v>PF1432</v>
          </cell>
          <cell r="B555">
            <v>2</v>
          </cell>
        </row>
        <row r="556">
          <cell r="A556" t="str">
            <v>PF1257</v>
          </cell>
          <cell r="B556">
            <v>3</v>
          </cell>
        </row>
        <row r="557">
          <cell r="A557" t="str">
            <v>PF1257</v>
          </cell>
          <cell r="B557">
            <v>3</v>
          </cell>
        </row>
        <row r="558">
          <cell r="A558" t="str">
            <v>PF0576</v>
          </cell>
          <cell r="B558">
            <v>2</v>
          </cell>
        </row>
        <row r="559">
          <cell r="A559" t="str">
            <v>PF1199</v>
          </cell>
          <cell r="B559">
            <v>1</v>
          </cell>
        </row>
        <row r="560">
          <cell r="A560" t="str">
            <v>PF1199</v>
          </cell>
          <cell r="B560">
            <v>1</v>
          </cell>
        </row>
        <row r="561">
          <cell r="A561" t="str">
            <v>PF1199</v>
          </cell>
          <cell r="B561">
            <v>1</v>
          </cell>
        </row>
        <row r="562">
          <cell r="A562" t="str">
            <v>PF1199</v>
          </cell>
          <cell r="B562">
            <v>1</v>
          </cell>
        </row>
        <row r="563">
          <cell r="A563" t="str">
            <v>PF1199</v>
          </cell>
          <cell r="B563">
            <v>1</v>
          </cell>
        </row>
        <row r="564">
          <cell r="A564" t="str">
            <v>PF1409</v>
          </cell>
          <cell r="B564">
            <v>3</v>
          </cell>
        </row>
        <row r="565">
          <cell r="A565" t="str">
            <v>PF1409</v>
          </cell>
          <cell r="B565">
            <v>3</v>
          </cell>
        </row>
        <row r="566">
          <cell r="A566" t="str">
            <v>PF1280</v>
          </cell>
          <cell r="B566">
            <v>2</v>
          </cell>
        </row>
        <row r="567">
          <cell r="A567" t="str">
            <v>PF1454</v>
          </cell>
          <cell r="B567">
            <v>2</v>
          </cell>
        </row>
        <row r="568">
          <cell r="A568" t="str">
            <v>PF1199</v>
          </cell>
          <cell r="B568">
            <v>1</v>
          </cell>
        </row>
        <row r="569">
          <cell r="A569" t="str">
            <v>PF1199</v>
          </cell>
          <cell r="B569">
            <v>1</v>
          </cell>
        </row>
        <row r="570">
          <cell r="A570" t="str">
            <v>PF1199</v>
          </cell>
          <cell r="B570">
            <v>1</v>
          </cell>
        </row>
        <row r="571">
          <cell r="A571" t="str">
            <v>PF1199</v>
          </cell>
          <cell r="B571">
            <v>1</v>
          </cell>
        </row>
        <row r="572">
          <cell r="A572" t="str">
            <v>PF1199</v>
          </cell>
          <cell r="B572">
            <v>1</v>
          </cell>
        </row>
        <row r="573">
          <cell r="A573" t="str">
            <v>PF1199</v>
          </cell>
          <cell r="B573">
            <v>1</v>
          </cell>
        </row>
        <row r="574">
          <cell r="A574" t="str">
            <v>PF1199</v>
          </cell>
          <cell r="B574">
            <v>1</v>
          </cell>
        </row>
        <row r="575">
          <cell r="A575" t="str">
            <v>PF1199</v>
          </cell>
          <cell r="B575">
            <v>1</v>
          </cell>
        </row>
        <row r="576">
          <cell r="A576" t="str">
            <v>PF0513</v>
          </cell>
          <cell r="B576">
            <v>2</v>
          </cell>
        </row>
        <row r="577">
          <cell r="A577" t="str">
            <v>PF0906</v>
          </cell>
          <cell r="B577">
            <v>1</v>
          </cell>
        </row>
        <row r="578">
          <cell r="A578" t="str">
            <v>PF1184</v>
          </cell>
          <cell r="B578">
            <v>1</v>
          </cell>
        </row>
        <row r="579">
          <cell r="A579" t="str">
            <v>PF1376</v>
          </cell>
          <cell r="B579">
            <v>3</v>
          </cell>
        </row>
        <row r="580">
          <cell r="A580" t="str">
            <v>PF0944</v>
          </cell>
          <cell r="B580">
            <v>2</v>
          </cell>
        </row>
        <row r="581">
          <cell r="A581" t="str">
            <v>PF0819</v>
          </cell>
          <cell r="B581">
            <v>1</v>
          </cell>
        </row>
        <row r="582">
          <cell r="A582" t="str">
            <v>PF0604</v>
          </cell>
          <cell r="B582">
            <v>2</v>
          </cell>
        </row>
        <row r="583">
          <cell r="A583" t="str">
            <v>PF1432</v>
          </cell>
          <cell r="B583">
            <v>2</v>
          </cell>
        </row>
        <row r="584">
          <cell r="A584" t="str">
            <v>PF0676</v>
          </cell>
          <cell r="B584">
            <v>2</v>
          </cell>
        </row>
        <row r="585">
          <cell r="A585" t="str">
            <v>PF0825</v>
          </cell>
          <cell r="B585">
            <v>1</v>
          </cell>
        </row>
        <row r="586">
          <cell r="A586" t="str">
            <v>PF0784</v>
          </cell>
          <cell r="B586">
            <v>3</v>
          </cell>
        </row>
        <row r="587">
          <cell r="A587" t="str">
            <v>PF0579</v>
          </cell>
          <cell r="B587">
            <v>1</v>
          </cell>
        </row>
        <row r="588">
          <cell r="A588" t="str">
            <v>PF0792</v>
          </cell>
          <cell r="B588">
            <v>1</v>
          </cell>
        </row>
        <row r="589">
          <cell r="A589" t="str">
            <v>PF0584</v>
          </cell>
          <cell r="B589">
            <v>3</v>
          </cell>
        </row>
        <row r="590">
          <cell r="A590" t="str">
            <v>PF0728</v>
          </cell>
          <cell r="B590">
            <v>1</v>
          </cell>
        </row>
        <row r="591">
          <cell r="A591" t="str">
            <v>PF0513</v>
          </cell>
          <cell r="B591">
            <v>2</v>
          </cell>
        </row>
        <row r="592">
          <cell r="A592" t="str">
            <v>PF0592</v>
          </cell>
          <cell r="B592">
            <v>1</v>
          </cell>
        </row>
        <row r="593">
          <cell r="A593" t="str">
            <v>PF0715</v>
          </cell>
          <cell r="B593">
            <v>2</v>
          </cell>
        </row>
        <row r="594">
          <cell r="A594" t="str">
            <v>PF0573</v>
          </cell>
          <cell r="B594">
            <v>3</v>
          </cell>
        </row>
        <row r="595">
          <cell r="A595" t="str">
            <v>PF0622</v>
          </cell>
          <cell r="B595">
            <v>3</v>
          </cell>
        </row>
        <row r="596">
          <cell r="A596" t="str">
            <v>SIN PLAN FORMATIVO</v>
          </cell>
          <cell r="B596">
            <v>2</v>
          </cell>
        </row>
        <row r="597">
          <cell r="A597" t="str">
            <v>SIN PLAN FORMATIVO</v>
          </cell>
          <cell r="B597">
            <v>2</v>
          </cell>
        </row>
        <row r="598">
          <cell r="A598" t="str">
            <v>SIN PLAN FORMATIVO</v>
          </cell>
          <cell r="B598">
            <v>3</v>
          </cell>
        </row>
        <row r="599">
          <cell r="A599" t="str">
            <v>SIN PLAN FORMATIVO</v>
          </cell>
          <cell r="B599">
            <v>3</v>
          </cell>
        </row>
        <row r="600">
          <cell r="A600" t="str">
            <v>PF0513</v>
          </cell>
          <cell r="B600">
            <v>2</v>
          </cell>
        </row>
        <row r="601">
          <cell r="A601" t="str">
            <v>PF0513</v>
          </cell>
          <cell r="B601">
            <v>2</v>
          </cell>
        </row>
        <row r="602">
          <cell r="A602" t="str">
            <v>PF0513</v>
          </cell>
          <cell r="B602">
            <v>2</v>
          </cell>
        </row>
        <row r="603">
          <cell r="A603" t="str">
            <v>SIN PLAN FORMATIVO</v>
          </cell>
          <cell r="B603">
            <v>2</v>
          </cell>
        </row>
        <row r="604">
          <cell r="A604" t="str">
            <v>SIN PLAN FORMATIVO</v>
          </cell>
          <cell r="B604">
            <v>2</v>
          </cell>
        </row>
        <row r="605">
          <cell r="A605" t="str">
            <v>SIN PLAN FORMATIVO</v>
          </cell>
          <cell r="B605">
            <v>2</v>
          </cell>
        </row>
        <row r="606">
          <cell r="A606" t="str">
            <v>SIN PLAN FORMATIVO</v>
          </cell>
          <cell r="B606">
            <v>3</v>
          </cell>
        </row>
        <row r="607">
          <cell r="A607" t="str">
            <v>PF0607</v>
          </cell>
          <cell r="B607">
            <v>2</v>
          </cell>
        </row>
        <row r="608">
          <cell r="A608" t="str">
            <v>PF0981</v>
          </cell>
          <cell r="B608">
            <v>2</v>
          </cell>
        </row>
        <row r="609">
          <cell r="A609" t="str">
            <v>PF0981</v>
          </cell>
          <cell r="B609">
            <v>2</v>
          </cell>
        </row>
        <row r="610">
          <cell r="A610" t="str">
            <v>PF0513</v>
          </cell>
          <cell r="B610">
            <v>2</v>
          </cell>
        </row>
        <row r="611">
          <cell r="A611" t="str">
            <v>PF0513</v>
          </cell>
          <cell r="B611">
            <v>2</v>
          </cell>
        </row>
        <row r="612">
          <cell r="A612" t="str">
            <v>PF0513</v>
          </cell>
          <cell r="B612">
            <v>2</v>
          </cell>
        </row>
        <row r="613">
          <cell r="A613" t="str">
            <v>PF0513</v>
          </cell>
          <cell r="B613">
            <v>2</v>
          </cell>
        </row>
        <row r="614">
          <cell r="A614" t="str">
            <v>PF0513</v>
          </cell>
          <cell r="B614">
            <v>2</v>
          </cell>
        </row>
        <row r="615">
          <cell r="A615" t="str">
            <v>PF0513</v>
          </cell>
          <cell r="B615">
            <v>2</v>
          </cell>
        </row>
        <row r="616">
          <cell r="A616" t="str">
            <v>PF0513</v>
          </cell>
          <cell r="B616">
            <v>2</v>
          </cell>
        </row>
        <row r="617">
          <cell r="A617" t="str">
            <v>PF0513</v>
          </cell>
          <cell r="B617">
            <v>2</v>
          </cell>
        </row>
        <row r="618">
          <cell r="A618" t="str">
            <v>PF0513</v>
          </cell>
          <cell r="B618">
            <v>2</v>
          </cell>
        </row>
        <row r="619">
          <cell r="A619" t="str">
            <v>PF1199</v>
          </cell>
          <cell r="B619">
            <v>1</v>
          </cell>
        </row>
        <row r="620">
          <cell r="A620" t="str">
            <v>PF0625</v>
          </cell>
          <cell r="B620">
            <v>2</v>
          </cell>
        </row>
        <row r="621">
          <cell r="A621" t="str">
            <v>PF0513</v>
          </cell>
          <cell r="B621">
            <v>2</v>
          </cell>
        </row>
        <row r="622">
          <cell r="A622" t="str">
            <v>PF1012</v>
          </cell>
          <cell r="B622">
            <v>3</v>
          </cell>
        </row>
        <row r="623">
          <cell r="A623" t="str">
            <v>PF1257</v>
          </cell>
          <cell r="B623">
            <v>3</v>
          </cell>
        </row>
        <row r="624">
          <cell r="A624" t="str">
            <v>PF0729</v>
          </cell>
          <cell r="B624">
            <v>2</v>
          </cell>
        </row>
        <row r="625">
          <cell r="A625" t="str">
            <v>PF1313</v>
          </cell>
          <cell r="B625">
            <v>3</v>
          </cell>
        </row>
        <row r="626">
          <cell r="A626" t="str">
            <v>PF0981</v>
          </cell>
          <cell r="B626">
            <v>2</v>
          </cell>
        </row>
        <row r="627">
          <cell r="A627" t="str">
            <v>PF0960</v>
          </cell>
          <cell r="B627">
            <v>2</v>
          </cell>
        </row>
        <row r="628">
          <cell r="A628" t="str">
            <v>PF1184</v>
          </cell>
          <cell r="B628">
            <v>1</v>
          </cell>
        </row>
        <row r="629">
          <cell r="A629" t="str">
            <v>PF1184</v>
          </cell>
          <cell r="B629">
            <v>1</v>
          </cell>
        </row>
        <row r="630">
          <cell r="A630" t="str">
            <v>SIN PLAN FORMATIVO</v>
          </cell>
          <cell r="B630">
            <v>2</v>
          </cell>
        </row>
        <row r="631">
          <cell r="A631" t="str">
            <v>SIN PLAN FORMATIVO</v>
          </cell>
          <cell r="B631">
            <v>1</v>
          </cell>
        </row>
        <row r="632">
          <cell r="A632" t="str">
            <v>SIN PLAN FORMATIVO</v>
          </cell>
          <cell r="B632">
            <v>2</v>
          </cell>
        </row>
        <row r="633">
          <cell r="A633" t="str">
            <v>PF0622</v>
          </cell>
          <cell r="B633">
            <v>3</v>
          </cell>
        </row>
        <row r="634">
          <cell r="A634" t="str">
            <v>PF0513</v>
          </cell>
          <cell r="B634">
            <v>2</v>
          </cell>
        </row>
        <row r="635">
          <cell r="A635" t="str">
            <v>PF0513</v>
          </cell>
          <cell r="B635">
            <v>2</v>
          </cell>
        </row>
        <row r="636">
          <cell r="A636" t="str">
            <v>PF0625</v>
          </cell>
          <cell r="B636">
            <v>2</v>
          </cell>
        </row>
        <row r="637">
          <cell r="A637" t="str">
            <v>PF0625</v>
          </cell>
          <cell r="B637">
            <v>2</v>
          </cell>
        </row>
        <row r="638">
          <cell r="A638" t="str">
            <v xml:space="preserve">PF0729 </v>
          </cell>
          <cell r="B638">
            <v>2</v>
          </cell>
        </row>
        <row r="639">
          <cell r="A639" t="str">
            <v>PF0549</v>
          </cell>
          <cell r="B639">
            <v>2</v>
          </cell>
        </row>
        <row r="640">
          <cell r="A640" t="str">
            <v>PF1257</v>
          </cell>
          <cell r="B640">
            <v>3</v>
          </cell>
        </row>
        <row r="641">
          <cell r="A641" t="str">
            <v>SIN PLAN FORMATIVO</v>
          </cell>
          <cell r="B641">
            <v>2</v>
          </cell>
        </row>
        <row r="642">
          <cell r="A642" t="str">
            <v>PF0604</v>
          </cell>
          <cell r="B642">
            <v>2</v>
          </cell>
        </row>
        <row r="643">
          <cell r="A643" t="str">
            <v>SIN PLAN FORMATIVO</v>
          </cell>
          <cell r="B643">
            <v>2</v>
          </cell>
        </row>
        <row r="644">
          <cell r="A644" t="str">
            <v>PF1313</v>
          </cell>
          <cell r="B644">
            <v>3</v>
          </cell>
        </row>
        <row r="645">
          <cell r="A645" t="str">
            <v>PF1313</v>
          </cell>
          <cell r="B645">
            <v>3</v>
          </cell>
        </row>
        <row r="646">
          <cell r="A646" t="str">
            <v>PF0960</v>
          </cell>
          <cell r="B646">
            <v>2</v>
          </cell>
        </row>
        <row r="647">
          <cell r="A647" t="str">
            <v>PF0960</v>
          </cell>
          <cell r="B647">
            <v>2</v>
          </cell>
        </row>
        <row r="648">
          <cell r="A648" t="str">
            <v>PF0513</v>
          </cell>
          <cell r="B648">
            <v>2</v>
          </cell>
        </row>
        <row r="649">
          <cell r="A649" t="str">
            <v>PF1432</v>
          </cell>
          <cell r="B649">
            <v>2</v>
          </cell>
        </row>
        <row r="650">
          <cell r="A650" t="str">
            <v>PF1199</v>
          </cell>
          <cell r="B650">
            <v>1</v>
          </cell>
        </row>
        <row r="651">
          <cell r="A651" t="str">
            <v>PF1199</v>
          </cell>
          <cell r="B651">
            <v>1</v>
          </cell>
        </row>
        <row r="652">
          <cell r="A652" t="str">
            <v>PF1199</v>
          </cell>
          <cell r="B652">
            <v>1</v>
          </cell>
        </row>
        <row r="653">
          <cell r="A653" t="str">
            <v>PF1199</v>
          </cell>
          <cell r="B653">
            <v>1</v>
          </cell>
        </row>
        <row r="654">
          <cell r="A654" t="str">
            <v>PF1199</v>
          </cell>
          <cell r="B654">
            <v>1</v>
          </cell>
        </row>
        <row r="655">
          <cell r="A655" t="str">
            <v>PF0607</v>
          </cell>
          <cell r="B655">
            <v>2</v>
          </cell>
        </row>
        <row r="656">
          <cell r="A656" t="str">
            <v>PF0607</v>
          </cell>
          <cell r="B656">
            <v>2</v>
          </cell>
        </row>
        <row r="657">
          <cell r="A657" t="str">
            <v>PF0607</v>
          </cell>
          <cell r="B657">
            <v>2</v>
          </cell>
        </row>
        <row r="658">
          <cell r="A658" t="str">
            <v>PF0607</v>
          </cell>
          <cell r="B658">
            <v>2</v>
          </cell>
        </row>
        <row r="659">
          <cell r="A659" t="str">
            <v>PF0607</v>
          </cell>
          <cell r="B659">
            <v>2</v>
          </cell>
        </row>
        <row r="660">
          <cell r="A660" t="str">
            <v>PF0607</v>
          </cell>
          <cell r="B660">
            <v>2</v>
          </cell>
        </row>
        <row r="661">
          <cell r="A661" t="str">
            <v>PF1292</v>
          </cell>
          <cell r="B661">
            <v>2</v>
          </cell>
        </row>
        <row r="662">
          <cell r="A662" t="str">
            <v>PF1454</v>
          </cell>
          <cell r="B662">
            <v>2</v>
          </cell>
        </row>
        <row r="663">
          <cell r="A663" t="str">
            <v>PF0622</v>
          </cell>
          <cell r="B663">
            <v>3</v>
          </cell>
        </row>
        <row r="664">
          <cell r="A664" t="str">
            <v>PF0607</v>
          </cell>
          <cell r="B664">
            <v>2</v>
          </cell>
        </row>
        <row r="665">
          <cell r="A665" t="str">
            <v>SIN PLAN FORMATIVO</v>
          </cell>
          <cell r="B665">
            <v>1</v>
          </cell>
        </row>
        <row r="666">
          <cell r="A666" t="str">
            <v>PF0622</v>
          </cell>
          <cell r="B666">
            <v>3</v>
          </cell>
        </row>
        <row r="667">
          <cell r="A667" t="str">
            <v>PF1199</v>
          </cell>
          <cell r="B667">
            <v>1</v>
          </cell>
        </row>
        <row r="668">
          <cell r="A668" t="str">
            <v>SIN PLAN FORMATIVO</v>
          </cell>
          <cell r="B668">
            <v>3</v>
          </cell>
        </row>
        <row r="669">
          <cell r="A669" t="str">
            <v>PF1199</v>
          </cell>
          <cell r="B669">
            <v>1</v>
          </cell>
        </row>
        <row r="670">
          <cell r="A670" t="str">
            <v>PF1199</v>
          </cell>
          <cell r="B670">
            <v>1</v>
          </cell>
        </row>
        <row r="671">
          <cell r="A671" t="str">
            <v>PF1199</v>
          </cell>
          <cell r="B671">
            <v>1</v>
          </cell>
        </row>
        <row r="672">
          <cell r="A672" t="str">
            <v>PF1199</v>
          </cell>
          <cell r="B672">
            <v>1</v>
          </cell>
        </row>
        <row r="673">
          <cell r="A673" t="str">
            <v>PF1199</v>
          </cell>
          <cell r="B673">
            <v>1</v>
          </cell>
        </row>
        <row r="674">
          <cell r="A674" t="str">
            <v>PF0978</v>
          </cell>
          <cell r="B674">
            <v>1</v>
          </cell>
        </row>
        <row r="675">
          <cell r="A675" t="str">
            <v>PF0615</v>
          </cell>
          <cell r="B675">
            <v>2</v>
          </cell>
        </row>
        <row r="676">
          <cell r="A676" t="str">
            <v>PF0628</v>
          </cell>
          <cell r="B676">
            <v>2</v>
          </cell>
        </row>
        <row r="677">
          <cell r="A677" t="str">
            <v>PF0628</v>
          </cell>
          <cell r="B677">
            <v>2</v>
          </cell>
        </row>
        <row r="678">
          <cell r="A678" t="str">
            <v>PF0625</v>
          </cell>
          <cell r="B678">
            <v>2</v>
          </cell>
        </row>
        <row r="679">
          <cell r="A679" t="str">
            <v>PF0587</v>
          </cell>
          <cell r="B679">
            <v>3</v>
          </cell>
        </row>
        <row r="680">
          <cell r="A680" t="str">
            <v>PF0944</v>
          </cell>
          <cell r="B680">
            <v>2</v>
          </cell>
        </row>
        <row r="681">
          <cell r="A681" t="str">
            <v>PF0965</v>
          </cell>
          <cell r="B681">
            <v>2</v>
          </cell>
        </row>
        <row r="682">
          <cell r="A682" t="str">
            <v>PF0574</v>
          </cell>
          <cell r="B682">
            <v>2</v>
          </cell>
        </row>
        <row r="683">
          <cell r="A683" t="str">
            <v>PF0714</v>
          </cell>
          <cell r="B683">
            <v>2</v>
          </cell>
        </row>
        <row r="684">
          <cell r="A684" t="str">
            <v>PF0925</v>
          </cell>
          <cell r="B684">
            <v>2</v>
          </cell>
        </row>
        <row r="685">
          <cell r="A685" t="str">
            <v>PF0612</v>
          </cell>
          <cell r="B685">
            <v>2</v>
          </cell>
        </row>
        <row r="686">
          <cell r="A686" t="str">
            <v>PF0601</v>
          </cell>
          <cell r="B686">
            <v>2</v>
          </cell>
        </row>
        <row r="687">
          <cell r="A687" t="str">
            <v>PF0574</v>
          </cell>
          <cell r="B687">
            <v>2</v>
          </cell>
        </row>
        <row r="688">
          <cell r="A688" t="str">
            <v>PF0981</v>
          </cell>
          <cell r="B688">
            <v>2</v>
          </cell>
        </row>
        <row r="689">
          <cell r="A689" t="str">
            <v>PF1240</v>
          </cell>
          <cell r="B689">
            <v>3</v>
          </cell>
        </row>
        <row r="690">
          <cell r="A690" t="str">
            <v>SIN PLAN FORMATIVO</v>
          </cell>
          <cell r="B690">
            <v>1</v>
          </cell>
        </row>
        <row r="691">
          <cell r="A691" t="str">
            <v>SIN PLAN FORMATIVO</v>
          </cell>
          <cell r="B691">
            <v>2</v>
          </cell>
        </row>
        <row r="692">
          <cell r="A692" t="str">
            <v>PF0981</v>
          </cell>
          <cell r="B692">
            <v>2</v>
          </cell>
        </row>
        <row r="693">
          <cell r="A693" t="str">
            <v>PF0981</v>
          </cell>
          <cell r="B693">
            <v>2</v>
          </cell>
        </row>
        <row r="694">
          <cell r="A694" t="str">
            <v>PF1432</v>
          </cell>
          <cell r="B694">
            <v>2</v>
          </cell>
        </row>
        <row r="695">
          <cell r="A695" t="str">
            <v>PF0611</v>
          </cell>
          <cell r="B695">
            <v>2</v>
          </cell>
        </row>
        <row r="696">
          <cell r="A696" t="str">
            <v>PF0513</v>
          </cell>
          <cell r="B696">
            <v>2</v>
          </cell>
        </row>
        <row r="697">
          <cell r="A697" t="str">
            <v>PF1373</v>
          </cell>
          <cell r="B697">
            <v>3</v>
          </cell>
        </row>
        <row r="698">
          <cell r="A698" t="str">
            <v>PF1430</v>
          </cell>
          <cell r="B698">
            <v>2</v>
          </cell>
        </row>
        <row r="699">
          <cell r="A699" t="str">
            <v>PF1257</v>
          </cell>
          <cell r="B699">
            <v>3</v>
          </cell>
        </row>
        <row r="700">
          <cell r="A700" t="str">
            <v>PF1313</v>
          </cell>
          <cell r="B700">
            <v>3</v>
          </cell>
        </row>
        <row r="701">
          <cell r="A701" t="str">
            <v>PF0662</v>
          </cell>
          <cell r="B701">
            <v>1</v>
          </cell>
        </row>
        <row r="702">
          <cell r="A702" t="str">
            <v>PF0576</v>
          </cell>
          <cell r="B702">
            <v>2</v>
          </cell>
        </row>
        <row r="703">
          <cell r="A703" t="str">
            <v>PF0615</v>
          </cell>
          <cell r="B703">
            <v>2</v>
          </cell>
        </row>
        <row r="704">
          <cell r="A704" t="str">
            <v>PF0978</v>
          </cell>
          <cell r="B704">
            <v>1</v>
          </cell>
        </row>
        <row r="705">
          <cell r="A705" t="str">
            <v>PF0624</v>
          </cell>
          <cell r="B705">
            <v>3</v>
          </cell>
        </row>
        <row r="706">
          <cell r="A706" t="str">
            <v>PF0628</v>
          </cell>
          <cell r="B706">
            <v>2</v>
          </cell>
        </row>
        <row r="707">
          <cell r="A707" t="str">
            <v>PF0795</v>
          </cell>
          <cell r="B707">
            <v>3</v>
          </cell>
        </row>
        <row r="708">
          <cell r="A708" t="str">
            <v>PF0845</v>
          </cell>
          <cell r="B708">
            <v>3</v>
          </cell>
        </row>
        <row r="709">
          <cell r="A709" t="str">
            <v>PF0845</v>
          </cell>
          <cell r="B709">
            <v>3</v>
          </cell>
        </row>
        <row r="710">
          <cell r="A710" t="str">
            <v>PF0925</v>
          </cell>
          <cell r="B710">
            <v>2</v>
          </cell>
        </row>
        <row r="711">
          <cell r="A711" t="str">
            <v>PF0925</v>
          </cell>
          <cell r="B711">
            <v>2</v>
          </cell>
        </row>
        <row r="712">
          <cell r="A712" t="str">
            <v>PF1001</v>
          </cell>
          <cell r="B712">
            <v>3</v>
          </cell>
        </row>
        <row r="713">
          <cell r="A713" t="str">
            <v>PF1184</v>
          </cell>
          <cell r="B713">
            <v>1</v>
          </cell>
        </row>
        <row r="714">
          <cell r="A714" t="str">
            <v>PF1293</v>
          </cell>
          <cell r="B714">
            <v>2</v>
          </cell>
        </row>
        <row r="715">
          <cell r="A715" t="str">
            <v>PF1374</v>
          </cell>
          <cell r="B715">
            <v>2</v>
          </cell>
        </row>
        <row r="716">
          <cell r="A716" t="str">
            <v>PF1374</v>
          </cell>
          <cell r="B716">
            <v>2</v>
          </cell>
        </row>
        <row r="717">
          <cell r="A717" t="str">
            <v>PF0622</v>
          </cell>
          <cell r="B717">
            <v>3</v>
          </cell>
        </row>
        <row r="718">
          <cell r="A718" t="str">
            <v>PF0576</v>
          </cell>
          <cell r="B718">
            <v>2</v>
          </cell>
        </row>
        <row r="719">
          <cell r="A719" t="str">
            <v>PF1257</v>
          </cell>
          <cell r="B719">
            <v>3</v>
          </cell>
        </row>
        <row r="720">
          <cell r="A720" t="str">
            <v>PF0793</v>
          </cell>
          <cell r="B720">
            <v>2</v>
          </cell>
        </row>
        <row r="721">
          <cell r="A721" t="str">
            <v xml:space="preserve">PF0702 </v>
          </cell>
          <cell r="B721">
            <v>1</v>
          </cell>
        </row>
        <row r="722">
          <cell r="A722" t="str">
            <v>PF0611</v>
          </cell>
          <cell r="B722">
            <v>2</v>
          </cell>
        </row>
        <row r="723">
          <cell r="A723" t="str">
            <v>PF0797</v>
          </cell>
          <cell r="B723">
            <v>2</v>
          </cell>
        </row>
        <row r="724">
          <cell r="A724" t="str">
            <v>PF0718</v>
          </cell>
          <cell r="B724">
            <v>2</v>
          </cell>
        </row>
        <row r="725">
          <cell r="A725" t="str">
            <v>PF1433</v>
          </cell>
          <cell r="B725">
            <v>2</v>
          </cell>
        </row>
        <row r="726">
          <cell r="A726" t="str">
            <v>PF1257</v>
          </cell>
          <cell r="B726">
            <v>3</v>
          </cell>
        </row>
        <row r="727">
          <cell r="A727" t="str">
            <v>PF0792</v>
          </cell>
          <cell r="B727">
            <v>1</v>
          </cell>
        </row>
        <row r="728">
          <cell r="A728" t="str">
            <v>PF1274</v>
          </cell>
          <cell r="B728">
            <v>2</v>
          </cell>
        </row>
        <row r="729">
          <cell r="A729" t="str">
            <v>PF0720</v>
          </cell>
          <cell r="B729">
            <v>2</v>
          </cell>
        </row>
        <row r="730">
          <cell r="A730" t="str">
            <v>PF0615</v>
          </cell>
          <cell r="B730">
            <v>2</v>
          </cell>
        </row>
        <row r="731">
          <cell r="A731" t="str">
            <v>PF0625</v>
          </cell>
          <cell r="B731">
            <v>2</v>
          </cell>
        </row>
        <row r="732">
          <cell r="A732" t="str">
            <v>SIN PLAN FORMATIVO</v>
          </cell>
          <cell r="B732">
            <v>1</v>
          </cell>
        </row>
        <row r="733">
          <cell r="A733" t="str">
            <v>SIN PLAN FORMATIVO</v>
          </cell>
          <cell r="B733">
            <v>1</v>
          </cell>
        </row>
        <row r="734">
          <cell r="A734" t="str">
            <v>PF0513</v>
          </cell>
          <cell r="B734">
            <v>2</v>
          </cell>
        </row>
        <row r="735">
          <cell r="A735" t="str">
            <v>SIN PLAN FORMATIVO</v>
          </cell>
          <cell r="B735">
            <v>3</v>
          </cell>
        </row>
        <row r="736">
          <cell r="A736" t="str">
            <v>SIN PLAN FORMATIVO</v>
          </cell>
          <cell r="B736">
            <v>3</v>
          </cell>
        </row>
        <row r="737">
          <cell r="A737" t="str">
            <v>SIN PLAN FORMATIVO</v>
          </cell>
          <cell r="B737">
            <v>3</v>
          </cell>
        </row>
        <row r="738">
          <cell r="A738" t="str">
            <v>SIN PLAN FORMATIVO</v>
          </cell>
          <cell r="B738">
            <v>3</v>
          </cell>
        </row>
        <row r="739">
          <cell r="A739" t="str">
            <v>PF0513</v>
          </cell>
          <cell r="B739">
            <v>3</v>
          </cell>
        </row>
        <row r="740">
          <cell r="A740" t="str">
            <v>SIN PLAN FORMATIVO</v>
          </cell>
          <cell r="B740">
            <v>3</v>
          </cell>
        </row>
        <row r="741">
          <cell r="A741" t="str">
            <v>SIN PLAN FORMATIVO</v>
          </cell>
          <cell r="B741">
            <v>2</v>
          </cell>
        </row>
        <row r="742">
          <cell r="A742" t="str">
            <v>SIN PLAN FORMATIVO</v>
          </cell>
          <cell r="B742">
            <v>3</v>
          </cell>
        </row>
        <row r="743">
          <cell r="A743" t="str">
            <v>SIN PLAN FORMATIVO</v>
          </cell>
          <cell r="B743">
            <v>3</v>
          </cell>
        </row>
        <row r="744">
          <cell r="A744" t="str">
            <v>SIN PLAN FORMATIVO</v>
          </cell>
          <cell r="B744">
            <v>3</v>
          </cell>
        </row>
        <row r="745">
          <cell r="A745" t="str">
            <v>PF0519</v>
          </cell>
          <cell r="B745">
            <v>2</v>
          </cell>
        </row>
        <row r="746">
          <cell r="A746" t="str">
            <v>PF0594</v>
          </cell>
          <cell r="B746">
            <v>1</v>
          </cell>
        </row>
        <row r="747">
          <cell r="A747" t="str">
            <v>PF0622</v>
          </cell>
          <cell r="B747">
            <v>3</v>
          </cell>
        </row>
        <row r="748">
          <cell r="A748" t="str">
            <v>PF0966</v>
          </cell>
          <cell r="B748">
            <v>3</v>
          </cell>
        </row>
        <row r="749">
          <cell r="A749" t="str">
            <v>PF0982</v>
          </cell>
          <cell r="B749">
            <v>1</v>
          </cell>
        </row>
        <row r="750">
          <cell r="A750" t="str">
            <v>PF1374</v>
          </cell>
          <cell r="B750">
            <v>2</v>
          </cell>
        </row>
        <row r="751">
          <cell r="A751" t="str">
            <v>PF1434</v>
          </cell>
          <cell r="B751">
            <v>3</v>
          </cell>
        </row>
        <row r="752">
          <cell r="A752" t="str">
            <v>PF0777</v>
          </cell>
          <cell r="B752">
            <v>3</v>
          </cell>
        </row>
        <row r="753">
          <cell r="A753" t="str">
            <v>PF1184</v>
          </cell>
          <cell r="B753">
            <v>1</v>
          </cell>
        </row>
        <row r="754">
          <cell r="A754" t="str">
            <v>PF1184</v>
          </cell>
          <cell r="B754">
            <v>1</v>
          </cell>
        </row>
        <row r="755">
          <cell r="A755" t="str">
            <v>PF1454</v>
          </cell>
          <cell r="B755">
            <v>3</v>
          </cell>
        </row>
        <row r="756">
          <cell r="A756" t="str">
            <v>PF1454</v>
          </cell>
          <cell r="B756">
            <v>2</v>
          </cell>
        </row>
        <row r="757">
          <cell r="A757" t="str">
            <v>PF1454</v>
          </cell>
          <cell r="B757">
            <v>2</v>
          </cell>
        </row>
        <row r="758">
          <cell r="A758" t="str">
            <v>PF0965</v>
          </cell>
          <cell r="B758">
            <v>2</v>
          </cell>
        </row>
        <row r="759">
          <cell r="A759" t="str">
            <v>PF0965</v>
          </cell>
          <cell r="B759">
            <v>2</v>
          </cell>
        </row>
        <row r="760">
          <cell r="A760" t="str">
            <v>PF1418</v>
          </cell>
          <cell r="B760">
            <v>3</v>
          </cell>
        </row>
        <row r="761">
          <cell r="A761" t="str">
            <v>PF1418</v>
          </cell>
          <cell r="B761">
            <v>3</v>
          </cell>
        </row>
        <row r="762">
          <cell r="A762" t="str">
            <v>PF1418</v>
          </cell>
          <cell r="B762">
            <v>3</v>
          </cell>
        </row>
        <row r="763">
          <cell r="A763" t="str">
            <v>PF1418</v>
          </cell>
          <cell r="B763">
            <v>3</v>
          </cell>
        </row>
        <row r="764">
          <cell r="A764" t="str">
            <v>PF1202</v>
          </cell>
          <cell r="B764">
            <v>2</v>
          </cell>
        </row>
        <row r="765">
          <cell r="A765" t="str">
            <v>PF1010</v>
          </cell>
          <cell r="B765">
            <v>2</v>
          </cell>
        </row>
        <row r="766">
          <cell r="A766" t="str">
            <v>PF0808</v>
          </cell>
          <cell r="B766">
            <v>1</v>
          </cell>
        </row>
        <row r="767">
          <cell r="A767" t="str">
            <v>PF0622</v>
          </cell>
          <cell r="B767">
            <v>3</v>
          </cell>
        </row>
        <row r="768">
          <cell r="A768" t="str">
            <v>PF0622</v>
          </cell>
          <cell r="B768">
            <v>3</v>
          </cell>
        </row>
        <row r="769">
          <cell r="A769" t="str">
            <v>PF0624</v>
          </cell>
          <cell r="B769">
            <v>3</v>
          </cell>
        </row>
        <row r="770">
          <cell r="A770" t="str">
            <v>PF0621</v>
          </cell>
          <cell r="B770">
            <v>3</v>
          </cell>
        </row>
        <row r="771">
          <cell r="A771" t="str">
            <v>PF0596</v>
          </cell>
          <cell r="B771">
            <v>1</v>
          </cell>
        </row>
        <row r="772">
          <cell r="A772" t="str">
            <v>PF0723</v>
          </cell>
          <cell r="B772">
            <v>1</v>
          </cell>
        </row>
        <row r="773">
          <cell r="A773" t="str">
            <v>PF0729</v>
          </cell>
          <cell r="B773">
            <v>2</v>
          </cell>
        </row>
        <row r="774">
          <cell r="A774" t="str">
            <v>PF1257</v>
          </cell>
          <cell r="B774">
            <v>3</v>
          </cell>
        </row>
        <row r="775">
          <cell r="A775" t="str">
            <v>PF0623</v>
          </cell>
          <cell r="B775">
            <v>3</v>
          </cell>
        </row>
        <row r="776">
          <cell r="A776" t="str">
            <v>PF0611</v>
          </cell>
          <cell r="B776">
            <v>2</v>
          </cell>
        </row>
        <row r="777">
          <cell r="A777" t="str">
            <v>PF0679</v>
          </cell>
          <cell r="B777">
            <v>3</v>
          </cell>
        </row>
        <row r="778">
          <cell r="A778" t="str">
            <v>PF0624</v>
          </cell>
          <cell r="B778">
            <v>3</v>
          </cell>
        </row>
        <row r="779">
          <cell r="A779" t="str">
            <v>PF1005</v>
          </cell>
          <cell r="B779">
            <v>3</v>
          </cell>
        </row>
        <row r="780">
          <cell r="A780" t="str">
            <v>PF0622</v>
          </cell>
          <cell r="B780">
            <v>3</v>
          </cell>
        </row>
        <row r="781">
          <cell r="A781" t="str">
            <v>PF1446</v>
          </cell>
          <cell r="B781">
            <v>2</v>
          </cell>
        </row>
        <row r="782">
          <cell r="A782" t="str">
            <v>PF0575</v>
          </cell>
          <cell r="B782">
            <v>3</v>
          </cell>
        </row>
        <row r="783">
          <cell r="A783" t="str">
            <v>PF0527</v>
          </cell>
          <cell r="B783">
            <v>1</v>
          </cell>
        </row>
        <row r="784">
          <cell r="A784" t="str">
            <v>PF0527</v>
          </cell>
          <cell r="B784">
            <v>1</v>
          </cell>
        </row>
        <row r="785">
          <cell r="A785" t="str">
            <v>PF0527</v>
          </cell>
          <cell r="B785">
            <v>1</v>
          </cell>
        </row>
        <row r="786">
          <cell r="A786" t="str">
            <v>PF0527</v>
          </cell>
          <cell r="B786">
            <v>1</v>
          </cell>
        </row>
        <row r="787">
          <cell r="A787" t="str">
            <v>PF0555</v>
          </cell>
          <cell r="B787">
            <v>1</v>
          </cell>
        </row>
        <row r="788">
          <cell r="A788" t="str">
            <v>PF1298</v>
          </cell>
          <cell r="B788">
            <v>1</v>
          </cell>
        </row>
        <row r="789">
          <cell r="A789" t="str">
            <v>PF1446</v>
          </cell>
          <cell r="B789">
            <v>2</v>
          </cell>
        </row>
        <row r="790">
          <cell r="A790" t="str">
            <v>PF1446</v>
          </cell>
          <cell r="B790">
            <v>2</v>
          </cell>
        </row>
        <row r="791">
          <cell r="A791" t="str">
            <v>PF1257</v>
          </cell>
          <cell r="B791">
            <v>3</v>
          </cell>
        </row>
        <row r="792">
          <cell r="A792" t="str">
            <v>PF1328</v>
          </cell>
          <cell r="B792">
            <v>2</v>
          </cell>
        </row>
        <row r="793">
          <cell r="A793" t="str">
            <v>PF1274</v>
          </cell>
          <cell r="B793">
            <v>2</v>
          </cell>
        </row>
        <row r="794">
          <cell r="A794" t="str">
            <v>PF0576</v>
          </cell>
          <cell r="B794">
            <v>2</v>
          </cell>
        </row>
        <row r="795">
          <cell r="A795" t="str">
            <v>PF0626</v>
          </cell>
          <cell r="B795">
            <v>2</v>
          </cell>
        </row>
        <row r="796">
          <cell r="A796" t="str">
            <v>PF0725</v>
          </cell>
          <cell r="B796">
            <v>2</v>
          </cell>
        </row>
        <row r="797">
          <cell r="A797" t="str">
            <v>PF0841</v>
          </cell>
          <cell r="B797">
            <v>1</v>
          </cell>
        </row>
        <row r="798">
          <cell r="A798" t="str">
            <v>PF1419</v>
          </cell>
          <cell r="B798">
            <v>1</v>
          </cell>
        </row>
        <row r="799">
          <cell r="A799" t="str">
            <v>PF0513</v>
          </cell>
          <cell r="B799">
            <v>2</v>
          </cell>
        </row>
        <row r="800">
          <cell r="A800" t="str">
            <v>PF0623</v>
          </cell>
          <cell r="B800">
            <v>3</v>
          </cell>
        </row>
        <row r="801">
          <cell r="A801" t="str">
            <v>PF0674</v>
          </cell>
          <cell r="B801">
            <v>3</v>
          </cell>
        </row>
        <row r="802">
          <cell r="A802" t="str">
            <v>PF1432</v>
          </cell>
          <cell r="B802">
            <v>2</v>
          </cell>
        </row>
        <row r="803">
          <cell r="A803" t="str">
            <v>PF0601</v>
          </cell>
          <cell r="B803">
            <v>2</v>
          </cell>
        </row>
        <row r="804">
          <cell r="A804" t="str">
            <v>PF1199</v>
          </cell>
          <cell r="B804">
            <v>1</v>
          </cell>
        </row>
        <row r="805">
          <cell r="A805" t="str">
            <v>PF0615</v>
          </cell>
          <cell r="B805">
            <v>2</v>
          </cell>
        </row>
        <row r="806">
          <cell r="A806" t="str">
            <v>PF0612</v>
          </cell>
          <cell r="B806">
            <v>2</v>
          </cell>
        </row>
        <row r="807">
          <cell r="A807" t="str">
            <v>PF1199</v>
          </cell>
          <cell r="B807">
            <v>1</v>
          </cell>
        </row>
        <row r="808">
          <cell r="A808" t="str">
            <v>PF0527</v>
          </cell>
          <cell r="B808">
            <v>1</v>
          </cell>
        </row>
        <row r="809">
          <cell r="A809" t="str">
            <v>PF0612</v>
          </cell>
          <cell r="B809">
            <v>2</v>
          </cell>
        </row>
        <row r="810">
          <cell r="A810" t="str">
            <v>PF0579</v>
          </cell>
          <cell r="B810">
            <v>1</v>
          </cell>
        </row>
        <row r="811">
          <cell r="A811" t="str">
            <v>PF0792</v>
          </cell>
          <cell r="B811">
            <v>1</v>
          </cell>
        </row>
        <row r="812">
          <cell r="A812" t="str">
            <v>PF0576</v>
          </cell>
          <cell r="B812">
            <v>2</v>
          </cell>
        </row>
        <row r="813">
          <cell r="A813" t="str">
            <v>PF0519</v>
          </cell>
          <cell r="B813">
            <v>2</v>
          </cell>
        </row>
        <row r="814">
          <cell r="A814" t="str">
            <v>PF0728</v>
          </cell>
          <cell r="B814">
            <v>1</v>
          </cell>
        </row>
        <row r="815">
          <cell r="A815" t="str">
            <v>SIN PLAN FORMATIVO</v>
          </cell>
          <cell r="B815">
            <v>1</v>
          </cell>
        </row>
        <row r="816">
          <cell r="A816" t="str">
            <v>PF1257</v>
          </cell>
          <cell r="B816">
            <v>3</v>
          </cell>
        </row>
        <row r="817">
          <cell r="A817" t="str">
            <v>PF1257</v>
          </cell>
          <cell r="B817">
            <v>3</v>
          </cell>
        </row>
        <row r="818">
          <cell r="A818" t="str">
            <v>PF1432</v>
          </cell>
          <cell r="B818">
            <v>2</v>
          </cell>
        </row>
        <row r="819">
          <cell r="A819" t="str">
            <v>PF1432</v>
          </cell>
          <cell r="B819">
            <v>2</v>
          </cell>
        </row>
        <row r="820">
          <cell r="A820" t="str">
            <v>PF0615</v>
          </cell>
          <cell r="B820">
            <v>2</v>
          </cell>
        </row>
        <row r="821">
          <cell r="A821" t="str">
            <v>PF0615</v>
          </cell>
          <cell r="B821">
            <v>2</v>
          </cell>
        </row>
        <row r="822">
          <cell r="A822" t="str">
            <v>PF1280</v>
          </cell>
          <cell r="B822">
            <v>2</v>
          </cell>
        </row>
        <row r="823">
          <cell r="A823" t="str">
            <v>PF1280</v>
          </cell>
          <cell r="B823">
            <v>2</v>
          </cell>
        </row>
        <row r="824">
          <cell r="A824" t="str">
            <v>PF1432</v>
          </cell>
          <cell r="B824">
            <v>2</v>
          </cell>
        </row>
        <row r="825">
          <cell r="A825" t="str">
            <v>PF0513</v>
          </cell>
          <cell r="B825">
            <v>2</v>
          </cell>
        </row>
        <row r="826">
          <cell r="A826" t="str">
            <v>PF0585</v>
          </cell>
          <cell r="B826">
            <v>3</v>
          </cell>
        </row>
        <row r="827">
          <cell r="A827" t="str">
            <v>PF0906</v>
          </cell>
          <cell r="B827">
            <v>1</v>
          </cell>
        </row>
        <row r="828">
          <cell r="A828" t="str">
            <v>PF0519</v>
          </cell>
          <cell r="B828">
            <v>2</v>
          </cell>
        </row>
        <row r="829">
          <cell r="A829" t="str">
            <v>PF1199</v>
          </cell>
          <cell r="B829">
            <v>1</v>
          </cell>
        </row>
        <row r="830">
          <cell r="A830" t="str">
            <v>PF1184</v>
          </cell>
          <cell r="B830">
            <v>1</v>
          </cell>
        </row>
        <row r="831">
          <cell r="A831" t="str">
            <v>PF0960</v>
          </cell>
          <cell r="B831">
            <v>2</v>
          </cell>
        </row>
        <row r="832">
          <cell r="A832" t="str">
            <v>PF0504</v>
          </cell>
          <cell r="B832">
            <v>3</v>
          </cell>
        </row>
        <row r="833">
          <cell r="A833" t="str">
            <v xml:space="preserve">PF0702 </v>
          </cell>
          <cell r="B833">
            <v>1</v>
          </cell>
        </row>
        <row r="834">
          <cell r="A834" t="str">
            <v>SIN PLAN FORMATIVO</v>
          </cell>
          <cell r="B834">
            <v>2</v>
          </cell>
        </row>
        <row r="835">
          <cell r="A835" t="str">
            <v>PF0995</v>
          </cell>
          <cell r="B835">
            <v>2</v>
          </cell>
        </row>
        <row r="836">
          <cell r="A836" t="str">
            <v>PF0804</v>
          </cell>
          <cell r="B836">
            <v>2</v>
          </cell>
        </row>
        <row r="837">
          <cell r="A837" t="str">
            <v>PF0960</v>
          </cell>
          <cell r="B837">
            <v>2</v>
          </cell>
        </row>
        <row r="838">
          <cell r="A838" t="str">
            <v>PF0801</v>
          </cell>
          <cell r="B838">
            <v>3</v>
          </cell>
        </row>
        <row r="839">
          <cell r="A839" t="str">
            <v>PF1257</v>
          </cell>
          <cell r="B839">
            <v>3</v>
          </cell>
        </row>
        <row r="840">
          <cell r="A840" t="str">
            <v>PF0582</v>
          </cell>
          <cell r="B840">
            <v>3</v>
          </cell>
        </row>
        <row r="841">
          <cell r="A841" t="str">
            <v>PF1426</v>
          </cell>
          <cell r="B841">
            <v>2</v>
          </cell>
        </row>
        <row r="842">
          <cell r="A842" t="str">
            <v>PF0612</v>
          </cell>
          <cell r="B842">
            <v>2</v>
          </cell>
        </row>
        <row r="843">
          <cell r="A843" t="str">
            <v>PF0928</v>
          </cell>
          <cell r="B843">
            <v>2</v>
          </cell>
        </row>
        <row r="844">
          <cell r="A844" t="str">
            <v>PF1185</v>
          </cell>
          <cell r="B844">
            <v>1</v>
          </cell>
        </row>
        <row r="845">
          <cell r="A845" t="str">
            <v>PF0960</v>
          </cell>
          <cell r="B845">
            <v>2</v>
          </cell>
        </row>
        <row r="846">
          <cell r="A846" t="str">
            <v>SIN PLAN FORMATIVO</v>
          </cell>
          <cell r="B846">
            <v>3</v>
          </cell>
        </row>
        <row r="847">
          <cell r="A847" t="str">
            <v>PF1182</v>
          </cell>
          <cell r="B847">
            <v>2</v>
          </cell>
        </row>
        <row r="848">
          <cell r="A848" t="str">
            <v>SIN PLAN FORMATIVO</v>
          </cell>
          <cell r="B848">
            <v>2</v>
          </cell>
        </row>
        <row r="849">
          <cell r="A849" t="str">
            <v>PF0725</v>
          </cell>
          <cell r="B849">
            <v>2</v>
          </cell>
        </row>
        <row r="850">
          <cell r="A850" t="str">
            <v>PF0762</v>
          </cell>
          <cell r="B850">
            <v>3</v>
          </cell>
        </row>
        <row r="851">
          <cell r="A851" t="str">
            <v>PF0607</v>
          </cell>
          <cell r="B851">
            <v>2</v>
          </cell>
        </row>
        <row r="852">
          <cell r="A852" t="str">
            <v>PF0513</v>
          </cell>
          <cell r="B852">
            <v>2</v>
          </cell>
        </row>
        <row r="853">
          <cell r="A853" t="str">
            <v>SIN PLAN FORMATIVO</v>
          </cell>
          <cell r="B853">
            <v>3</v>
          </cell>
        </row>
        <row r="854">
          <cell r="A854" t="str">
            <v>SIN PLAN FORMATIVO</v>
          </cell>
          <cell r="B854">
            <v>2</v>
          </cell>
        </row>
        <row r="855">
          <cell r="A855" t="str">
            <v>PF1374</v>
          </cell>
          <cell r="B855">
            <v>2</v>
          </cell>
        </row>
        <row r="856">
          <cell r="A856" t="str">
            <v>PF0513</v>
          </cell>
          <cell r="B856">
            <v>2</v>
          </cell>
        </row>
        <row r="857">
          <cell r="A857" t="str">
            <v>PF1426</v>
          </cell>
          <cell r="B857">
            <v>2</v>
          </cell>
        </row>
        <row r="858">
          <cell r="A858" t="str">
            <v>PF1199</v>
          </cell>
          <cell r="B858">
            <v>1</v>
          </cell>
        </row>
        <row r="859">
          <cell r="A859" t="str">
            <v>PF1184</v>
          </cell>
          <cell r="B859">
            <v>1</v>
          </cell>
        </row>
        <row r="860">
          <cell r="A860" t="str">
            <v>PF1184</v>
          </cell>
          <cell r="B860">
            <v>1</v>
          </cell>
        </row>
        <row r="861">
          <cell r="A861" t="str">
            <v>PF1184</v>
          </cell>
          <cell r="B861">
            <v>1</v>
          </cell>
        </row>
        <row r="862">
          <cell r="A862" t="str">
            <v>PF0555</v>
          </cell>
          <cell r="B862">
            <v>3</v>
          </cell>
        </row>
        <row r="863">
          <cell r="A863" t="str">
            <v>PF0962</v>
          </cell>
          <cell r="B863">
            <v>3</v>
          </cell>
        </row>
        <row r="864">
          <cell r="A864" t="str">
            <v>PF0962</v>
          </cell>
          <cell r="B864">
            <v>3</v>
          </cell>
        </row>
        <row r="865">
          <cell r="A865" t="str">
            <v>PF0584</v>
          </cell>
          <cell r="B865">
            <v>3</v>
          </cell>
        </row>
        <row r="866">
          <cell r="A866" t="str">
            <v>PF1418</v>
          </cell>
          <cell r="B866">
            <v>3</v>
          </cell>
        </row>
        <row r="867">
          <cell r="A867" t="str">
            <v>PF0674</v>
          </cell>
          <cell r="B867">
            <v>3</v>
          </cell>
        </row>
        <row r="868">
          <cell r="A868" t="str">
            <v>PF1198</v>
          </cell>
          <cell r="B868">
            <v>3</v>
          </cell>
        </row>
        <row r="869">
          <cell r="A869" t="str">
            <v>PF0611</v>
          </cell>
          <cell r="B869">
            <v>2</v>
          </cell>
        </row>
        <row r="870">
          <cell r="A870" t="str">
            <v>PF1005</v>
          </cell>
          <cell r="B870">
            <v>3</v>
          </cell>
        </row>
        <row r="871">
          <cell r="A871" t="str">
            <v>PF0817</v>
          </cell>
          <cell r="B871">
            <v>2</v>
          </cell>
        </row>
        <row r="872">
          <cell r="A872" t="str">
            <v>PF0587</v>
          </cell>
          <cell r="B872">
            <v>3</v>
          </cell>
        </row>
        <row r="873">
          <cell r="A873" t="str">
            <v>PF0586</v>
          </cell>
          <cell r="B873">
            <v>2</v>
          </cell>
        </row>
        <row r="874">
          <cell r="A874" t="str">
            <v>PF1199</v>
          </cell>
          <cell r="B874">
            <v>1</v>
          </cell>
        </row>
        <row r="875">
          <cell r="A875" t="str">
            <v>PF0513</v>
          </cell>
          <cell r="B875">
            <v>2</v>
          </cell>
        </row>
        <row r="876">
          <cell r="A876" t="str">
            <v>PF1432</v>
          </cell>
          <cell r="B876">
            <v>2</v>
          </cell>
        </row>
        <row r="877">
          <cell r="A877" t="str">
            <v>PF0611</v>
          </cell>
          <cell r="B877">
            <v>2</v>
          </cell>
        </row>
        <row r="878">
          <cell r="A878" t="str">
            <v>PF1244</v>
          </cell>
          <cell r="B878">
            <v>2</v>
          </cell>
        </row>
        <row r="879">
          <cell r="A879" t="str">
            <v>PF0527</v>
          </cell>
          <cell r="B879">
            <v>1</v>
          </cell>
        </row>
        <row r="880">
          <cell r="A880" t="str">
            <v>PF0514</v>
          </cell>
          <cell r="B880">
            <v>1</v>
          </cell>
        </row>
        <row r="881">
          <cell r="A881" t="str">
            <v>PF0549</v>
          </cell>
          <cell r="B881">
            <v>2</v>
          </cell>
        </row>
        <row r="882">
          <cell r="A882" t="str">
            <v>PF1432</v>
          </cell>
          <cell r="B882">
            <v>2</v>
          </cell>
        </row>
        <row r="883">
          <cell r="A883" t="str">
            <v>PF1356</v>
          </cell>
          <cell r="B883">
            <v>2</v>
          </cell>
        </row>
        <row r="884">
          <cell r="A884" t="str">
            <v>PF1432</v>
          </cell>
          <cell r="B884">
            <v>2</v>
          </cell>
        </row>
        <row r="885">
          <cell r="A885" t="str">
            <v>PF1184</v>
          </cell>
          <cell r="B885">
            <v>1</v>
          </cell>
        </row>
        <row r="886">
          <cell r="A886" t="str">
            <v>SIN PLAN FORMATIVO</v>
          </cell>
          <cell r="B886">
            <v>3</v>
          </cell>
        </row>
        <row r="887">
          <cell r="A887" t="str">
            <v>PF0622</v>
          </cell>
          <cell r="B887">
            <v>3</v>
          </cell>
        </row>
        <row r="888">
          <cell r="A888" t="str">
            <v>PF0949</v>
          </cell>
          <cell r="B888">
            <v>3</v>
          </cell>
        </row>
        <row r="889">
          <cell r="A889" t="str">
            <v>PF0981</v>
          </cell>
          <cell r="B889">
            <v>2</v>
          </cell>
        </row>
        <row r="890">
          <cell r="A890" t="str">
            <v>PF1184</v>
          </cell>
          <cell r="B890">
            <v>1</v>
          </cell>
        </row>
        <row r="891">
          <cell r="A891" t="str">
            <v>PF0513</v>
          </cell>
          <cell r="B891">
            <v>2</v>
          </cell>
        </row>
        <row r="892">
          <cell r="A892" t="str">
            <v>PF0572</v>
          </cell>
          <cell r="B892">
            <v>2</v>
          </cell>
        </row>
        <row r="893">
          <cell r="A893" t="str">
            <v>PF0578</v>
          </cell>
          <cell r="B893">
            <v>2</v>
          </cell>
        </row>
        <row r="894">
          <cell r="A894" t="str">
            <v>PF0704</v>
          </cell>
          <cell r="B894">
            <v>2</v>
          </cell>
        </row>
        <row r="895">
          <cell r="A895" t="str">
            <v>PF0927</v>
          </cell>
          <cell r="B895">
            <v>1</v>
          </cell>
        </row>
        <row r="896">
          <cell r="A896" t="str">
            <v>PF0615</v>
          </cell>
          <cell r="B896">
            <v>2</v>
          </cell>
        </row>
        <row r="897">
          <cell r="A897" t="str">
            <v>PF0611</v>
          </cell>
          <cell r="B897">
            <v>2</v>
          </cell>
        </row>
        <row r="898">
          <cell r="A898" t="str">
            <v>PF0622</v>
          </cell>
          <cell r="B898">
            <v>3</v>
          </cell>
        </row>
        <row r="899">
          <cell r="A899" t="str">
            <v>PF0679</v>
          </cell>
          <cell r="B899">
            <v>3</v>
          </cell>
        </row>
        <row r="900">
          <cell r="A900" t="str">
            <v>PF0927</v>
          </cell>
          <cell r="B900">
            <v>1</v>
          </cell>
        </row>
        <row r="901">
          <cell r="A901" t="str">
            <v>PF0927</v>
          </cell>
          <cell r="B901">
            <v>1</v>
          </cell>
        </row>
        <row r="902">
          <cell r="A902" t="str">
            <v>PF1184</v>
          </cell>
          <cell r="B902">
            <v>1</v>
          </cell>
        </row>
        <row r="903">
          <cell r="A903" t="str">
            <v>PF1184</v>
          </cell>
          <cell r="B903">
            <v>1</v>
          </cell>
        </row>
        <row r="904">
          <cell r="A904" t="str">
            <v>PF0674</v>
          </cell>
          <cell r="B904">
            <v>3</v>
          </cell>
        </row>
        <row r="905">
          <cell r="A905" t="str">
            <v>PF0674</v>
          </cell>
          <cell r="B905">
            <v>3</v>
          </cell>
        </row>
        <row r="906">
          <cell r="A906" t="str">
            <v>PF0622</v>
          </cell>
          <cell r="B906">
            <v>3</v>
          </cell>
        </row>
        <row r="907">
          <cell r="A907" t="str">
            <v>PF0622</v>
          </cell>
          <cell r="B907">
            <v>3</v>
          </cell>
        </row>
        <row r="908">
          <cell r="A908" t="str">
            <v>PF0622</v>
          </cell>
          <cell r="B908">
            <v>3</v>
          </cell>
        </row>
        <row r="909">
          <cell r="A909" t="str">
            <v>PF1292</v>
          </cell>
          <cell r="B909">
            <v>2</v>
          </cell>
        </row>
        <row r="910">
          <cell r="A910" t="str">
            <v>PF1432</v>
          </cell>
          <cell r="B910">
            <v>2</v>
          </cell>
        </row>
        <row r="911">
          <cell r="A911" t="str">
            <v>PF0623</v>
          </cell>
          <cell r="B911">
            <v>3</v>
          </cell>
        </row>
        <row r="912">
          <cell r="A912" t="str">
            <v>PF0623</v>
          </cell>
          <cell r="B912">
            <v>3</v>
          </cell>
        </row>
        <row r="913">
          <cell r="A913" t="str">
            <v>PF0623</v>
          </cell>
          <cell r="B913">
            <v>3</v>
          </cell>
        </row>
        <row r="914">
          <cell r="A914" t="str">
            <v>PF0623</v>
          </cell>
          <cell r="B914">
            <v>3</v>
          </cell>
        </row>
        <row r="915">
          <cell r="A915" t="str">
            <v>PF0778</v>
          </cell>
          <cell r="B915">
            <v>2</v>
          </cell>
        </row>
        <row r="916">
          <cell r="A916" t="str">
            <v>PF1432</v>
          </cell>
          <cell r="B916">
            <v>2</v>
          </cell>
        </row>
        <row r="917">
          <cell r="A917" t="str">
            <v>PF0513</v>
          </cell>
          <cell r="B917">
            <v>2</v>
          </cell>
        </row>
        <row r="918">
          <cell r="A918" t="str">
            <v>PF0585</v>
          </cell>
          <cell r="B918">
            <v>3</v>
          </cell>
        </row>
        <row r="919">
          <cell r="A919" t="str">
            <v>PF1184</v>
          </cell>
          <cell r="B919">
            <v>1</v>
          </cell>
        </row>
        <row r="920">
          <cell r="A920" t="str">
            <v>PF1257</v>
          </cell>
          <cell r="B920">
            <v>3</v>
          </cell>
        </row>
        <row r="921">
          <cell r="A921" t="str">
            <v>PF1199</v>
          </cell>
          <cell r="B921">
            <v>1</v>
          </cell>
        </row>
        <row r="922">
          <cell r="A922" t="str">
            <v>PF0513</v>
          </cell>
          <cell r="B922">
            <v>2</v>
          </cell>
        </row>
        <row r="923">
          <cell r="A923" t="str">
            <v>PF0690</v>
          </cell>
          <cell r="B923">
            <v>1</v>
          </cell>
        </row>
        <row r="924">
          <cell r="A924" t="str">
            <v>PF0707</v>
          </cell>
          <cell r="B924">
            <v>1</v>
          </cell>
        </row>
        <row r="925">
          <cell r="A925" t="str">
            <v>PF0730</v>
          </cell>
          <cell r="B925">
            <v>2</v>
          </cell>
        </row>
        <row r="926">
          <cell r="A926" t="str">
            <v>PF0793</v>
          </cell>
          <cell r="B926">
            <v>2</v>
          </cell>
        </row>
        <row r="927">
          <cell r="A927" t="str">
            <v>PF0832</v>
          </cell>
          <cell r="B927">
            <v>2</v>
          </cell>
        </row>
        <row r="928">
          <cell r="A928" t="str">
            <v>PF1368</v>
          </cell>
          <cell r="B928">
            <v>1</v>
          </cell>
        </row>
        <row r="929">
          <cell r="A929" t="str">
            <v>PF0927</v>
          </cell>
          <cell r="B929">
            <v>1</v>
          </cell>
        </row>
        <row r="930">
          <cell r="A930" t="str">
            <v>PF0838</v>
          </cell>
          <cell r="B930">
            <v>1</v>
          </cell>
        </row>
        <row r="931">
          <cell r="A931" t="str">
            <v>PF1184</v>
          </cell>
          <cell r="B931">
            <v>1</v>
          </cell>
        </row>
        <row r="932">
          <cell r="A932" t="str">
            <v>PF0622</v>
          </cell>
          <cell r="B932">
            <v>3</v>
          </cell>
        </row>
        <row r="933">
          <cell r="A933" t="str">
            <v>PF0797</v>
          </cell>
          <cell r="B933">
            <v>2</v>
          </cell>
        </row>
        <row r="934">
          <cell r="A934" t="str">
            <v>PF0675</v>
          </cell>
          <cell r="B934">
            <v>3</v>
          </cell>
        </row>
        <row r="935">
          <cell r="A935" t="str">
            <v>PF0906</v>
          </cell>
          <cell r="B935">
            <v>1</v>
          </cell>
        </row>
        <row r="936">
          <cell r="A936" t="str">
            <v>PF0739</v>
          </cell>
          <cell r="B936">
            <v>3</v>
          </cell>
        </row>
        <row r="937">
          <cell r="A937" t="str">
            <v>PF0838</v>
          </cell>
          <cell r="B937">
            <v>1</v>
          </cell>
        </row>
        <row r="938">
          <cell r="A938" t="str">
            <v>PF0622</v>
          </cell>
          <cell r="B938">
            <v>3</v>
          </cell>
        </row>
        <row r="939">
          <cell r="A939" t="str">
            <v>PF0840</v>
          </cell>
          <cell r="B939">
            <v>1</v>
          </cell>
        </row>
        <row r="940">
          <cell r="A940" t="str">
            <v>PF0579</v>
          </cell>
          <cell r="B940">
            <v>1</v>
          </cell>
        </row>
        <row r="941">
          <cell r="A941" t="str">
            <v>PF0622</v>
          </cell>
          <cell r="B941">
            <v>3</v>
          </cell>
        </row>
        <row r="942">
          <cell r="A942" t="str">
            <v>PF0840</v>
          </cell>
          <cell r="B942">
            <v>1</v>
          </cell>
        </row>
        <row r="943">
          <cell r="A943" t="str">
            <v>PF0501</v>
          </cell>
          <cell r="B943">
            <v>3</v>
          </cell>
        </row>
        <row r="944">
          <cell r="A944" t="str">
            <v>PF0622</v>
          </cell>
          <cell r="B944">
            <v>3</v>
          </cell>
        </row>
        <row r="945">
          <cell r="A945" t="str">
            <v>PF0624</v>
          </cell>
          <cell r="B945">
            <v>3</v>
          </cell>
        </row>
        <row r="946">
          <cell r="A946" t="str">
            <v>PF0647</v>
          </cell>
          <cell r="B946">
            <v>2</v>
          </cell>
        </row>
        <row r="947">
          <cell r="A947" t="str">
            <v>PF0841</v>
          </cell>
          <cell r="B947">
            <v>1</v>
          </cell>
        </row>
        <row r="948">
          <cell r="A948" t="str">
            <v>PF0679</v>
          </cell>
          <cell r="B948">
            <v>3</v>
          </cell>
        </row>
        <row r="949">
          <cell r="A949" t="str">
            <v>PF0841</v>
          </cell>
          <cell r="B949">
            <v>1</v>
          </cell>
        </row>
        <row r="950">
          <cell r="A950" t="str">
            <v>PF0797</v>
          </cell>
          <cell r="B950">
            <v>2</v>
          </cell>
        </row>
        <row r="951">
          <cell r="A951" t="str">
            <v>PF0841</v>
          </cell>
          <cell r="B951">
            <v>1</v>
          </cell>
        </row>
        <row r="952">
          <cell r="A952" t="str">
            <v>PF0948</v>
          </cell>
          <cell r="B952">
            <v>3</v>
          </cell>
        </row>
        <row r="953">
          <cell r="A953" t="str">
            <v>PF0841</v>
          </cell>
          <cell r="B953">
            <v>1</v>
          </cell>
        </row>
        <row r="954">
          <cell r="A954" t="str">
            <v>PF1188</v>
          </cell>
          <cell r="B954">
            <v>3</v>
          </cell>
        </row>
        <row r="955">
          <cell r="A955" t="str">
            <v>PF0519</v>
          </cell>
          <cell r="B955">
            <v>2</v>
          </cell>
        </row>
        <row r="956">
          <cell r="A956" t="str">
            <v>PF0790</v>
          </cell>
          <cell r="B956">
            <v>1</v>
          </cell>
        </row>
        <row r="957">
          <cell r="A957" t="str">
            <v>PF1257</v>
          </cell>
          <cell r="B957">
            <v>3</v>
          </cell>
        </row>
        <row r="958">
          <cell r="A958" t="str">
            <v>PF1424</v>
          </cell>
          <cell r="B958">
            <v>1</v>
          </cell>
        </row>
        <row r="959">
          <cell r="A959" t="str">
            <v>PF0988</v>
          </cell>
          <cell r="B959">
            <v>1</v>
          </cell>
        </row>
        <row r="960">
          <cell r="A960" t="str">
            <v>PF1246</v>
          </cell>
          <cell r="B960">
            <v>1</v>
          </cell>
        </row>
        <row r="961">
          <cell r="A961" t="str">
            <v>PF1245</v>
          </cell>
          <cell r="B961">
            <v>1</v>
          </cell>
        </row>
        <row r="962">
          <cell r="A962" t="str">
            <v>PF1184</v>
          </cell>
          <cell r="B962">
            <v>1</v>
          </cell>
        </row>
        <row r="963">
          <cell r="A963" t="str">
            <v>PF1184</v>
          </cell>
          <cell r="B963">
            <v>1</v>
          </cell>
        </row>
        <row r="964">
          <cell r="A964" t="str">
            <v>PF1184</v>
          </cell>
          <cell r="B964">
            <v>1</v>
          </cell>
        </row>
        <row r="965">
          <cell r="A965" t="str">
            <v>PF1184</v>
          </cell>
          <cell r="B965">
            <v>1</v>
          </cell>
        </row>
        <row r="966">
          <cell r="A966" t="str">
            <v>PF1290</v>
          </cell>
          <cell r="B966">
            <v>2</v>
          </cell>
        </row>
        <row r="967">
          <cell r="A967" t="str">
            <v>PF0679</v>
          </cell>
          <cell r="B967">
            <v>3</v>
          </cell>
        </row>
        <row r="968">
          <cell r="A968" t="str">
            <v>PF1184</v>
          </cell>
          <cell r="B968">
            <v>1</v>
          </cell>
        </row>
        <row r="969">
          <cell r="A969" t="str">
            <v>PF1184</v>
          </cell>
          <cell r="B969">
            <v>1</v>
          </cell>
        </row>
        <row r="970">
          <cell r="A970" t="str">
            <v>PF1184</v>
          </cell>
          <cell r="B970">
            <v>1</v>
          </cell>
        </row>
        <row r="971">
          <cell r="A971" t="str">
            <v>PF1184</v>
          </cell>
          <cell r="B971">
            <v>1</v>
          </cell>
        </row>
        <row r="972">
          <cell r="A972" t="str">
            <v>PF1184</v>
          </cell>
          <cell r="B972">
            <v>1</v>
          </cell>
        </row>
        <row r="973">
          <cell r="A973" t="str">
            <v>PF1290</v>
          </cell>
          <cell r="B973">
            <v>2</v>
          </cell>
        </row>
        <row r="974">
          <cell r="A974" t="str">
            <v>PF0857</v>
          </cell>
          <cell r="B974">
            <v>2</v>
          </cell>
        </row>
        <row r="975">
          <cell r="A975" t="str">
            <v>PF1184</v>
          </cell>
          <cell r="B975">
            <v>1</v>
          </cell>
        </row>
        <row r="976">
          <cell r="A976" t="str">
            <v>PF1290</v>
          </cell>
          <cell r="B976">
            <v>2</v>
          </cell>
        </row>
        <row r="977">
          <cell r="A977" t="str">
            <v>PF0622</v>
          </cell>
          <cell r="B977">
            <v>3</v>
          </cell>
        </row>
        <row r="978">
          <cell r="A978" t="str">
            <v>PF0944</v>
          </cell>
          <cell r="B978">
            <v>2</v>
          </cell>
        </row>
        <row r="979">
          <cell r="A979" t="str">
            <v>PF0704</v>
          </cell>
          <cell r="B979">
            <v>2</v>
          </cell>
        </row>
        <row r="980">
          <cell r="A980" t="str">
            <v>SIN PLAN FORMATIVO</v>
          </cell>
          <cell r="B980">
            <v>2</v>
          </cell>
        </row>
        <row r="981">
          <cell r="A981" t="str">
            <v>PF0572</v>
          </cell>
          <cell r="B981">
            <v>2</v>
          </cell>
        </row>
        <row r="982">
          <cell r="A982" t="str">
            <v>PF0944</v>
          </cell>
          <cell r="B982">
            <v>2</v>
          </cell>
        </row>
        <row r="983">
          <cell r="A983" t="str">
            <v>PF0965</v>
          </cell>
          <cell r="B983">
            <v>2</v>
          </cell>
        </row>
        <row r="984">
          <cell r="A984" t="str">
            <v>PF1432</v>
          </cell>
          <cell r="B984">
            <v>2</v>
          </cell>
        </row>
        <row r="985">
          <cell r="A985" t="str">
            <v>SIN PLAN FORMATIVO</v>
          </cell>
          <cell r="B985">
            <v>2</v>
          </cell>
        </row>
        <row r="986">
          <cell r="A986" t="str">
            <v>PF1001</v>
          </cell>
          <cell r="B986">
            <v>3</v>
          </cell>
        </row>
        <row r="987">
          <cell r="A987" t="str">
            <v>PF1432</v>
          </cell>
          <cell r="B987">
            <v>2</v>
          </cell>
        </row>
        <row r="988">
          <cell r="A988" t="str">
            <v>PF1001</v>
          </cell>
          <cell r="B988">
            <v>3</v>
          </cell>
        </row>
        <row r="989">
          <cell r="A989" t="str">
            <v>PF1184</v>
          </cell>
          <cell r="B989">
            <v>1</v>
          </cell>
        </row>
        <row r="990">
          <cell r="A990" t="str">
            <v>PF1001</v>
          </cell>
          <cell r="B990">
            <v>3</v>
          </cell>
        </row>
        <row r="991">
          <cell r="A991" t="str">
            <v>PF1331</v>
          </cell>
          <cell r="B991">
            <v>3</v>
          </cell>
        </row>
        <row r="992">
          <cell r="A992" t="str">
            <v>PF1184</v>
          </cell>
          <cell r="B992">
            <v>1</v>
          </cell>
        </row>
        <row r="993">
          <cell r="A993" t="str">
            <v>PF0625</v>
          </cell>
          <cell r="B993">
            <v>2</v>
          </cell>
        </row>
        <row r="994">
          <cell r="A994" t="str">
            <v>PF1331</v>
          </cell>
          <cell r="B994">
            <v>3</v>
          </cell>
        </row>
        <row r="995">
          <cell r="A995" t="str">
            <v>PF1415</v>
          </cell>
          <cell r="B995">
            <v>1</v>
          </cell>
        </row>
        <row r="996">
          <cell r="A996" t="str">
            <v>PF0594</v>
          </cell>
          <cell r="B996">
            <v>1</v>
          </cell>
        </row>
        <row r="997">
          <cell r="A997" t="str">
            <v>PF0594</v>
          </cell>
          <cell r="B997">
            <v>1</v>
          </cell>
        </row>
        <row r="998">
          <cell r="A998" t="str">
            <v>PF0727</v>
          </cell>
          <cell r="B998">
            <v>1</v>
          </cell>
        </row>
        <row r="999">
          <cell r="A999" t="str">
            <v>PF0727</v>
          </cell>
          <cell r="B999">
            <v>1</v>
          </cell>
        </row>
        <row r="1000">
          <cell r="A1000" t="str">
            <v>PF0837</v>
          </cell>
          <cell r="B1000">
            <v>1</v>
          </cell>
        </row>
        <row r="1001">
          <cell r="A1001" t="str">
            <v>PF0839</v>
          </cell>
          <cell r="B1001">
            <v>1</v>
          </cell>
        </row>
        <row r="1002">
          <cell r="A1002" t="str">
            <v>PF0839</v>
          </cell>
          <cell r="B1002">
            <v>1</v>
          </cell>
        </row>
        <row r="1003">
          <cell r="A1003" t="str">
            <v>PF0841</v>
          </cell>
          <cell r="B1003">
            <v>1</v>
          </cell>
        </row>
        <row r="1004">
          <cell r="A1004" t="str">
            <v>PF0841</v>
          </cell>
          <cell r="B1004">
            <v>1</v>
          </cell>
        </row>
        <row r="1005">
          <cell r="A1005" t="str">
            <v>PF0622</v>
          </cell>
          <cell r="B1005">
            <v>3</v>
          </cell>
        </row>
        <row r="1006">
          <cell r="A1006" t="str">
            <v>PF1432</v>
          </cell>
          <cell r="B1006">
            <v>2</v>
          </cell>
        </row>
        <row r="1007">
          <cell r="A1007" t="str">
            <v>PF1184</v>
          </cell>
          <cell r="B1007">
            <v>1</v>
          </cell>
        </row>
        <row r="1008">
          <cell r="A1008" t="str">
            <v>PF1331</v>
          </cell>
          <cell r="B1008">
            <v>3</v>
          </cell>
        </row>
        <row r="1009">
          <cell r="A1009" t="str">
            <v>PF0622</v>
          </cell>
          <cell r="B1009">
            <v>3</v>
          </cell>
        </row>
        <row r="1010">
          <cell r="A1010" t="str">
            <v>PF0519</v>
          </cell>
          <cell r="B1010">
            <v>2</v>
          </cell>
        </row>
        <row r="1011">
          <cell r="A1011" t="str">
            <v>PF0549</v>
          </cell>
          <cell r="B1011">
            <v>2</v>
          </cell>
        </row>
        <row r="1012">
          <cell r="A1012" t="str">
            <v>PF0622</v>
          </cell>
          <cell r="B1012">
            <v>3</v>
          </cell>
        </row>
        <row r="1013">
          <cell r="A1013" t="str">
            <v>SIN PLAN FORMATIVO</v>
          </cell>
          <cell r="B1013">
            <v>2</v>
          </cell>
        </row>
        <row r="1014">
          <cell r="A1014" t="str">
            <v>PF1005</v>
          </cell>
          <cell r="B1014">
            <v>3</v>
          </cell>
        </row>
        <row r="1015">
          <cell r="A1015" t="str">
            <v>PF0967</v>
          </cell>
          <cell r="B1015">
            <v>3</v>
          </cell>
        </row>
        <row r="1016">
          <cell r="A1016" t="str">
            <v>PF1454</v>
          </cell>
          <cell r="B1016">
            <v>2</v>
          </cell>
        </row>
        <row r="1017">
          <cell r="A1017" t="str">
            <v>PF1257</v>
          </cell>
          <cell r="B1017">
            <v>3</v>
          </cell>
        </row>
        <row r="1018">
          <cell r="A1018" t="str">
            <v>PF0967</v>
          </cell>
          <cell r="B1018">
            <v>3</v>
          </cell>
        </row>
        <row r="1019">
          <cell r="A1019" t="str">
            <v>PF0625</v>
          </cell>
          <cell r="B1019">
            <v>2</v>
          </cell>
        </row>
        <row r="1020">
          <cell r="A1020" t="str">
            <v>PF0576</v>
          </cell>
          <cell r="B1020">
            <v>2</v>
          </cell>
        </row>
        <row r="1021">
          <cell r="A1021" t="str">
            <v>PF0622</v>
          </cell>
          <cell r="B1021">
            <v>3</v>
          </cell>
        </row>
        <row r="1022">
          <cell r="A1022" t="str">
            <v>PF0981</v>
          </cell>
          <cell r="B1022">
            <v>2</v>
          </cell>
        </row>
        <row r="1023">
          <cell r="A1023" t="str">
            <v>PF0527</v>
          </cell>
          <cell r="B1023">
            <v>1</v>
          </cell>
        </row>
        <row r="1024">
          <cell r="A1024" t="str">
            <v>PF1454</v>
          </cell>
          <cell r="B1024">
            <v>2</v>
          </cell>
        </row>
        <row r="1025">
          <cell r="A1025" t="str">
            <v xml:space="preserve">PF0915 </v>
          </cell>
          <cell r="B1025">
            <v>1</v>
          </cell>
        </row>
        <row r="1026">
          <cell r="A1026" t="str">
            <v xml:space="preserve">PF0910 </v>
          </cell>
          <cell r="B1026">
            <v>1</v>
          </cell>
        </row>
        <row r="1027">
          <cell r="A1027" t="str">
            <v>PF1454</v>
          </cell>
          <cell r="B1027">
            <v>2</v>
          </cell>
        </row>
        <row r="1028">
          <cell r="A1028" t="str">
            <v>PF1418</v>
          </cell>
          <cell r="B1028">
            <v>3</v>
          </cell>
        </row>
        <row r="1029">
          <cell r="A1029" t="str">
            <v>PF0673</v>
          </cell>
          <cell r="B1029">
            <v>3</v>
          </cell>
        </row>
        <row r="1030">
          <cell r="A1030" t="str">
            <v>PF1344</v>
          </cell>
          <cell r="B1030">
            <v>3</v>
          </cell>
        </row>
        <row r="1031">
          <cell r="A1031" t="str">
            <v>PF0622</v>
          </cell>
          <cell r="B1031">
            <v>3</v>
          </cell>
        </row>
        <row r="1032">
          <cell r="A1032" t="str">
            <v>PF0914</v>
          </cell>
          <cell r="B1032">
            <v>1</v>
          </cell>
        </row>
        <row r="1033">
          <cell r="A1033" t="str">
            <v>PF1257</v>
          </cell>
          <cell r="B1033">
            <v>3</v>
          </cell>
        </row>
        <row r="1034">
          <cell r="A1034" t="str">
            <v>PF0691</v>
          </cell>
          <cell r="B1034">
            <v>1</v>
          </cell>
        </row>
        <row r="1035">
          <cell r="A1035" t="str">
            <v>PF1454</v>
          </cell>
        </row>
        <row r="1036">
          <cell r="A1036" t="str">
            <v>PF0766</v>
          </cell>
        </row>
        <row r="1037">
          <cell r="A1037" t="str">
            <v>PF0572</v>
          </cell>
        </row>
        <row r="1038">
          <cell r="A1038" t="str">
            <v>PF0625</v>
          </cell>
        </row>
        <row r="1039">
          <cell r="A1039" t="str">
            <v>PF1199</v>
          </cell>
        </row>
        <row r="1040">
          <cell r="A1040" t="str">
            <v>PF0778</v>
          </cell>
        </row>
        <row r="1041">
          <cell r="A1041" t="str">
            <v>PF0574</v>
          </cell>
        </row>
        <row r="1042">
          <cell r="A1042" t="str">
            <v>PF1199</v>
          </cell>
        </row>
        <row r="1043">
          <cell r="A1043" t="str">
            <v>PF1199</v>
          </cell>
        </row>
        <row r="1044">
          <cell r="A1044" t="str">
            <v>PF1199</v>
          </cell>
        </row>
        <row r="1045">
          <cell r="A1045" t="str">
            <v>PF1199</v>
          </cell>
        </row>
        <row r="1046">
          <cell r="A1046" t="str">
            <v>PF1199</v>
          </cell>
        </row>
        <row r="1047">
          <cell r="A1047" t="str">
            <v>PF0586</v>
          </cell>
        </row>
        <row r="1048">
          <cell r="A1048" t="str">
            <v>PF1199</v>
          </cell>
        </row>
        <row r="1049">
          <cell r="A1049" t="str">
            <v>PF1199</v>
          </cell>
        </row>
        <row r="1050">
          <cell r="A1050" t="str">
            <v>PF0578</v>
          </cell>
        </row>
        <row r="1051">
          <cell r="A1051" t="str">
            <v>PF0607</v>
          </cell>
        </row>
        <row r="1052">
          <cell r="A1052" t="str">
            <v>PF1280</v>
          </cell>
        </row>
        <row r="1053">
          <cell r="A1053" t="str">
            <v>PF0607</v>
          </cell>
        </row>
        <row r="1054">
          <cell r="A1054" t="str">
            <v>PF0574</v>
          </cell>
        </row>
        <row r="1055">
          <cell r="A1055" t="str">
            <v>PF0702</v>
          </cell>
        </row>
        <row r="1056">
          <cell r="A1056" t="str">
            <v>PF1432</v>
          </cell>
        </row>
        <row r="1057">
          <cell r="A1057" t="str">
            <v>PF0576</v>
          </cell>
        </row>
        <row r="1058">
          <cell r="A1058" t="str">
            <v/>
          </cell>
        </row>
        <row r="1059">
          <cell r="A1059" t="str">
            <v/>
          </cell>
        </row>
        <row r="1060">
          <cell r="A1060" t="str">
            <v>PF1445</v>
          </cell>
        </row>
        <row r="1061">
          <cell r="A1061" t="str">
            <v>PF0607</v>
          </cell>
        </row>
        <row r="1062">
          <cell r="A1062" t="str">
            <v>PF1313</v>
          </cell>
        </row>
        <row r="1063">
          <cell r="A1063" t="str">
            <v>PF0980</v>
          </cell>
        </row>
        <row r="1064">
          <cell r="A1064" t="str">
            <v>PF1246</v>
          </cell>
        </row>
        <row r="1065">
          <cell r="A1065" t="str">
            <v>PF1424</v>
          </cell>
        </row>
        <row r="1066">
          <cell r="A1066" t="str">
            <v>PF0980</v>
          </cell>
        </row>
        <row r="1067">
          <cell r="A1067" t="str">
            <v>PF0980</v>
          </cell>
        </row>
        <row r="1068">
          <cell r="A1068" t="str">
            <v>PF1246</v>
          </cell>
        </row>
        <row r="1069">
          <cell r="A1069" t="str">
            <v>PF1246</v>
          </cell>
        </row>
        <row r="1070">
          <cell r="A1070" t="str">
            <v>PF0988</v>
          </cell>
        </row>
        <row r="1071">
          <cell r="A1071" t="str">
            <v>PF0527</v>
          </cell>
        </row>
        <row r="1072">
          <cell r="A1072" t="str">
            <v>PF1010</v>
          </cell>
        </row>
        <row r="1073">
          <cell r="A1073" t="str">
            <v>PF1200</v>
          </cell>
        </row>
        <row r="1074">
          <cell r="A1074" t="str">
            <v>PF1188</v>
          </cell>
        </row>
        <row r="1075">
          <cell r="A1075" t="str">
            <v>PF1219</v>
          </cell>
        </row>
        <row r="1076">
          <cell r="A1076" t="str">
            <v>PF0965</v>
          </cell>
        </row>
        <row r="1077">
          <cell r="A1077" t="str">
            <v>PF0883</v>
          </cell>
        </row>
        <row r="1078">
          <cell r="A1078" t="str">
            <v>PF1444</v>
          </cell>
        </row>
        <row r="1079">
          <cell r="A1079" t="str">
            <v>PF1335</v>
          </cell>
        </row>
        <row r="1080">
          <cell r="A1080" t="str">
            <v>PF1257</v>
          </cell>
        </row>
        <row r="1081">
          <cell r="A1081" t="str">
            <v>PF0729</v>
          </cell>
        </row>
        <row r="1082">
          <cell r="A1082" t="str">
            <v>PF0960</v>
          </cell>
        </row>
        <row r="1083">
          <cell r="A1083" t="str">
            <v>PF1171</v>
          </cell>
        </row>
        <row r="1084">
          <cell r="A1084" t="str">
            <v>PF0944</v>
          </cell>
        </row>
        <row r="1085">
          <cell r="A1085" t="str">
            <v>PF0576</v>
          </cell>
        </row>
        <row r="1086">
          <cell r="A1086" t="str">
            <v>PF0842</v>
          </cell>
        </row>
        <row r="1087">
          <cell r="A1087" t="str">
            <v>PF1257</v>
          </cell>
        </row>
        <row r="1088">
          <cell r="A1088" t="str">
            <v>PF0944</v>
          </cell>
        </row>
        <row r="1089">
          <cell r="A1089" t="str">
            <v>PF0607</v>
          </cell>
        </row>
        <row r="1090">
          <cell r="A1090" t="str">
            <v>PF1346</v>
          </cell>
        </row>
        <row r="1091">
          <cell r="A1091" t="str">
            <v>PF1257</v>
          </cell>
        </row>
        <row r="1092">
          <cell r="A1092" t="str">
            <v>PF0574</v>
          </cell>
        </row>
        <row r="1093">
          <cell r="A1093" t="str">
            <v>PF1331</v>
          </cell>
        </row>
        <row r="1094">
          <cell r="A1094" t="str">
            <v>PF0712</v>
          </cell>
        </row>
        <row r="1095">
          <cell r="A1095" t="str">
            <v>PF1346</v>
          </cell>
        </row>
        <row r="1096">
          <cell r="A1096" t="str">
            <v/>
          </cell>
        </row>
        <row r="1097">
          <cell r="A1097" t="str">
            <v>PF0766</v>
          </cell>
        </row>
        <row r="1098">
          <cell r="A1098" t="str">
            <v>PF0576</v>
          </cell>
        </row>
        <row r="1099">
          <cell r="A1099" t="str">
            <v>PF0622</v>
          </cell>
        </row>
        <row r="1100">
          <cell r="A1100" t="str">
            <v>PF1199</v>
          </cell>
        </row>
        <row r="1101">
          <cell r="A1101" t="str">
            <v>PF1313</v>
          </cell>
        </row>
        <row r="1102">
          <cell r="A1102" t="str">
            <v>PF1313</v>
          </cell>
        </row>
        <row r="1103">
          <cell r="A1103" t="str">
            <v>PF0679</v>
          </cell>
        </row>
        <row r="1104">
          <cell r="A1104" t="str">
            <v>PF0679</v>
          </cell>
        </row>
        <row r="1105">
          <cell r="A1105" t="str">
            <v>PF1199</v>
          </cell>
        </row>
        <row r="1106">
          <cell r="A1106" t="str">
            <v>PF1284</v>
          </cell>
        </row>
        <row r="1107">
          <cell r="A1107" t="str">
            <v>PF1313</v>
          </cell>
        </row>
        <row r="1108">
          <cell r="A1108" t="str">
            <v>PF1284</v>
          </cell>
        </row>
        <row r="1109">
          <cell r="A1109" t="str">
            <v>PF1284</v>
          </cell>
        </row>
        <row r="1110">
          <cell r="A1110" t="str">
            <v>PF1284</v>
          </cell>
        </row>
        <row r="1111">
          <cell r="A1111" t="str">
            <v>PF1432</v>
          </cell>
        </row>
        <row r="1112">
          <cell r="A1112" t="str">
            <v>PF0607</v>
          </cell>
        </row>
        <row r="1113">
          <cell r="A1113" t="str">
            <v>PF0574</v>
          </cell>
        </row>
        <row r="1114">
          <cell r="A1114" t="str">
            <v>PF0615</v>
          </cell>
        </row>
        <row r="1115">
          <cell r="A1115" t="str">
            <v>PF1199</v>
          </cell>
        </row>
        <row r="1116">
          <cell r="A1116" t="str">
            <v>PF0725</v>
          </cell>
        </row>
        <row r="1117">
          <cell r="A1117" t="str">
            <v>PF0700</v>
          </cell>
        </row>
        <row r="1118">
          <cell r="A1118" t="str">
            <v>PF1199</v>
          </cell>
        </row>
        <row r="1119">
          <cell r="A1119" t="str">
            <v>PF1432</v>
          </cell>
        </row>
        <row r="1120">
          <cell r="A1120" t="str">
            <v>PF0679</v>
          </cell>
        </row>
        <row r="1121">
          <cell r="A1121" t="str">
            <v>PF1433</v>
          </cell>
        </row>
        <row r="1122">
          <cell r="A1122" t="str">
            <v>PF0586</v>
          </cell>
        </row>
        <row r="1123">
          <cell r="A1123" t="str">
            <v>PF0611</v>
          </cell>
        </row>
        <row r="1124">
          <cell r="A1124" t="str">
            <v>PF0857</v>
          </cell>
        </row>
        <row r="1125">
          <cell r="A1125" t="str">
            <v>PF1280</v>
          </cell>
        </row>
        <row r="1126">
          <cell r="A1126" t="str">
            <v>PF0792</v>
          </cell>
        </row>
        <row r="1127">
          <cell r="A1127" t="str">
            <v>PF1432</v>
          </cell>
        </row>
        <row r="1128">
          <cell r="A1128" t="str">
            <v>PF0622</v>
          </cell>
        </row>
        <row r="1129">
          <cell r="A1129" t="str">
            <v>PF1006</v>
          </cell>
        </row>
        <row r="1130">
          <cell r="A1130" t="str">
            <v>PF1433</v>
          </cell>
        </row>
        <row r="1131">
          <cell r="A1131" t="str">
            <v>PF0585</v>
          </cell>
        </row>
        <row r="1132">
          <cell r="A1132" t="str">
            <v>PF0613</v>
          </cell>
        </row>
        <row r="1133">
          <cell r="A1133" t="str">
            <v>PF1257</v>
          </cell>
        </row>
        <row r="1134">
          <cell r="A1134" t="str">
            <v>PF1257</v>
          </cell>
        </row>
        <row r="1135">
          <cell r="A1135" t="str">
            <v>PF1349</v>
          </cell>
        </row>
        <row r="1136">
          <cell r="A1136" t="str">
            <v>PF1297</v>
          </cell>
        </row>
        <row r="1137">
          <cell r="A1137" t="str">
            <v>PF0962</v>
          </cell>
        </row>
        <row r="1138">
          <cell r="A1138" t="str">
            <v>PF0770</v>
          </cell>
        </row>
        <row r="1139">
          <cell r="A1139" t="str">
            <v>PF0607</v>
          </cell>
        </row>
        <row r="1140">
          <cell r="A1140" t="str">
            <v>PF0607</v>
          </cell>
        </row>
        <row r="1141">
          <cell r="A1141" t="str">
            <v>PF0607</v>
          </cell>
        </row>
        <row r="1142">
          <cell r="A1142" t="str">
            <v>PF1005</v>
          </cell>
        </row>
        <row r="1143">
          <cell r="A1143" t="str">
            <v>PF1005</v>
          </cell>
        </row>
        <row r="1144">
          <cell r="A1144" t="str">
            <v>PF1331</v>
          </cell>
        </row>
        <row r="1145">
          <cell r="A1145" t="str">
            <v>PF0674</v>
          </cell>
        </row>
        <row r="1146">
          <cell r="A1146" t="str">
            <v>PF0960</v>
          </cell>
        </row>
        <row r="1147">
          <cell r="A1147" t="str">
            <v>PF0638</v>
          </cell>
        </row>
        <row r="1148">
          <cell r="A1148" t="str">
            <v>PF1433</v>
          </cell>
        </row>
        <row r="1149">
          <cell r="A1149" t="str">
            <v>PF0962</v>
          </cell>
        </row>
        <row r="1150">
          <cell r="A1150" t="str">
            <v>PF1184</v>
          </cell>
        </row>
        <row r="1151">
          <cell r="A1151" t="str">
            <v>PF0762</v>
          </cell>
        </row>
        <row r="1152">
          <cell r="A1152" t="str">
            <v>PF1346</v>
          </cell>
        </row>
        <row r="1153">
          <cell r="A1153" t="str">
            <v>PF0961</v>
          </cell>
        </row>
        <row r="1154">
          <cell r="A1154" t="str">
            <v>PF0961</v>
          </cell>
        </row>
        <row r="1155">
          <cell r="A1155" t="str">
            <v>PF0961</v>
          </cell>
        </row>
        <row r="1156">
          <cell r="A1156" t="str">
            <v>PF0961</v>
          </cell>
        </row>
        <row r="1157">
          <cell r="A1157" t="str">
            <v>PF0961</v>
          </cell>
        </row>
        <row r="1158">
          <cell r="A1158" t="str">
            <v>PF1337</v>
          </cell>
        </row>
        <row r="1159">
          <cell r="A1159" t="str">
            <v>PF1337</v>
          </cell>
        </row>
        <row r="1160">
          <cell r="A1160" t="str">
            <v>PF1337</v>
          </cell>
        </row>
        <row r="1161">
          <cell r="A1161" t="str">
            <v>PF0673</v>
          </cell>
        </row>
        <row r="1162">
          <cell r="A1162" t="str">
            <v>PF0673</v>
          </cell>
        </row>
        <row r="1163">
          <cell r="A1163" t="str">
            <v>PF0540</v>
          </cell>
        </row>
        <row r="1164">
          <cell r="A1164" t="str">
            <v>PF0540</v>
          </cell>
        </row>
        <row r="1165">
          <cell r="A1165" t="str">
            <v>PF0540</v>
          </cell>
        </row>
        <row r="1166">
          <cell r="A1166" t="str">
            <v>PF0621</v>
          </cell>
        </row>
        <row r="1167">
          <cell r="A1167" t="str">
            <v/>
          </cell>
        </row>
      </sheetData>
      <sheetData sheetId="6"/>
      <sheetData sheetId="7"/>
      <sheetData sheetId="8"/>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a Negrete Irrazabal" refreshedDate="45551.276608217595" createdVersion="8" refreshedVersion="8" minRefreshableVersion="3" recordCount="259" xr:uid="{63F437C3-1B07-4046-B1F0-3296C0EEBBFC}">
  <cacheSource type="worksheet">
    <worksheetSource ref="A1:DT1048576" sheet="ADJUDICA"/>
  </cacheSource>
  <cacheFields count="124">
    <cacheField name="CODIGO SENCE+A:B" numFmtId="0">
      <sharedItems containsNonDate="0" containsString="0" containsBlank="1"/>
    </cacheField>
    <cacheField name="OTIC" numFmtId="0">
      <sharedItems containsNonDate="0" containsString="0" containsBlank="1"/>
    </cacheField>
    <cacheField name="RUT OTIC" numFmtId="0">
      <sharedItems containsNonDate="0" containsString="0" containsBlank="1"/>
    </cacheField>
    <cacheField name="AÑO" numFmtId="0">
      <sharedItems containsNonDate="0" containsString="0" containsBlank="1"/>
    </cacheField>
    <cacheField name="ASIGNACIÓN" numFmtId="0">
      <sharedItems containsNonDate="0" containsString="0" containsBlank="1"/>
    </cacheField>
    <cacheField name="RUT INSTITUCION REQUIRENTE" numFmtId="0">
      <sharedItems containsNonDate="0" containsString="0" containsBlank="1"/>
    </cacheField>
    <cacheField name="NOMBRE INSTITUCIÓN REQUIRENTE " numFmtId="0">
      <sharedItems containsNonDate="0" containsString="0" containsBlank="1"/>
    </cacheField>
    <cacheField name="RUT ENTIDAD BENEFICIARIA EN CASO DE MANDATO" numFmtId="0">
      <sharedItems containsNonDate="0" containsString="0" containsBlank="1"/>
    </cacheField>
    <cacheField name="NOMBRE DE ENTIDAD BENEFICIARIA EN CASO DE MANDATO" numFmtId="0">
      <sharedItems containsNonDate="0" containsString="0" containsBlank="1"/>
    </cacheField>
    <cacheField name="NOMBRE ENTIDAD REQUIRENTE EN CASO DE FONDOS REGIONALES O DE EMPERGENCIA. (SIEMPRE SERÁ SENCE)" numFmtId="0">
      <sharedItems containsNonDate="0" containsString="0" containsBlank="1"/>
    </cacheField>
    <cacheField name="RUT ENTIDAD REQUIRENTE EN CASO DE FONDOS REGIONALES O DE EMPERGENCIA. (SIEMPRE SERÁ SENCE)" numFmtId="0">
      <sharedItems containsNonDate="0" containsString="0" containsBlank="1"/>
    </cacheField>
    <cacheField name="NOMBRE DEL CURSO (PLAN FORMATIVO 1)" numFmtId="0">
      <sharedItems containsNonDate="0" containsString="0" containsBlank="1"/>
    </cacheField>
    <cacheField name="CODIGO DEL CURSO (PLAN FORMATIVO 1)" numFmtId="0">
      <sharedItems containsNonDate="0" containsString="0" containsBlank="1"/>
    </cacheField>
    <cacheField name="NOMBRE PLAN transversal" numFmtId="0">
      <sharedItems containsNonDate="0" containsString="0" containsBlank="1"/>
    </cacheField>
    <cacheField name="CODIGO PLAN transversal" numFmtId="0">
      <sharedItems containsNonDate="0" containsString="0" containsBlank="1"/>
    </cacheField>
    <cacheField name="N° REGIÓN" numFmtId="0">
      <sharedItems containsNonDate="0" containsString="0" containsBlank="1"/>
    </cacheField>
    <cacheField name="NOMBRE REGIÓN" numFmtId="0">
      <sharedItems containsNonDate="0" containsString="0" containsBlank="1"/>
    </cacheField>
    <cacheField name="COMUNA" numFmtId="0">
      <sharedItems containsNonDate="0" containsString="0" containsBlank="1"/>
    </cacheField>
    <cacheField name="NOMBRE POBLACIÓN OBJETIVO" numFmtId="0">
      <sharedItems containsNonDate="0" containsString="0" containsBlank="1"/>
    </cacheField>
    <cacheField name="MODALIDAD DEL CURSO " numFmtId="0">
      <sharedItems containsNonDate="0" containsString="0" containsBlank="1"/>
    </cacheField>
    <cacheField name="TIPO SALIDA (DEPENDIENTE O INDEPENDIENTE)" numFmtId="0">
      <sharedItems containsNonDate="0" containsString="0" containsBlank="1"/>
    </cacheField>
    <cacheField name="CALENDARIZACIÓN FASE LECTIVA" numFmtId="0">
      <sharedItems containsNonDate="0" containsString="0" containsBlank="1"/>
    </cacheField>
    <cacheField name="CUPO" numFmtId="0">
      <sharedItems containsNonDate="0" containsString="0" containsBlank="1"/>
    </cacheField>
    <cacheField name=" HORAS CURSO (PLAN FORMATIVO 1)" numFmtId="0">
      <sharedItems containsNonDate="0" containsString="0" containsBlank="1"/>
    </cacheField>
    <cacheField name=" HORAS PLAN(ES) FORMATIVO(OS) 2" numFmtId="0">
      <sharedItems containsNonDate="0" containsString="0" containsBlank="1"/>
    </cacheField>
    <cacheField name="TOTAL HORAS " numFmtId="0">
      <sharedItems containsNonDate="0" containsString="0" containsBlank="1"/>
    </cacheField>
    <cacheField name="HORAS DIARIAS" numFmtId="0">
      <sharedItems containsNonDate="0" containsString="0" containsBlank="1"/>
    </cacheField>
    <cacheField name="SUBSIDIO DIARIO FASE LECTIVA (SI/NO)" numFmtId="0">
      <sharedItems containsNonDate="0" containsString="0" containsBlank="1"/>
    </cacheField>
    <cacheField name="SUBSIDIO CUIDADOS" numFmtId="0">
      <sharedItems containsNonDate="0" containsString="0" containsBlank="1"/>
    </cacheField>
    <cacheField name="SUBSIDIO DE HERRAMIENTAS  (SI/NO)" numFmtId="0">
      <sharedItems containsNonDate="0" containsString="0" containsBlank="1"/>
    </cacheField>
    <cacheField name="APRENDIZAJES ESPERADOS (SOLO PARA CURSOS SIN PLAN FORMATIVO)" numFmtId="0">
      <sharedItems containsNonDate="0" containsString="0" containsBlank="1"/>
    </cacheField>
    <cacheField name="DESCRIPCIÓN POBLACION OBJETIVO" numFmtId="0">
      <sharedItems containsNonDate="0" containsString="0" containsBlank="1"/>
    </cacheField>
    <cacheField name="TRAMO" numFmtId="0">
      <sharedItems containsNonDate="0" containsString="0" containsBlank="1"/>
    </cacheField>
    <cacheField name="LICENCIA HABILITANTE  (SI/NO)" numFmtId="0">
      <sharedItems containsNonDate="0" containsString="0" containsBlank="1"/>
    </cacheField>
    <cacheField name="TIPO LICENCIA HABILITANTE" numFmtId="0">
      <sharedItems containsNonDate="0" containsString="0" containsBlank="1"/>
    </cacheField>
    <cacheField name="RUTOTEC" numFmtId="0">
      <sharedItems containsNonDate="0" containsBlank="1" count="58">
        <m/>
        <s v="76190287-3" u="1"/>
        <s v="77041880-1" u="1"/>
        <s v="77344241-K" u="1"/>
        <s v="79960640-2" u="1"/>
        <s v="65056389-1" u="1"/>
        <s v="76266094-6" u="1"/>
        <s v="65088432-9" u="1"/>
        <s v="76130549-2" u="1"/>
        <s v="79942800-8" u="1"/>
        <s v="76511150-1" u="1"/>
        <s v="77206547-7" u="1"/>
        <s v="77484320-5" u="1"/>
        <s v="76040379-2" u="1"/>
        <s v="77721727-5" u="1"/>
        <s v="65194168-7" u="1"/>
        <s v="77490687-8" u="1"/>
        <s v="76680573-6" u="1"/>
        <s v="79607710-7" u="1"/>
        <s v="65012812-5" u="1"/>
        <s v="77413768-8" u="1"/>
        <s v="76437350-2" u="1"/>
        <s v="77086552-2" u="1"/>
        <s v="78642160-8" u="1"/>
        <s v="77894940-7" u="1"/>
        <s v="77823470-K" u="1"/>
        <s v="76335013-4" u="1"/>
        <s v="77902200-5" u="1"/>
        <s v="77168530-7" u="1"/>
        <s v="76205961-4" u="1"/>
        <s v="78270220-3" u="1"/>
        <s v="76052461-1" u="1"/>
        <s v="77890080-7" u="1"/>
        <s v="76292236-3" u="1"/>
        <s v="96940970-4" u="1"/>
        <s v="78936150-9" u="1"/>
        <s v="76858784-1" u="1"/>
        <s v="77759390-0" u="1"/>
        <s v="76708260-6" u="1"/>
        <s v="76663170-3" u="1"/>
        <s v="76441860-3" u="1"/>
        <s v="77990420-2" u="1"/>
        <s v="77760618-2" u="1"/>
        <s v="77798280-K" u="1"/>
        <s v="77594400-5" u="1"/>
        <s v="76056645-4" u="1"/>
        <s v="76060420-8" u="1"/>
        <s v="76966677-K" u="1"/>
        <s v="76004998-0" u="1"/>
        <s v="76332512-1" u="1"/>
        <s v="76439309-0" u="1"/>
        <s v="76210959-K" u="1"/>
        <s v="76584899-7" u="1"/>
        <s v="77585990-3" u="1"/>
        <s v="76093342-2" u="1"/>
        <s v="78834140-7" u="1"/>
        <s v="76192976-3" u="1"/>
        <s v="76229571-7" u="1"/>
      </sharedItems>
    </cacheField>
    <cacheField name="NOMBRE OTEC" numFmtId="0">
      <sharedItems containsNonDate="0" containsString="0" containsBlank="1"/>
    </cacheField>
    <cacheField name="TOTAL HORAS FASE LECTIVA" numFmtId="0">
      <sharedItems containsNonDate="0" containsString="0" containsBlank="1"/>
    </cacheField>
    <cacheField name="DUR FASE LECTIVA DIAS" numFmtId="0">
      <sharedItems containsNonDate="0" containsString="0" containsBlank="1"/>
    </cacheField>
    <cacheField name="NUM DE LLAMADO" numFmtId="0">
      <sharedItems containsNonDate="0" containsString="0" containsBlank="1"/>
    </cacheField>
    <cacheField name="VALOR HORA ALUMNO" numFmtId="0">
      <sharedItems containsNonDate="0" containsString="0" containsBlank="1"/>
    </cacheField>
    <cacheField name="VALOR ALUMNO SUB DE HERRAMIENTAS" numFmtId="0">
      <sharedItems containsNonDate="0" containsString="0" containsBlank="1"/>
    </cacheField>
    <cacheField name="VALOR ALUMNO SUB PARA CERT LICENCIAS" numFmtId="0">
      <sharedItems containsNonDate="0" containsString="0" containsBlank="1"/>
    </cacheField>
    <cacheField name="TOTAL SUB PARA CERT LICENCIAS" numFmtId="0">
      <sharedItems containsNonDate="0" containsString="0" containsBlank="1"/>
    </cacheField>
    <cacheField name="VALOR CAPACITACION" numFmtId="0">
      <sharedItems containsNonDate="0" containsString="0" containsBlank="1"/>
    </cacheField>
    <cacheField name="TOTAL SUBS FASE DIARIO" numFmtId="0">
      <sharedItems containsNonDate="0" containsString="0" containsBlank="1"/>
    </cacheField>
    <cacheField name="TOTAL SUB CUIDADO " numFmtId="0">
      <sharedItems containsNonDate="0" containsString="0" containsBlank="1"/>
    </cacheField>
    <cacheField name="TOTAL SUBS DE UTILES Y HERRAM" numFmtId="0">
      <sharedItems containsNonDate="0" containsString="0" containsBlank="1"/>
    </cacheField>
    <cacheField name="TOTAL DEL CURSO" numFmtId="0">
      <sharedItems containsNonDate="0" containsString="0" containsBlank="1"/>
    </cacheField>
    <cacheField name="ENTIDAD QUE OTORGA LA CERTIF" numFmtId="0">
      <sharedItems containsNonDate="0" containsString="0" containsBlank="1"/>
    </cacheField>
    <cacheField name="VERIFICACIÓN DE REQUISITO SI/NO" numFmtId="0">
      <sharedItems containsNonDate="0" containsString="0" containsBlank="1"/>
    </cacheField>
    <cacheField name="MOTIVO DEL RECHAZO" numFmtId="0">
      <sharedItems containsNonDate="0" containsString="0" containsBlank="1"/>
    </cacheField>
    <cacheField name="5.2. EVALUACIÓN EXP DEL OFERENTE" numFmtId="0">
      <sharedItems containsNonDate="0" containsString="0" containsBlank="1"/>
    </cacheField>
    <cacheField name="5.3                      EVALUACIÓN COMPORTAMIENTO ANTERIOR" numFmtId="0">
      <sharedItems containsNonDate="0" containsString="0" containsBlank="1"/>
    </cacheField>
    <cacheField name="5.4.1.1.1                              CUMPLE CON TODOS LOS COMPONENTES EXIGIDOS PARA EL PLAN FORMATIVO" numFmtId="0">
      <sharedItems containsNonDate="0" containsString="0" containsBlank="1"/>
    </cacheField>
    <cacheField name="5.4.1.1.2                                  SE IDENTIFICAN LOS REQUISISTOS DE INGRESO DEL PARTICIPANTE AL PLAN FORMATIVO." numFmtId="0">
      <sharedItems containsNonDate="0" containsString="0" containsBlank="1"/>
    </cacheField>
    <cacheField name="5.4.1.2.1                     RELACIÓN ENTRE LOS COMPONENTES DEL MÓDULO PROPUESTO" numFmtId="0">
      <sharedItems containsNonDate="0" containsString="0" containsBlank="1"/>
    </cacheField>
    <cacheField name="5.4.1.2.2                      RELACIÓN DE LA COMPETENCIA Y EL NOMBRE DEL MÓDULO SE RELACIONA CON LA COMPETENCIA Y EL NOMBRE DEL PLAN FORMATIVO" numFmtId="0">
      <sharedItems containsNonDate="0" containsString="0" containsBlank="1"/>
    </cacheField>
    <cacheField name="5.4.1.2.3              RELACIÓN DE LOS APRENDIZAJES ESPERADOS DEL MÓDULO CON LA COMPETENCIA DEL MÓDULO." numFmtId="0">
      <sharedItems containsNonDate="0" containsString="0" containsBlank="1"/>
    </cacheField>
    <cacheField name="5.4.1.2.4                          LOS CRITERIOS DE EVALUACIÓN PERMITEN EVIDENCIAR LOS APRENDIZAJES ESPERADOS DE CADA MÓDULO." numFmtId="0">
      <sharedItems containsNonDate="0" containsString="0" containsBlank="1"/>
    </cacheField>
    <cacheField name="5.4.1.2.5                                         LOS CONTENIDOS ABORDADOS PERMITEN DESARROLLAR LOS APRENDIZAJES ESPERADOS DE CADA MÓDULO." numFmtId="0">
      <sharedItems containsNonDate="0" containsString="0" containsBlank="1"/>
    </cacheField>
    <cacheField name="5.4.2.1             RELACIÓN METODOLOGÍA Y COMPETENCIA  MAYOR QUE 1" numFmtId="0">
      <sharedItems containsNonDate="0" containsString="0" containsBlank="1"/>
    </cacheField>
    <cacheField name="5.4.2.2 PROCESO DE APRENDIZAJE" numFmtId="0">
      <sharedItems containsNonDate="0" containsString="0" containsBlank="1"/>
    </cacheField>
    <cacheField name="5.4.2.3                USO DE EQUIPOS Y HERRAMIENTAS" numFmtId="0">
      <sharedItems containsNonDate="0" containsString="0" containsBlank="1"/>
    </cacheField>
    <cacheField name="5.4.2.4                      USO Y DISTRIBUCIÓN DE MATERIALES E INSUMOS" numFmtId="0">
      <sharedItems containsNonDate="0" containsString="0" containsBlank="1"/>
    </cacheField>
    <cacheField name="5.4.2.5               USO DE LA INFRAESTRUCTURA" numFmtId="0">
      <sharedItems containsNonDate="0" containsString="0" containsBlank="1"/>
    </cacheField>
    <cacheField name="5.5. EVALUACIÓN ECONÓMICA" numFmtId="0">
      <sharedItems containsNonDate="0" containsString="0" containsBlank="1"/>
    </cacheField>
    <cacheField name="CURSO PREADJUDICADO SI/NO" numFmtId="0">
      <sharedItems containsNonDate="0" containsString="0" containsBlank="1"/>
    </cacheField>
    <cacheField name="6 NOTA FINAL" numFmtId="0">
      <sharedItems containsNonDate="0" containsString="0" containsBlank="1"/>
    </cacheField>
    <cacheField name="REDONDEADO DIAS FASE LECTIVA" numFmtId="0">
      <sharedItems containsNonDate="0" containsString="0" containsBlank="1"/>
    </cacheField>
    <cacheField name="DIAS FL SIN REDONDEO" numFmtId="0">
      <sharedItems containsNonDate="0" containsString="0" containsBlank="1"/>
    </cacheField>
    <cacheField name="VALIDACIÓN  VALOR CAPACITACIÓN" numFmtId="0">
      <sharedItems containsNonDate="0" containsString="0" containsBlank="1"/>
    </cacheField>
    <cacheField name="TIPO DE SUBSIDIO DE HERRAMIENTAS" numFmtId="0">
      <sharedItems containsNonDate="0" containsString="0" containsBlank="1"/>
    </cacheField>
    <cacheField name="¿SE EVALUA PROPUESTA FORMATIVA SEGÚN TENGA O NO PLAN FORMATIVO EL CURSO?" numFmtId="0">
      <sharedItems containsNonDate="0" containsString="0" containsBlank="1"/>
    </cacheField>
    <cacheField name="VALIDACIÓN N°DÍAS FL" numFmtId="0">
      <sharedItems containsNonDate="0" containsString="0" containsBlank="1"/>
    </cacheField>
    <cacheField name="REVISIÓN VHA SEGÚN TRAMO" numFmtId="0">
      <sharedItems containsNonDate="0" containsString="0" containsBlank="1"/>
    </cacheField>
    <cacheField name="VALIDACIÓN VALOR CAPACITACIÓN" numFmtId="0">
      <sharedItems containsNonDate="0" containsString="0" containsBlank="1"/>
    </cacheField>
    <cacheField name="VALIDACIÓN VALOR SUBSIDIO FASE LECTIVA" numFmtId="0">
      <sharedItems containsNonDate="0" containsString="0" containsBlank="1"/>
    </cacheField>
    <cacheField name="VALIDACIÓN VALOR SUBSIDIO CUIDADO " numFmtId="0">
      <sharedItems containsNonDate="0" containsString="0" containsBlank="1"/>
    </cacheField>
    <cacheField name="VALIDACIÓN VALOR SH SEGÚN LÍNEA" numFmtId="0">
      <sharedItems containsNonDate="0" containsString="0" containsBlank="1"/>
    </cacheField>
    <cacheField name="VALIDACIÓN VALOR TOTAL SUBSIDIO HERRAMIENTAS" numFmtId="0">
      <sharedItems containsNonDate="0" containsString="0" containsBlank="1"/>
    </cacheField>
    <cacheField name="TIENE LICENCIA?" numFmtId="0">
      <sharedItems containsNonDate="0" containsString="0" containsBlank="1"/>
    </cacheField>
    <cacheField name="VALIDACIÓN TOTAL SUB PARA CERT LICENCIAS" numFmtId="0">
      <sharedItems containsNonDate="0" containsString="0" containsBlank="1"/>
    </cacheField>
    <cacheField name="VALIDACIÓN VALOR TOTAL CURSO" numFmtId="0">
      <sharedItems containsNonDate="0" containsString="0" containsBlank="1"/>
    </cacheField>
    <cacheField name="VALIDACIÓN VERIFICACIÓN DE REQUISITOS DEL CURSO" numFmtId="0">
      <sharedItems containsNonDate="0" containsString="0" containsBlank="1"/>
    </cacheField>
    <cacheField name="¿TIENE EXPERIENCIA?" numFmtId="0">
      <sharedItems containsNonDate="0" containsString="0" containsBlank="1"/>
    </cacheField>
    <cacheField name="VALIDACIÓN NOTA EXPERIENCIA OFERENTE" numFmtId="0">
      <sharedItems containsNonDate="0" containsString="0" containsBlank="1"/>
    </cacheField>
    <cacheField name="¿TIENE MULTAS?" numFmtId="0">
      <sharedItems containsNonDate="0" containsString="0" containsBlank="1"/>
    </cacheField>
    <cacheField name="VALIDACIÓN COMPORTAMIENTO ANTERIOR " numFmtId="0">
      <sharedItems containsNonDate="0" containsString="0" containsBlank="1"/>
    </cacheField>
    <cacheField name="NOTA EXPERIENCIA" numFmtId="0">
      <sharedItems containsNonDate="0" containsString="0" containsBlank="1"/>
    </cacheField>
    <cacheField name="NOTA COMPORTAMIENTO" numFmtId="0">
      <sharedItems containsNonDate="0" containsString="0" containsBlank="1"/>
    </cacheField>
    <cacheField name="¿TIENE PF?" numFmtId="0">
      <sharedItems containsNonDate="0" containsString="0" containsBlank="1"/>
    </cacheField>
    <cacheField name="NOTA PROPUESTA FORMATIVA A NIVEL DE PLAN 5,4,1,1( 35%)" numFmtId="0">
      <sharedItems containsNonDate="0" containsString="0" containsBlank="1"/>
    </cacheField>
    <cacheField name="NOTA PROPUESTA FORMATIVA A NIVEL DE MODULOS 5,4,1,2 (65%)" numFmtId="0">
      <sharedItems containsNonDate="0" containsString="0" containsBlank="1"/>
    </cacheField>
    <cacheField name="NOTA  EVALUACIÓN PROPUESTA FORMATIVA (45%)" numFmtId="0">
      <sharedItems containsNonDate="0" containsString="0" containsBlank="1"/>
    </cacheField>
    <cacheField name="VALIDACIÓN NOTA METODOLOGÍA SUPERIOR A 1" numFmtId="0">
      <sharedItems containsNonDate="0" containsString="0" containsBlank="1"/>
    </cacheField>
    <cacheField name="NOTA METODOLOGÍA (55%)" numFmtId="0">
      <sharedItems containsNonDate="0" containsString="0" containsBlank="1"/>
    </cacheField>
    <cacheField name="NOTA EVALUACIÓN TÉCNICA" numFmtId="0">
      <sharedItems containsNonDate="0" containsString="0" containsBlank="1"/>
    </cacheField>
    <cacheField name="VHA DEL CURSO A CONSIDERAR EN EVA EC" numFmtId="0">
      <sharedItems containsNonDate="0" containsString="0" containsBlank="1"/>
    </cacheField>
    <cacheField name="MENOR VHA OFERTADA SEGÚN CÓDIGO" numFmtId="0">
      <sharedItems containsNonDate="0" containsString="0" containsBlank="1"/>
    </cacheField>
    <cacheField name="NOTA EV ECONÓMICA" numFmtId="0">
      <sharedItems containsNonDate="0" containsString="0" containsBlank="1"/>
    </cacheField>
    <cacheField name="VALIDACIÓN NOTA ECONÓMICA" numFmtId="0">
      <sharedItems containsNonDate="0" containsString="0" containsBlank="1"/>
    </cacheField>
    <cacheField name="REVISIÓN PREVIA NOTA FINAL" numFmtId="0">
      <sharedItems containsNonDate="0" containsString="0" containsBlank="1"/>
    </cacheField>
    <cacheField name="NOTA FINAL DEL CURSO" numFmtId="0">
      <sharedItems containsNonDate="0" containsString="0" containsBlank="1"/>
    </cacheField>
    <cacheField name="VALIDACIÓN NOTA FINAL" numFmtId="0">
      <sharedItems containsNonDate="0" containsString="0" containsBlank="1"/>
    </cacheField>
    <cacheField name="¿PRE ADJUDICA?" numFmtId="0">
      <sharedItems containsNonDate="0" containsString="0" containsBlank="1"/>
    </cacheField>
    <cacheField name="OBSERVACIONES OTIC" numFmtId="0">
      <sharedItems containsNonDate="0" containsString="0" containsBlank="1"/>
    </cacheField>
    <cacheField name="MAYOR NOTA FINAL  DEL CÓDIGO CURSO" numFmtId="0">
      <sharedItems containsNonDate="0" containsString="0" containsBlank="1"/>
    </cacheField>
    <cacheField name="¿TIENE MAYOR NOTA FINAL CÓDIGO CURSO?" numFmtId="0">
      <sharedItems containsNonDate="0" containsString="0" containsBlank="1"/>
    </cacheField>
    <cacheField name=" MAYOR NOTA PROPUESTA TÉCNICA" numFmtId="0">
      <sharedItems containsNonDate="0" containsString="0" containsBlank="1"/>
    </cacheField>
    <cacheField name="¿TIENE MAYOR NOTA PROPUESTA TÉCNICA?" numFmtId="0">
      <sharedItems containsNonDate="0" containsString="0" containsBlank="1"/>
    </cacheField>
    <cacheField name="MAYOR  NOTA COMPORTAMIENTO ANTERIOR" numFmtId="0">
      <sharedItems containsNonDate="0" containsString="0" containsBlank="1"/>
    </cacheField>
    <cacheField name="¿TIENE  MAYOR NOTA COMPORTAMIENTO ANTERIOR?" numFmtId="0">
      <sharedItems containsNonDate="0" containsString="0" containsBlank="1"/>
    </cacheField>
    <cacheField name="MAYOR NOTA EXPERIENCIA " numFmtId="0">
      <sharedItems containsNonDate="0" containsString="0" containsBlank="1"/>
    </cacheField>
    <cacheField name="¿TIENE  MAYOR NOTA EXPERIENCIA ?" numFmtId="0">
      <sharedItems containsNonDate="0" containsString="0" containsBlank="1"/>
    </cacheField>
    <cacheField name="¿TIENE MENOR VALOR HORA?" numFmtId="0">
      <sharedItems containsNonDate="0" containsString="0" containsBlank="1"/>
    </cacheField>
    <cacheField name="POCENTAJE DE MULTAS PONDERADA" numFmtId="0">
      <sharedItems containsNonDate="0" containsString="0" containsBlank="1"/>
    </cacheField>
    <cacheField name="MENOR PORCENTAJE COMPORTAMIENTO" numFmtId="0">
      <sharedItems containsNonDate="0" containsString="0" containsBlank="1"/>
    </cacheField>
    <cacheField name="TIENE MENOS PORCENTAJE COMPORTAMIENTO?" numFmtId="0">
      <sharedItems containsNonDate="0" containsString="0" containsBlank="1"/>
    </cacheField>
    <cacheField name="CURSOS " numFmtId="0">
      <sharedItems containsNonDate="0" containsString="0" containsBlank="1"/>
    </cacheField>
    <cacheField name="MAYOR NÚMERO CURSOS" numFmtId="0">
      <sharedItems containsNonDate="0" containsString="0" containsBlank="1"/>
    </cacheField>
    <cacheField name="TIENE MAYOR NÚMERO CURSOS?" numFmtId="0">
      <sharedItems containsNonDate="0" containsString="0" containsBlank="1"/>
    </cacheField>
    <cacheField name="OBSERVACIONES SENCE" numFmtId="0">
      <sharedItems containsNonDate="0" containsString="0" containsBlank="1"/>
    </cacheField>
    <cacheField name="RESPUESTA OBS OTIC"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873.655844097222" createdVersion="8" refreshedVersion="8" minRefreshableVersion="3" recordCount="51" xr:uid="{1A5051DD-5AC2-40E5-9EE9-5FEDC8B792D3}">
  <cacheSource type="worksheet">
    <worksheetSource ref="A1:EP186" sheet="4 Planilla de revisión"/>
  </cacheSource>
  <cacheFields count="146">
    <cacheField name="CODIGO SENCE" numFmtId="0">
      <sharedItems containsString="0" containsBlank="1" containsNumber="1" containsInteger="1" minValue="0" maxValue="100127" count="162">
        <n v="14385"/>
        <n v="14386"/>
        <n v="14387"/>
        <n v="14388"/>
        <n v="14389"/>
        <n v="14337"/>
        <n v="14339"/>
        <n v="14626"/>
        <n v="14336"/>
        <n v="14280"/>
        <n v="14283"/>
        <n v="14281"/>
        <n v="14279"/>
        <n v="14384"/>
        <m/>
        <n v="0" u="1"/>
        <n v="14218" u="1"/>
        <n v="12838" u="1"/>
        <n v="12645" u="1"/>
        <n v="12652" u="1"/>
        <n v="12808" u="1"/>
        <n v="12813" u="1"/>
        <n v="12820" u="1"/>
        <n v="12654" u="1"/>
        <n v="12655" u="1"/>
        <n v="12657" u="1"/>
        <n v="12800" u="1"/>
        <n v="12804" u="1"/>
        <n v="12807" u="1"/>
        <n v="12809" u="1"/>
        <n v="12842" u="1"/>
        <n v="12848" u="1"/>
        <n v="12859" u="1"/>
        <n v="12860" u="1"/>
        <n v="12943" u="1"/>
        <n v="12949" u="1"/>
        <n v="12833" u="1"/>
        <n v="12828" u="1"/>
        <n v="12812" u="1"/>
        <n v="12818" u="1"/>
        <n v="12822" u="1"/>
        <n v="12648" u="1"/>
        <n v="12658" u="1"/>
        <n v="12649" u="1"/>
        <n v="12646" u="1"/>
        <n v="12651" u="1"/>
        <n v="12830" u="1"/>
        <n v="12650" u="1"/>
        <n v="12653" u="1"/>
        <n v="12713" u="1"/>
        <n v="12727" u="1"/>
        <n v="12728" u="1"/>
        <n v="12725" u="1"/>
        <n v="12726" u="1"/>
        <n v="12729" u="1"/>
        <n v="12730" u="1"/>
        <n v="12724" u="1"/>
        <n v="12723" u="1"/>
        <n v="12722" u="1"/>
        <n v="12495" u="1"/>
        <n v="12498" u="1"/>
        <n v="12589" u="1"/>
        <n v="10258" u="1"/>
        <n v="10376" u="1"/>
        <n v="7494" u="1"/>
        <n v="7751" u="1"/>
        <n v="10295" u="1"/>
        <n v="10277" u="1"/>
        <n v="10291" u="1"/>
        <n v="10301" u="1"/>
        <n v="10282" u="1"/>
        <n v="10343" u="1"/>
        <n v="10363" u="1"/>
        <n v="10518" u="1"/>
        <n v="10519" u="1"/>
        <n v="10521" u="1"/>
        <n v="10585" u="1"/>
        <n v="8553" u="1"/>
        <n v="10516" u="1"/>
        <n v="10511" u="1"/>
        <n v="8718" u="1"/>
        <n v="100109" u="1"/>
        <n v="100103" u="1"/>
        <n v="100107" u="1"/>
        <n v="100110" u="1"/>
        <n v="100105" u="1"/>
        <n v="9998" u="1"/>
        <n v="100106" u="1"/>
        <n v="100104" u="1"/>
        <n v="11163" u="1"/>
        <n v="8457" u="1"/>
        <n v="7617" u="1"/>
        <n v="100121" u="1"/>
        <n v="100122" u="1"/>
        <n v="100123" u="1"/>
        <n v="100124" u="1"/>
        <n v="100125" u="1"/>
        <n v="100126" u="1"/>
        <n v="100127" u="1"/>
        <n v="100069" u="1"/>
        <n v="100070" u="1"/>
        <n v="100071" u="1"/>
        <n v="8616" u="1"/>
        <n v="9051" u="1"/>
        <n v="8832" u="1"/>
        <n v="100120" u="1"/>
        <n v="7913" u="1"/>
        <n v="7906" u="1"/>
        <n v="10131" u="1"/>
        <n v="9251" u="1"/>
        <n v="10132" u="1"/>
        <n v="10133" u="1"/>
        <n v="10126" u="1"/>
        <n v="9854" u="1"/>
        <n v="10127" u="1"/>
        <n v="7985" u="1"/>
        <n v="10129" u="1"/>
        <n v="10130" u="1"/>
        <n v="8383" u="1"/>
        <n v="8555" u="1"/>
        <n v="8805" u="1"/>
        <n v="10420" u="1"/>
        <n v="9875" u="1"/>
        <n v="9790" u="1"/>
        <n v="8237" u="1"/>
        <n v="8277" u="1"/>
        <n v="8888" u="1"/>
        <n v="10406" u="1"/>
        <n v="8652" u="1"/>
        <n v="10402" u="1"/>
        <n v="10378" u="1"/>
        <n v="10430" u="1"/>
        <n v="10431" u="1"/>
        <n v="10306" u="1"/>
        <n v="10279" u="1"/>
        <n v="10247" u="1"/>
        <n v="10274" u="1"/>
        <n v="10281" u="1"/>
        <n v="7474" u="1"/>
        <n v="7481" u="1"/>
        <n v="6901" u="1"/>
        <n v="7475" u="1"/>
        <n v="7510" u="1"/>
        <n v="7511" u="1"/>
        <n v="10053" u="1"/>
        <n v="9677" u="1"/>
        <n v="10062" u="1"/>
        <n v="10194" u="1"/>
        <n v="10243" u="1"/>
        <n v="10244" u="1"/>
        <n v="10245" u="1"/>
        <n v="10246" u="1"/>
        <n v="10297" u="1"/>
        <n v="10242" u="1"/>
        <n v="100030" u="1"/>
        <n v="7879" u="1"/>
        <n v="10216" u="1"/>
        <n v="8666" u="1"/>
        <n v="9750" u="1"/>
        <n v="9178" u="1"/>
        <n v="9504" u="1"/>
        <n v="8526" u="1"/>
      </sharedItems>
    </cacheField>
    <cacheField name="OTIC" numFmtId="0">
      <sharedItems containsBlank="1"/>
    </cacheField>
    <cacheField name="AÑO" numFmtId="0">
      <sharedItems containsString="0" containsBlank="1" containsNumber="1" containsInteger="1" minValue="2025" maxValue="2025"/>
    </cacheField>
    <cacheField name="ASIGNACIÓN" numFmtId="0">
      <sharedItems containsBlank="1"/>
    </cacheField>
    <cacheField name="RUT ENTIDAD  REQUIRENTE" numFmtId="0">
      <sharedItems containsBlank="1"/>
    </cacheField>
    <cacheField name="NOMBRE ENTIDAD REQUIRENTE " numFmtId="0">
      <sharedItems containsBlank="1"/>
    </cacheField>
    <cacheField name="RUT ENTIDAD BENEFICIARIA EN CASO DE MANDATO" numFmtId="0">
      <sharedItems containsBlank="1"/>
    </cacheField>
    <cacheField name="NOMBRE DE ENTIDAD BENEFICIARIA EN CASO DE MANDATO" numFmtId="0">
      <sharedItems containsBlank="1"/>
    </cacheField>
    <cacheField name="NOMBRE DEL CURSO (PLAN FORMATIVO)" numFmtId="0">
      <sharedItems containsBlank="1"/>
    </cacheField>
    <cacheField name="CODIGO DEL CURSO (PLAN FORMATIVO )" numFmtId="0">
      <sharedItems containsBlank="1"/>
    </cacheField>
    <cacheField name="NOMBRE PLAN (ES) TRANSVERSAL(ES)" numFmtId="0">
      <sharedItems containsBlank="1" containsMixedTypes="1" containsNumber="1" containsInteger="1" minValue="0" maxValue="0"/>
    </cacheField>
    <cacheField name="CODIGO PLAN (ES) TRANSVERSAL(ES)" numFmtId="0">
      <sharedItems containsBlank="1"/>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0"/>
    </cacheField>
    <cacheField name="COMUNA" numFmtId="0">
      <sharedItems containsBlank="1"/>
    </cacheField>
    <cacheField name="NOMBRE POBLACIÓN OBJETIVO" numFmtId="0">
      <sharedItems containsBlank="1"/>
    </cacheField>
    <cacheField name="MODALIDAD DEL CURSO " numFmtId="0">
      <sharedItems containsBlank="1"/>
    </cacheField>
    <cacheField name="TIPO SALIDA (DEPENDIENTE O INDEPENDIENTE)" numFmtId="0">
      <sharedItems containsBlank="1"/>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14" maxValue="20"/>
    </cacheField>
    <cacheField name=" HORAS CURSO (PLAN FORMATIVO 1 )" numFmtId="0">
      <sharedItems containsString="0" containsBlank="1" containsNumber="1" containsInteger="1" minValue="0" maxValue="260"/>
    </cacheField>
    <cacheField name=" HORAS PLAN(ES) FORMATIVO(OS) 2" numFmtId="0">
      <sharedItems containsString="0" containsBlank="1" containsNumber="1" containsInteger="1" minValue="0" maxValue="12"/>
    </cacheField>
    <cacheField name="TOTAL HORAS " numFmtId="0">
      <sharedItems containsString="0" containsBlank="1" containsNumber="1" containsInteger="1" minValue="24" maxValue="272"/>
    </cacheField>
    <cacheField name="HORAS DIARIAS" numFmtId="0">
      <sharedItems containsString="0" containsBlank="1" containsNumber="1" containsInteger="1" minValue="4" maxValue="8"/>
    </cacheField>
    <cacheField name="SUBSIDIO DIARIO FASE LECTIVA (SI/NO)" numFmtId="0">
      <sharedItems containsBlank="1"/>
    </cacheField>
    <cacheField name="SUBSIDIO CUIDADOS" numFmtId="0">
      <sharedItems containsBlank="1"/>
    </cacheField>
    <cacheField name="SUBSIDIO DE HERRAMIENTAS  (SI/NO)" numFmtId="0">
      <sharedItems containsBlank="1"/>
    </cacheField>
    <cacheField name="APRENDIZAJES ESPERADOS (SOLO PARA CURSOS SIN PLAN FORMATIVO)" numFmtId="0">
      <sharedItems containsBlank="1" containsMixedTypes="1" containsNumber="1" containsInteger="1" minValue="0" maxValue="0" longText="1"/>
    </cacheField>
    <cacheField name="DESCRIPCIÓN POBLACION OBJETIVO" numFmtId="0">
      <sharedItems containsBlank="1" longText="1"/>
    </cacheField>
    <cacheField name="LICENCIA HABILITANTE  (SI/NO)" numFmtId="0">
      <sharedItems containsBlank="1"/>
    </cacheField>
    <cacheField name="TIPO LICENCIA HABILITANTE" numFmtId="0">
      <sharedItems containsBlank="1" containsMixedTypes="1" containsNumber="1" containsInteger="1" minValue="0" maxValue="0"/>
    </cacheField>
    <cacheField name="CONVOCATORIA" numFmtId="0">
      <sharedItems containsBlank="1"/>
    </cacheField>
    <cacheField name="DIAS FL" numFmtId="0">
      <sharedItems containsString="0" containsBlank="1" containsNumber="1" containsInteger="1" minValue="6" maxValue="68"/>
    </cacheField>
    <cacheField name="TRAMO" numFmtId="0">
      <sharedItems containsString="0" containsBlank="1" containsNumber="1" containsInteger="1" minValue="2" maxValue="3"/>
    </cacheField>
    <cacheField name="RUTOTEC" numFmtId="1">
      <sharedItems containsBlank="1"/>
    </cacheField>
    <cacheField name="NOMBRE OTEC" numFmtId="0">
      <sharedItems containsBlank="1"/>
    </cacheField>
    <cacheField name="DURACIÓN TOTAL DEL CURSO EN HORAS" numFmtId="0">
      <sharedItems containsString="0" containsBlank="1" containsNumber="1" containsInteger="1" minValue="24" maxValue="272"/>
    </cacheField>
    <cacheField name="DURACIÓN TOTAL DEL CURSO EN DIAS" numFmtId="0">
      <sharedItems containsString="0" containsBlank="1" containsNumber="1" containsInteger="1" minValue="6" maxValue="68"/>
    </cacheField>
    <cacheField name="VALOR HORA ALUMNO CAPACITACIÓN" numFmtId="3">
      <sharedItems containsString="0" containsBlank="1" containsNumber="1" containsInteger="1" minValue="5000" maxValue="7434"/>
    </cacheField>
    <cacheField name="VALOR ALUMNO SUBSIDIO ÚTILES, INSUMO  Y HERRAMIENTAS" numFmtId="3">
      <sharedItems containsString="0" containsBlank="1" containsNumber="1" containsInteger="1" minValue="0" maxValue="250000"/>
    </cacheField>
    <cacheField name="VALOR ALUMNO SUBSIDIO PARA INSTRUMENTO HABILITANTE Y/O REFERENCIAL" numFmtId="3">
      <sharedItems containsString="0" containsBlank="1" containsNumber="1" containsInteger="1" minValue="0" maxValue="250000"/>
    </cacheField>
    <cacheField name="VALOR CAPACITACIÓN" numFmtId="3">
      <sharedItems containsString="0" containsBlank="1" containsNumber="1" containsInteger="1" minValue="2753136" maxValue="33304320"/>
    </cacheField>
    <cacheField name="VALOR TOTAL SUBSIDIO DIARIO" numFmtId="3">
      <sharedItems containsString="0" containsBlank="1" containsNumber="1" containsInteger="1" minValue="432000" maxValue="3808000"/>
    </cacheField>
    <cacheField name="VALOR TOTAL SUBSIDIO ÚTILES, INSUMO Y HERRAMIENTAS" numFmtId="3">
      <sharedItems containsString="0" containsBlank="1" containsNumber="1" containsInteger="1" minValue="0" maxValue="350000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3500000"/>
    </cacheField>
    <cacheField name="VALOR TOTAL DEL CURSO" numFmtId="3">
      <sharedItems containsString="0" containsBlank="1" containsNumber="1" containsInteger="1" minValue="4085136" maxValue="35544320"/>
    </cacheField>
    <cacheField name="ADMISIBILIDAD DE OFERTA-CURSO (SI/NO) Numeral 7.1.2 Bases Administrativas" numFmtId="0">
      <sharedItems containsBlank="1" containsMixedTypes="1" containsNumber="1" containsInteger="1" minValue="0" maxValue="0" count="4">
        <s v="SI"/>
        <s v="NO"/>
        <m/>
        <n v="0" u="1"/>
      </sharedItems>
    </cacheField>
    <cacheField name="MOTIVO DEL RECHAZO" numFmtId="0">
      <sharedItems containsBlank="1" containsMixedTypes="1" containsNumber="1" containsInteger="1" minValue="0" maxValue="0" longText="1"/>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7"/>
    </cacheField>
    <cacheField name="7.4.2.2                               Se identifican los requisistos de ingreso del participante al plan formativo. (50 %)" numFmtId="0">
      <sharedItems containsString="0" containsBlank="1" containsNumber="1" containsInteger="1" minValue="0" maxValue="7"/>
    </cacheField>
    <cacheField name="7.4.3.1                     Relación entre los componentes del módulo propuesto (15%)" numFmtId="0">
      <sharedItems containsString="0" containsBlank="1" containsNumber="1" containsInteger="1" minValue="0" maxValue="7"/>
    </cacheField>
    <cacheField name="7.4.3.2                      Relación de la competencia y el nombre del módulo se relaciona con la competencia y el nombre del plan formativo (25%)" numFmtId="0">
      <sharedItems containsString="0" containsBlank="1" containsNumber="1" containsInteger="1" minValue="0" maxValue="7"/>
    </cacheField>
    <cacheField name="7.4.3.3     Relación de los aprendizajes esperados del módulo con la competencia del módulo. (20%)" numFmtId="0">
      <sharedItems containsString="0" containsBlank="1" containsNumber="1" containsInteger="1" minValue="0" maxValue="7"/>
    </cacheField>
    <cacheField name="7.4.3.4                          Los criterios de evaluación permiten evidenciar los aprendizajes esperados de cada módulo. (25 %)" numFmtId="0">
      <sharedItems containsString="0" containsBlank="1" containsNumber="1" containsInteger="1" minValue="0" maxValue="7"/>
    </cacheField>
    <cacheField name="7.4.3.5                                         Los contenidos abordados permiten desarrollar los aprendizajes esperados de cada módulo. (15%)" numFmtId="0">
      <sharedItems containsString="0" containsBlank="1" containsNumber="1" containsInteger="1" minValue="0" maxValue="7"/>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minValue="0" maxValue="7"/>
    </cacheField>
    <cacheField name="8                 NOTA FINAL" numFmtId="171">
      <sharedItems containsString="0" containsBlank="1" containsNumber="1" minValue="0" maxValue="7"/>
    </cacheField>
    <cacheField name="CURSO PREADJUDICADO (SI/NO)" numFmtId="0">
      <sharedItems containsBlank="1"/>
    </cacheField>
    <cacheField name="Nombre encargado del curso en OTEC" numFmtId="0">
      <sharedItems containsBlank="1"/>
    </cacheField>
    <cacheField name="Email  encargado del curso en OTEC" numFmtId="0">
      <sharedItems containsBlank="1"/>
    </cacheField>
    <cacheField name="Teléfono  encargado del curso en OTEC" numFmtId="0">
      <sharedItems containsString="0" containsBlank="1" containsNumber="1" containsInteger="1" minValue="93454013" maxValue="995163347"/>
    </cacheField>
    <cacheField name="Dirección (Sede donde se imparte el curso)" numFmtId="0">
      <sharedItems containsBlank="1"/>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longText="1"/>
    </cacheField>
    <cacheField name="VALIDACIÓN LÍNEA SEGÚN BD OFICIAL" numFmtId="1">
      <sharedItems containsString="0" containsBlank="1" containsNumber="1" containsInteger="1" minValue="0" maxValue="0"/>
    </cacheField>
    <cacheField name="VALIDACIÓN CÓDIGOS PLAN FORMATIVO 1 SEGÚN BD OFICIAL" numFmtId="1">
      <sharedItems containsString="0" containsBlank="1" containsNumber="1" containsInteger="1" minValue="0" maxValue="0"/>
    </cacheField>
    <cacheField name="VALIDACIÓN DE CÓDIGO(S) PLAN (ES) TRANSVERSAL(ES) SEGÚN BD OFICIAL" numFmtId="1">
      <sharedItems containsString="0" containsBlank="1" containsNumber="1" containsInteger="1" minValue="0" maxValue="0"/>
    </cacheField>
    <cacheField name="VALIDACIÓN COMUNA SEGÚN BD OFICIAL" numFmtId="0">
      <sharedItems containsString="0" containsBlank="1" containsNumber="1" containsInteger="1" minValue="0" maxValue="0"/>
    </cacheField>
    <cacheField name="VALIDACIÓN NOMBRE POBLACIÓN OBJETIVO SEGÚN BD OFICIAL" numFmtId="0">
      <sharedItems containsString="0" containsBlank="1" containsNumber="1" containsInteger="1" minValue="0" maxValue="0"/>
    </cacheField>
    <cacheField name="VALIDACIÓN TIPO SALIDA (DEPENDIENTE O INDEPENDIENTE) SEGÚN BD OFICIAL" numFmtId="0">
      <sharedItems containsString="0" containsBlank="1" containsNumber="1" containsInteger="1" minValue="0" maxValue="0"/>
    </cacheField>
    <cacheField name="VALIDACIÓN CUPO SEGÚN BD OFICIAL" numFmtId="0">
      <sharedItems containsString="0" containsBlank="1" containsNumber="1" containsInteger="1" minValue="0" maxValue="0"/>
    </cacheField>
    <cacheField name="VALIDACIÓN TOTAL HORAS  CURSO ENTRE N° PRESENTADO  POR EL OTEC Y LO QUE INDICA LA  BD OFICIAL" numFmtId="0">
      <sharedItems containsString="0" containsBlank="1" containsNumber="1" containsInteger="1" minValue="0" maxValue="0"/>
    </cacheField>
    <cacheField name="VALIDACIÓN HORAS DIARIAS SEGÚN BD OFICIAL" numFmtId="0">
      <sharedItems containsString="0" containsBlank="1" containsNumber="1" containsInteger="1" minValue="0" maxValue="0"/>
    </cacheField>
    <cacheField name="VALIDACIÓN SUBSIDIO DIARIO FASE LECTIVA (Si el curso tiene o no este subsidio en BD OFICIAL)" numFmtId="0">
      <sharedItems containsString="0" containsBlank="1" containsNumber="1" containsInteger="1" minValue="0" maxValue="0"/>
    </cacheField>
    <cacheField name="VALIDACIÓN SUBSIDIO CUIDADOS  (Si el curso tiene o no este subsidio en BD OFICIAL)" numFmtId="0">
      <sharedItems containsString="0" containsBlank="1" containsNumber="1" containsInteger="1" minValue="0" maxValue="0"/>
    </cacheField>
    <cacheField name="VALIDACIÓN SUBSIDIO DE HERRAMIENTAS   (Si el curso tiene o no este subsidio en BD OFICIAL)" numFmtId="0">
      <sharedItems containsString="0" containsBlank="1" containsNumber="1" containsInteger="1" minValue="0" maxValue="0"/>
    </cacheField>
    <cacheField name="VALIDACIÓN CONVOCATORIA SEGÚN BD OFICIAL" numFmtId="0">
      <sharedItems containsString="0" containsBlank="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String="0" containsBlank="1" containsNumber="1" containsInteger="1" minValue="0" maxValue="0"/>
    </cacheField>
    <cacheField name="VALIDACIÓN N°DÍAS FL ENTRE N° PRESENTADO  POR EL OTEC Y LO QUE INDICA LA  BD OFICIAL" numFmtId="1">
      <sharedItems containsString="0" containsBlank="1" containsNumber="1" containsInteger="1" minValue="0" maxValue="1"/>
    </cacheField>
    <cacheField name="DIFERENCIA ENTRE VC PRESENTADO POR EL OTEC Y EL QUE CORRESPONDE  SEGÚN VHA PRESENTADO POR EL OTEC Y EL CUPO Y HORAS DE BD OFICIAL" numFmtId="1">
      <sharedItems containsString="0" containsBlank="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0"/>
    </cacheField>
    <cacheField name="VALIDACIÓN VHA SEGÚN TRAMO DE CURSO EN BD OFICIAL" numFmtId="1">
      <sharedItems containsString="0" containsBlank="1" containsNumber="1" containsInteger="1" minValue="0" maxValue="1"/>
    </cacheField>
    <cacheField name="VALIDACIÓN VALOR CAPACITACIÓN" numFmtId="1">
      <sharedItems containsString="0" containsBlank="1" containsNumber="1" containsInteger="1" minValue="0" maxValue="0"/>
    </cacheField>
    <cacheField name="VALIDACIÓN VALOR TOTAL SUBSIDIO FASE LECTIVA (Comparación entre cantidad presentada por el OTEC y BD Oficial)" numFmtId="1">
      <sharedItems containsString="0" containsBlank="1" containsNumber="1" containsInteger="1" minValue="0" maxValue="1"/>
    </cacheField>
    <cacheField name="VALIDACIÓN VALOR SUBSIDIO CUIDADO " numFmtId="1">
      <sharedItems containsString="0" containsBlank="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String="0" containsBlank="1" containsNumber="1" containsInteger="1" minValue="0" maxValue="0"/>
    </cacheField>
    <cacheField name="VALIDACIÓN TOTAL SUB PARA CERT LICENCIAS" numFmtId="1">
      <sharedItems containsString="0" containsBlank="1" containsNumber="1" containsInteger="1" minValue="0" maxValue="0"/>
    </cacheField>
    <cacheField name="VALIDACIÓN VALOR TOTAL CURSO" numFmtId="1">
      <sharedItems containsString="0" containsBlank="1" containsNumber="1" containsInteger="1" minValue="0" maxValue="0"/>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String="0" containsBlank="1" containsNumber="1" containsInteger="1" minValue="0" maxValue="1"/>
    </cacheField>
    <cacheField name="¿TIENE EXPERIENCIA?" numFmtId="1">
      <sharedItems containsBlank="1"/>
    </cacheField>
    <cacheField name="VALIDACIÓN NOTA EXPERIENCIA OFERENTE" numFmtId="1">
      <sharedItems containsBlank="1" containsMixedTypes="1" containsNumber="1" containsInteger="1" minValue="0" maxValue="0"/>
    </cacheField>
    <cacheField name="¿TIENE MULTAS?" numFmtId="1">
      <sharedItems containsBlank="1"/>
    </cacheField>
    <cacheField name="VALIDACIÓN COMPORTAMIENTO ANTERIOR " numFmtId="1">
      <sharedItems containsBlank="1" containsMixedTypes="1" containsNumber="1" containsInteger="1" minValue="0" maxValue="0"/>
    </cacheField>
    <cacheField name="NOTA EXPERIENCIA" numFmtId="0">
      <sharedItems containsBlank="1" containsMixedTypes="1" containsNumber="1" minValue="0.1" maxValue="0.70000000000000007"/>
    </cacheField>
    <cacheField name="NOTA COMPORTAMIENTO" numFmtId="0">
      <sharedItems containsBlank="1" containsMixedTypes="1" containsNumber="1" minValue="0.5" maxValue="0.70000000000000007"/>
    </cacheField>
    <cacheField name="¿TIENE PF?" numFmtId="1">
      <sharedItems containsBlank="1"/>
    </cacheField>
    <cacheField name="NOTA PROPUESTA FORMATIVA A NIVEL DE PLAN 7.4.2( 35%)" numFmtId="1">
      <sharedItems containsString="0" containsBlank="1" containsNumber="1" containsInteger="1" minValue="0" maxValue="7"/>
    </cacheField>
    <cacheField name="NOTA PROPUESTA FORMATIVA A NIVEL DE MODULOS 7.4.3 (65%)" numFmtId="1">
      <sharedItems containsString="0" containsBlank="1" containsNumber="1" containsInteger="1" minValue="0" maxValue="7"/>
    </cacheField>
    <cacheField name="NOTA  EVALUACIÓN PROPUESTA FORMATIVA (45%)" numFmtId="1">
      <sharedItems containsBlank="1" containsMixedTypes="1" containsNumber="1" containsInteger="1" minValue="0" maxValue="7"/>
    </cacheField>
    <cacheField name="NOTA METODOLOGÍA (55%)" numFmtId="3">
      <sharedItems containsBlank="1" containsMixedTypes="1" containsNumber="1" minValue="6" maxValue="7.0000000000000009"/>
    </cacheField>
    <cacheField name="NOTA EVALUACIÓN TÉCNICA" numFmtId="168">
      <sharedItems containsBlank="1" containsMixedTypes="1" containsNumber="1" minValue="6" maxValue="7.0000000000000009"/>
    </cacheField>
    <cacheField name="VHA DEL CURSO A CONSIDERAR EN EVA EC" numFmtId="0">
      <sharedItems containsString="0" containsBlank="1" containsNumber="1" containsInteger="1" minValue="5000" maxValue="7434"/>
    </cacheField>
    <cacheField name="MENOR VHA OFERTADA SEGÚN CÓDIGO" numFmtId="0">
      <sharedItems containsString="0" containsBlank="1" containsNumber="1" containsInteger="1" minValue="5000" maxValue="7434"/>
    </cacheField>
    <cacheField name="NOTA EV ECONÓMICA" numFmtId="168">
      <sharedItems containsBlank="1" containsMixedTypes="1" containsNumber="1" minValue="6.3" maxValue="7"/>
    </cacheField>
    <cacheField name="VALIDACIÓN NOTA ECONÓMICA" numFmtId="0">
      <sharedItems containsBlank="1"/>
    </cacheField>
    <cacheField name="REVISIÓN PREVIA NOTA FINAL" numFmtId="0">
      <sharedItems containsBlank="1"/>
    </cacheField>
    <cacheField name="NOTA FINAL DEL CURSO SENCE" numFmtId="0">
      <sharedItems containsBlank="1" containsMixedTypes="1" containsNumber="1" minValue="6" maxValue="7"/>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ontainsMixedTypes="1" containsNumber="1" minValue="6.4" maxValue="7"/>
    </cacheField>
    <cacheField name="¿TIENE MAYOR NOTA FINAL CÓDIGO CURSO?" numFmtId="0">
      <sharedItems containsBlank="1"/>
    </cacheField>
    <cacheField name=" MAYOR NOTA PROPUESTA TÉCNICA" numFmtId="0">
      <sharedItems containsBlank="1" containsMixedTypes="1" containsNumber="1" minValue="7.0000000000000009" maxValue="7.0000000000000009"/>
    </cacheField>
    <cacheField name="¿TIENE MAYOR NOTA PROPUESTA TÉCNICA?" numFmtId="0">
      <sharedItems containsBlank="1"/>
    </cacheField>
    <cacheField name="MAYOR  NOTA COMPORTAMIENTO ANTERIOR" numFmtId="0">
      <sharedItems containsBlank="1" containsMixedTypes="1" containsNumber="1" containsInteger="1" minValue="7" maxValue="7"/>
    </cacheField>
    <cacheField name="¿TIENE  MAYOR NOTA COMPORTAMIENTO ANTERIOR?" numFmtId="0">
      <sharedItems containsBlank="1"/>
    </cacheField>
    <cacheField name="MAYOR NOTA EXPERIENCIA " numFmtId="168">
      <sharedItems containsBlank="1" containsMixedTypes="1" containsNumber="1" containsInteger="1" minValue="1" maxValue="7"/>
    </cacheField>
    <cacheField name="¿TIENE  MAYOR NOTA EXPERIENCIA ?" numFmtId="0">
      <sharedItems containsBlank="1"/>
    </cacheField>
    <cacheField name="VHA DEL CURSO APROBADO EN EXPERIENCIA" numFmtId="0">
      <sharedItems containsBlank="1" containsMixedTypes="1" containsNumber="1" containsInteger="1" minValue="5075" maxValue="7434"/>
    </cacheField>
    <cacheField name="MENOR VHA DE CURSO APROBADO EN EXPERIENCIA" numFmtId="0">
      <sharedItems containsBlank="1" containsMixedTypes="1" containsNumber="1" containsInteger="1" minValue="5075" maxValue="7434"/>
    </cacheField>
    <cacheField name="¿TIENE MENOR VALOR HORA ENTRE LOS CURSO APROBADOS?" numFmtId="0">
      <sharedItems containsBlank="1"/>
    </cacheField>
    <cacheField name="POCENTAJE DE MULTAS PONDERADA" numFmtId="172">
      <sharedItems containsBlank="1" containsMixedTypes="1" containsNumber="1" minValue="0" maxValue="0.67164179104477606"/>
    </cacheField>
    <cacheField name="MENOR PORCENTAJE COMPORTAMIENTO" numFmtId="0">
      <sharedItems containsBlank="1" containsMixedTypes="1" containsNumber="1" minValue="0" maxValue="0.67164179104477606"/>
    </cacheField>
    <cacheField name="¿TIENE MENOS PORCENTAJE COMPORTAMIENTO?" numFmtId="0">
      <sharedItems containsBlank="1"/>
    </cacheField>
    <cacheField name="CURSOS " numFmtId="0">
      <sharedItems containsString="0" containsBlank="1" containsNumber="1" containsInteger="1" minValue="0" maxValue="125"/>
    </cacheField>
    <cacheField name="MAYOR NÚMERO CURSOS" numFmtId="0">
      <sharedItems containsString="0" containsBlank="1" containsNumber="1" containsInteger="1" minValue="0" maxValue="125"/>
    </cacheField>
    <cacheField name="TIENE MAYOR NÚMERO CURSOS?" numFmtId="0">
      <sharedItems containsBlank="1"/>
    </cacheField>
    <cacheField name="OBSERVACIONES OTIC" numFmtId="0">
      <sharedItems containsString="0" containsBlank="1" containsNumber="1" containsInteger="1" minValue="0" maxValue="0"/>
    </cacheField>
    <cacheField name="OBSERVACIONES SENCE" numFmtId="0">
      <sharedItems containsBlank="1"/>
    </cacheField>
    <cacheField name="RESPUESTA OBS OTIC" numFmtId="0">
      <sharedItems containsNonDate="0" containsString="0" containsBlank="1"/>
    </cacheField>
    <cacheField name="SENCE" numFmtId="0">
      <sharedItems containsNonDate="0" containsString="0" containsBlank="1"/>
    </cacheField>
    <cacheField name="ADJUDICA" numFmtId="0">
      <sharedItems containsBlank="1"/>
    </cacheField>
    <cacheField name="OBSERVACIÓN IMPUGNACIÓN"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873.655905092593" createdVersion="8" refreshedVersion="8" minRefreshableVersion="3" recordCount="51" xr:uid="{F135E81A-F38A-417B-B86F-C271AC006971}">
  <cacheSource type="worksheet">
    <worksheetSource ref="A1:EP61" sheet="4 Planilla de revisión"/>
  </cacheSource>
  <cacheFields count="146">
    <cacheField name="CODIGO SENCE" numFmtId="0">
      <sharedItems containsString="0" containsBlank="1" containsNumber="1" containsInteger="1" minValue="14279" maxValue="14626" count="15">
        <n v="14385"/>
        <n v="14386"/>
        <n v="14387"/>
        <n v="14388"/>
        <n v="14389"/>
        <n v="14337"/>
        <n v="14339"/>
        <n v="14626"/>
        <n v="14336"/>
        <n v="14280"/>
        <n v="14283"/>
        <n v="14281"/>
        <n v="14279"/>
        <n v="14384"/>
        <m/>
      </sharedItems>
    </cacheField>
    <cacheField name="OTIC" numFmtId="0">
      <sharedItems containsBlank="1"/>
    </cacheField>
    <cacheField name="AÑO" numFmtId="0">
      <sharedItems containsString="0" containsBlank="1" containsNumber="1" containsInteger="1" minValue="2025" maxValue="2025"/>
    </cacheField>
    <cacheField name="ASIGNACIÓN" numFmtId="0">
      <sharedItems containsBlank="1"/>
    </cacheField>
    <cacheField name="RUT ENTIDAD  REQUIRENTE" numFmtId="0">
      <sharedItems containsBlank="1"/>
    </cacheField>
    <cacheField name="NOMBRE ENTIDAD REQUIRENTE " numFmtId="0">
      <sharedItems containsBlank="1"/>
    </cacheField>
    <cacheField name="RUT ENTIDAD BENEFICIARIA EN CASO DE MANDATO" numFmtId="0">
      <sharedItems containsBlank="1"/>
    </cacheField>
    <cacheField name="NOMBRE DE ENTIDAD BENEFICIARIA EN CASO DE MANDATO" numFmtId="0">
      <sharedItems containsBlank="1"/>
    </cacheField>
    <cacheField name="NOMBRE DEL CURSO (PLAN FORMATIVO)" numFmtId="0">
      <sharedItems containsBlank="1"/>
    </cacheField>
    <cacheField name="CODIGO DEL CURSO (PLAN FORMATIVO )" numFmtId="0">
      <sharedItems containsBlank="1"/>
    </cacheField>
    <cacheField name="NOMBRE PLAN (ES) TRANSVERSAL(ES)" numFmtId="0">
      <sharedItems containsBlank="1" containsMixedTypes="1" containsNumber="1" containsInteger="1" minValue="0" maxValue="0"/>
    </cacheField>
    <cacheField name="CODIGO PLAN (ES) TRANSVERSAL(ES)" numFmtId="0">
      <sharedItems containsBlank="1"/>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0"/>
    </cacheField>
    <cacheField name="COMUNA" numFmtId="0">
      <sharedItems containsBlank="1"/>
    </cacheField>
    <cacheField name="NOMBRE POBLACIÓN OBJETIVO" numFmtId="0">
      <sharedItems containsBlank="1"/>
    </cacheField>
    <cacheField name="MODALIDAD DEL CURSO " numFmtId="0">
      <sharedItems containsBlank="1"/>
    </cacheField>
    <cacheField name="TIPO SALIDA (DEPENDIENTE O INDEPENDIENTE)" numFmtId="0">
      <sharedItems containsBlank="1"/>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14" maxValue="20"/>
    </cacheField>
    <cacheField name=" HORAS CURSO (PLAN FORMATIVO 1 )" numFmtId="0">
      <sharedItems containsString="0" containsBlank="1" containsNumber="1" containsInteger="1" minValue="0" maxValue="260"/>
    </cacheField>
    <cacheField name=" HORAS PLAN(ES) FORMATIVO(OS) 2" numFmtId="0">
      <sharedItems containsString="0" containsBlank="1" containsNumber="1" containsInteger="1" minValue="0" maxValue="12"/>
    </cacheField>
    <cacheField name="TOTAL HORAS " numFmtId="0">
      <sharedItems containsString="0" containsBlank="1" containsNumber="1" containsInteger="1" minValue="24" maxValue="272"/>
    </cacheField>
    <cacheField name="HORAS DIARIAS" numFmtId="0">
      <sharedItems containsString="0" containsBlank="1" containsNumber="1" containsInteger="1" minValue="4" maxValue="8"/>
    </cacheField>
    <cacheField name="SUBSIDIO DIARIO FASE LECTIVA (SI/NO)" numFmtId="0">
      <sharedItems containsBlank="1"/>
    </cacheField>
    <cacheField name="SUBSIDIO CUIDADOS" numFmtId="0">
      <sharedItems containsBlank="1"/>
    </cacheField>
    <cacheField name="SUBSIDIO DE HERRAMIENTAS  (SI/NO)" numFmtId="0">
      <sharedItems containsBlank="1"/>
    </cacheField>
    <cacheField name="APRENDIZAJES ESPERADOS (SOLO PARA CURSOS SIN PLAN FORMATIVO)" numFmtId="0">
      <sharedItems containsBlank="1" containsMixedTypes="1" containsNumber="1" containsInteger="1" minValue="0" maxValue="0" longText="1"/>
    </cacheField>
    <cacheField name="DESCRIPCIÓN POBLACION OBJETIVO" numFmtId="0">
      <sharedItems containsBlank="1" longText="1"/>
    </cacheField>
    <cacheField name="LICENCIA HABILITANTE  (SI/NO)" numFmtId="0">
      <sharedItems containsBlank="1"/>
    </cacheField>
    <cacheField name="TIPO LICENCIA HABILITANTE" numFmtId="0">
      <sharedItems containsBlank="1" containsMixedTypes="1" containsNumber="1" containsInteger="1" minValue="0" maxValue="0"/>
    </cacheField>
    <cacheField name="CONVOCATORIA" numFmtId="0">
      <sharedItems containsBlank="1"/>
    </cacheField>
    <cacheField name="DIAS FL" numFmtId="0">
      <sharedItems containsString="0" containsBlank="1" containsNumber="1" containsInteger="1" minValue="6" maxValue="68"/>
    </cacheField>
    <cacheField name="TRAMO" numFmtId="0">
      <sharedItems containsString="0" containsBlank="1" containsNumber="1" containsInteger="1" minValue="2" maxValue="3"/>
    </cacheField>
    <cacheField name="RUTOTEC" numFmtId="1">
      <sharedItems containsBlank="1"/>
    </cacheField>
    <cacheField name="NOMBRE OTEC" numFmtId="0">
      <sharedItems containsBlank="1"/>
    </cacheField>
    <cacheField name="DURACIÓN TOTAL DEL CURSO EN HORAS" numFmtId="0">
      <sharedItems containsString="0" containsBlank="1" containsNumber="1" containsInteger="1" minValue="24" maxValue="272"/>
    </cacheField>
    <cacheField name="DURACIÓN TOTAL DEL CURSO EN DIAS" numFmtId="0">
      <sharedItems containsString="0" containsBlank="1" containsNumber="1" containsInteger="1" minValue="6" maxValue="68"/>
    </cacheField>
    <cacheField name="VALOR HORA ALUMNO CAPACITACIÓN" numFmtId="3">
      <sharedItems containsString="0" containsBlank="1" containsNumber="1" containsInteger="1" minValue="5000" maxValue="7434"/>
    </cacheField>
    <cacheField name="VALOR ALUMNO SUBSIDIO ÚTILES, INSUMO  Y HERRAMIENTAS" numFmtId="3">
      <sharedItems containsString="0" containsBlank="1" containsNumber="1" containsInteger="1" minValue="0" maxValue="250000"/>
    </cacheField>
    <cacheField name="VALOR ALUMNO SUBSIDIO PARA INSTRUMENTO HABILITANTE Y/O REFERENCIAL" numFmtId="3">
      <sharedItems containsString="0" containsBlank="1" containsNumber="1" containsInteger="1" minValue="0" maxValue="250000"/>
    </cacheField>
    <cacheField name="VALOR CAPACITACIÓN" numFmtId="3">
      <sharedItems containsString="0" containsBlank="1" containsNumber="1" containsInteger="1" minValue="2753136" maxValue="33304320"/>
    </cacheField>
    <cacheField name="VALOR TOTAL SUBSIDIO DIARIO" numFmtId="3">
      <sharedItems containsString="0" containsBlank="1" containsNumber="1" containsInteger="1" minValue="432000" maxValue="3808000"/>
    </cacheField>
    <cacheField name="VALOR TOTAL SUBSIDIO ÚTILES, INSUMO Y HERRAMIENTAS" numFmtId="3">
      <sharedItems containsString="0" containsBlank="1" containsNumber="1" containsInteger="1" minValue="0" maxValue="350000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3500000"/>
    </cacheField>
    <cacheField name="VALOR TOTAL DEL CURSO" numFmtId="3">
      <sharedItems containsString="0" containsBlank="1" containsNumber="1" containsInteger="1" minValue="4085136" maxValue="35544320"/>
    </cacheField>
    <cacheField name="ADMISIBILIDAD DE OFERTA-CURSO (SI/NO) Numeral 7.1.2 Bases Administrativas" numFmtId="0">
      <sharedItems containsBlank="1" count="3">
        <s v="SI"/>
        <s v="NO"/>
        <m/>
      </sharedItems>
    </cacheField>
    <cacheField name="MOTIVO DEL RECHAZO" numFmtId="0">
      <sharedItems containsBlank="1" containsMixedTypes="1" containsNumber="1" containsInteger="1" minValue="0" maxValue="0" longText="1"/>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7"/>
    </cacheField>
    <cacheField name="7.4.2.2                               Se identifican los requisistos de ingreso del participante al plan formativo. (50 %)" numFmtId="0">
      <sharedItems containsString="0" containsBlank="1" containsNumber="1" containsInteger="1" minValue="0" maxValue="7"/>
    </cacheField>
    <cacheField name="7.4.3.1                     Relación entre los componentes del módulo propuesto (15%)" numFmtId="0">
      <sharedItems containsString="0" containsBlank="1" containsNumber="1" containsInteger="1" minValue="0" maxValue="7"/>
    </cacheField>
    <cacheField name="7.4.3.2                      Relación de la competencia y el nombre del módulo se relaciona con la competencia y el nombre del plan formativo (25%)" numFmtId="0">
      <sharedItems containsString="0" containsBlank="1" containsNumber="1" containsInteger="1" minValue="0" maxValue="7"/>
    </cacheField>
    <cacheField name="7.4.3.3     Relación de los aprendizajes esperados del módulo con la competencia del módulo. (20%)" numFmtId="0">
      <sharedItems containsString="0" containsBlank="1" containsNumber="1" containsInteger="1" minValue="0" maxValue="7"/>
    </cacheField>
    <cacheField name="7.4.3.4                          Los criterios de evaluación permiten evidenciar los aprendizajes esperados de cada módulo. (25 %)" numFmtId="0">
      <sharedItems containsString="0" containsBlank="1" containsNumber="1" containsInteger="1" minValue="0" maxValue="7"/>
    </cacheField>
    <cacheField name="7.4.3.5                                         Los contenidos abordados permiten desarrollar los aprendizajes esperados de cada módulo. (15%)" numFmtId="0">
      <sharedItems containsString="0" containsBlank="1" containsNumber="1" containsInteger="1" minValue="0" maxValue="7"/>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minValue="0" maxValue="7"/>
    </cacheField>
    <cacheField name="8                 NOTA FINAL" numFmtId="171">
      <sharedItems containsString="0" containsBlank="1" containsNumber="1" minValue="0" maxValue="7"/>
    </cacheField>
    <cacheField name="CURSO PREADJUDICADO (SI/NO)" numFmtId="0">
      <sharedItems containsBlank="1"/>
    </cacheField>
    <cacheField name="Nombre encargado del curso en OTEC" numFmtId="0">
      <sharedItems containsBlank="1"/>
    </cacheField>
    <cacheField name="Email  encargado del curso en OTEC" numFmtId="0">
      <sharedItems containsBlank="1"/>
    </cacheField>
    <cacheField name="Teléfono  encargado del curso en OTEC" numFmtId="0">
      <sharedItems containsString="0" containsBlank="1" containsNumber="1" containsInteger="1" minValue="93454013" maxValue="995163347"/>
    </cacheField>
    <cacheField name="Dirección (Sede donde se imparte el curso)" numFmtId="0">
      <sharedItems containsBlank="1"/>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longText="1"/>
    </cacheField>
    <cacheField name="VALIDACIÓN LÍNEA SEGÚN BD OFICIAL" numFmtId="1">
      <sharedItems containsString="0" containsBlank="1" containsNumber="1" containsInteger="1" minValue="0" maxValue="0"/>
    </cacheField>
    <cacheField name="VALIDACIÓN CÓDIGOS PLAN FORMATIVO 1 SEGÚN BD OFICIAL" numFmtId="1">
      <sharedItems containsString="0" containsBlank="1" containsNumber="1" containsInteger="1" minValue="0" maxValue="0"/>
    </cacheField>
    <cacheField name="VALIDACIÓN DE CÓDIGO(S) PLAN (ES) TRANSVERSAL(ES) SEGÚN BD OFICIAL" numFmtId="1">
      <sharedItems containsString="0" containsBlank="1" containsNumber="1" containsInteger="1" minValue="0" maxValue="0"/>
    </cacheField>
    <cacheField name="VALIDACIÓN COMUNA SEGÚN BD OFICIAL" numFmtId="0">
      <sharedItems containsString="0" containsBlank="1" containsNumber="1" containsInteger="1" minValue="0" maxValue="0"/>
    </cacheField>
    <cacheField name="VALIDACIÓN NOMBRE POBLACIÓN OBJETIVO SEGÚN BD OFICIAL" numFmtId="0">
      <sharedItems containsString="0" containsBlank="1" containsNumber="1" containsInteger="1" minValue="0" maxValue="0"/>
    </cacheField>
    <cacheField name="VALIDACIÓN TIPO SALIDA (DEPENDIENTE O INDEPENDIENTE) SEGÚN BD OFICIAL" numFmtId="0">
      <sharedItems containsString="0" containsBlank="1" containsNumber="1" containsInteger="1" minValue="0" maxValue="0"/>
    </cacheField>
    <cacheField name="VALIDACIÓN CUPO SEGÚN BD OFICIAL" numFmtId="0">
      <sharedItems containsString="0" containsBlank="1" containsNumber="1" containsInteger="1" minValue="0" maxValue="0"/>
    </cacheField>
    <cacheField name="VALIDACIÓN TOTAL HORAS  CURSO ENTRE N° PRESENTADO  POR EL OTEC Y LO QUE INDICA LA  BD OFICIAL" numFmtId="0">
      <sharedItems containsString="0" containsBlank="1" containsNumber="1" containsInteger="1" minValue="0" maxValue="0"/>
    </cacheField>
    <cacheField name="VALIDACIÓN HORAS DIARIAS SEGÚN BD OFICIAL" numFmtId="0">
      <sharedItems containsString="0" containsBlank="1" containsNumber="1" containsInteger="1" minValue="0" maxValue="0"/>
    </cacheField>
    <cacheField name="VALIDACIÓN SUBSIDIO DIARIO FASE LECTIVA (Si el curso tiene o no este subsidio en BD OFICIAL)" numFmtId="0">
      <sharedItems containsString="0" containsBlank="1" containsNumber="1" containsInteger="1" minValue="0" maxValue="0"/>
    </cacheField>
    <cacheField name="VALIDACIÓN SUBSIDIO CUIDADOS  (Si el curso tiene o no este subsidio en BD OFICIAL)" numFmtId="0">
      <sharedItems containsString="0" containsBlank="1" containsNumber="1" containsInteger="1" minValue="0" maxValue="0"/>
    </cacheField>
    <cacheField name="VALIDACIÓN SUBSIDIO DE HERRAMIENTAS   (Si el curso tiene o no este subsidio en BD OFICIAL)" numFmtId="0">
      <sharedItems containsString="0" containsBlank="1" containsNumber="1" containsInteger="1" minValue="0" maxValue="0"/>
    </cacheField>
    <cacheField name="VALIDACIÓN CONVOCATORIA SEGÚN BD OFICIAL" numFmtId="0">
      <sharedItems containsString="0" containsBlank="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String="0" containsBlank="1" containsNumber="1" containsInteger="1" minValue="0" maxValue="0"/>
    </cacheField>
    <cacheField name="VALIDACIÓN N°DÍAS FL ENTRE N° PRESENTADO  POR EL OTEC Y LO QUE INDICA LA  BD OFICIAL" numFmtId="1">
      <sharedItems containsString="0" containsBlank="1" containsNumber="1" containsInteger="1" minValue="0" maxValue="1"/>
    </cacheField>
    <cacheField name="DIFERENCIA ENTRE VC PRESENTADO POR EL OTEC Y EL QUE CORRESPONDE  SEGÚN VHA PRESENTADO POR EL OTEC Y EL CUPO Y HORAS DE BD OFICIAL" numFmtId="1">
      <sharedItems containsString="0" containsBlank="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0"/>
    </cacheField>
    <cacheField name="VALIDACIÓN VHA SEGÚN TRAMO DE CURSO EN BD OFICIAL" numFmtId="1">
      <sharedItems containsString="0" containsBlank="1" containsNumber="1" containsInteger="1" minValue="0" maxValue="1"/>
    </cacheField>
    <cacheField name="VALIDACIÓN VALOR CAPACITACIÓN" numFmtId="1">
      <sharedItems containsString="0" containsBlank="1" containsNumber="1" containsInteger="1" minValue="0" maxValue="0"/>
    </cacheField>
    <cacheField name="VALIDACIÓN VALOR TOTAL SUBSIDIO FASE LECTIVA (Comparación entre cantidad presentada por el OTEC y BD Oficial)" numFmtId="1">
      <sharedItems containsString="0" containsBlank="1" containsNumber="1" containsInteger="1" minValue="0" maxValue="1"/>
    </cacheField>
    <cacheField name="VALIDACIÓN VALOR SUBSIDIO CUIDADO " numFmtId="1">
      <sharedItems containsString="0" containsBlank="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String="0" containsBlank="1" containsNumber="1" containsInteger="1" minValue="0" maxValue="0"/>
    </cacheField>
    <cacheField name="VALIDACIÓN TOTAL SUB PARA CERT LICENCIAS" numFmtId="1">
      <sharedItems containsString="0" containsBlank="1" containsNumber="1" containsInteger="1" minValue="0" maxValue="0"/>
    </cacheField>
    <cacheField name="VALIDACIÓN VALOR TOTAL CURSO" numFmtId="1">
      <sharedItems containsString="0" containsBlank="1" containsNumber="1" containsInteger="1" minValue="0" maxValue="0"/>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String="0" containsBlank="1" containsNumber="1" containsInteger="1" minValue="0" maxValue="1"/>
    </cacheField>
    <cacheField name="¿TIENE EXPERIENCIA?" numFmtId="1">
      <sharedItems containsBlank="1"/>
    </cacheField>
    <cacheField name="VALIDACIÓN NOTA EXPERIENCIA OFERENTE" numFmtId="1">
      <sharedItems containsBlank="1" containsMixedTypes="1" containsNumber="1" containsInteger="1" minValue="0" maxValue="0"/>
    </cacheField>
    <cacheField name="¿TIENE MULTAS?" numFmtId="1">
      <sharedItems containsBlank="1"/>
    </cacheField>
    <cacheField name="VALIDACIÓN COMPORTAMIENTO ANTERIOR " numFmtId="1">
      <sharedItems containsBlank="1" containsMixedTypes="1" containsNumber="1" containsInteger="1" minValue="0" maxValue="0"/>
    </cacheField>
    <cacheField name="NOTA EXPERIENCIA" numFmtId="0">
      <sharedItems containsBlank="1" containsMixedTypes="1" containsNumber="1" minValue="0.1" maxValue="0.70000000000000007"/>
    </cacheField>
    <cacheField name="NOTA COMPORTAMIENTO" numFmtId="0">
      <sharedItems containsBlank="1" containsMixedTypes="1" containsNumber="1" minValue="0.5" maxValue="0.70000000000000007"/>
    </cacheField>
    <cacheField name="¿TIENE PF?" numFmtId="1">
      <sharedItems containsBlank="1"/>
    </cacheField>
    <cacheField name="NOTA PROPUESTA FORMATIVA A NIVEL DE PLAN 7.4.2( 35%)" numFmtId="1">
      <sharedItems containsString="0" containsBlank="1" containsNumber="1" containsInteger="1" minValue="0" maxValue="7"/>
    </cacheField>
    <cacheField name="NOTA PROPUESTA FORMATIVA A NIVEL DE MODULOS 7.4.3 (65%)" numFmtId="1">
      <sharedItems containsString="0" containsBlank="1" containsNumber="1" containsInteger="1" minValue="0" maxValue="7"/>
    </cacheField>
    <cacheField name="NOTA  EVALUACIÓN PROPUESTA FORMATIVA (45%)" numFmtId="1">
      <sharedItems containsBlank="1" containsMixedTypes="1" containsNumber="1" containsInteger="1" minValue="0" maxValue="7"/>
    </cacheField>
    <cacheField name="NOTA METODOLOGÍA (55%)" numFmtId="3">
      <sharedItems containsBlank="1" containsMixedTypes="1" containsNumber="1" minValue="6" maxValue="7.0000000000000009"/>
    </cacheField>
    <cacheField name="NOTA EVALUACIÓN TÉCNICA" numFmtId="168">
      <sharedItems containsBlank="1" containsMixedTypes="1" containsNumber="1" minValue="6" maxValue="7.0000000000000009"/>
    </cacheField>
    <cacheField name="VHA DEL CURSO A CONSIDERAR EN EVA EC" numFmtId="0">
      <sharedItems containsString="0" containsBlank="1" containsNumber="1" containsInteger="1" minValue="5000" maxValue="7434"/>
    </cacheField>
    <cacheField name="MENOR VHA OFERTADA SEGÚN CÓDIGO" numFmtId="0">
      <sharedItems containsString="0" containsBlank="1" containsNumber="1" containsInteger="1" minValue="5000" maxValue="7434"/>
    </cacheField>
    <cacheField name="NOTA EV ECONÓMICA" numFmtId="168">
      <sharedItems containsBlank="1" containsMixedTypes="1" containsNumber="1" minValue="6.3" maxValue="7"/>
    </cacheField>
    <cacheField name="VALIDACIÓN NOTA ECONÓMICA" numFmtId="0">
      <sharedItems containsBlank="1"/>
    </cacheField>
    <cacheField name="REVISIÓN PREVIA NOTA FINAL" numFmtId="0">
      <sharedItems containsBlank="1"/>
    </cacheField>
    <cacheField name="NOTA FINAL DEL CURSO SENCE" numFmtId="0">
      <sharedItems containsBlank="1" containsMixedTypes="1" containsNumber="1" minValue="6" maxValue="7"/>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ontainsMixedTypes="1" containsNumber="1" minValue="6.4" maxValue="7"/>
    </cacheField>
    <cacheField name="¿TIENE MAYOR NOTA FINAL CÓDIGO CURSO?" numFmtId="0">
      <sharedItems containsBlank="1" count="4">
        <s v="NO"/>
        <s v="SI"/>
        <s v="NO APLICA"/>
        <m/>
      </sharedItems>
    </cacheField>
    <cacheField name=" MAYOR NOTA PROPUESTA TÉCNICA" numFmtId="0">
      <sharedItems containsBlank="1" containsMixedTypes="1" containsNumber="1" minValue="7.0000000000000009" maxValue="7.0000000000000009"/>
    </cacheField>
    <cacheField name="¿TIENE MAYOR NOTA PROPUESTA TÉCNICA?" numFmtId="0">
      <sharedItems containsBlank="1"/>
    </cacheField>
    <cacheField name="MAYOR  NOTA COMPORTAMIENTO ANTERIOR" numFmtId="0">
      <sharedItems containsBlank="1" containsMixedTypes="1" containsNumber="1" containsInteger="1" minValue="7" maxValue="7"/>
    </cacheField>
    <cacheField name="¿TIENE  MAYOR NOTA COMPORTAMIENTO ANTERIOR?" numFmtId="0">
      <sharedItems containsBlank="1"/>
    </cacheField>
    <cacheField name="MAYOR NOTA EXPERIENCIA " numFmtId="168">
      <sharedItems containsBlank="1" containsMixedTypes="1" containsNumber="1" containsInteger="1" minValue="1" maxValue="7"/>
    </cacheField>
    <cacheField name="¿TIENE  MAYOR NOTA EXPERIENCIA ?" numFmtId="0">
      <sharedItems containsBlank="1"/>
    </cacheField>
    <cacheField name="VHA DEL CURSO APROBADO EN EXPERIENCIA" numFmtId="0">
      <sharedItems containsBlank="1" containsMixedTypes="1" containsNumber="1" containsInteger="1" minValue="5075" maxValue="7434"/>
    </cacheField>
    <cacheField name="MENOR VHA DE CURSO APROBADO EN EXPERIENCIA" numFmtId="0">
      <sharedItems containsBlank="1" containsMixedTypes="1" containsNumber="1" containsInteger="1" minValue="5075" maxValue="7434"/>
    </cacheField>
    <cacheField name="¿TIENE MENOR VALOR HORA ENTRE LOS CURSO APROBADOS?" numFmtId="0">
      <sharedItems containsBlank="1"/>
    </cacheField>
    <cacheField name="POCENTAJE DE MULTAS PONDERADA" numFmtId="172">
      <sharedItems containsBlank="1" containsMixedTypes="1" containsNumber="1" minValue="0" maxValue="0.67164179104477606"/>
    </cacheField>
    <cacheField name="MENOR PORCENTAJE COMPORTAMIENTO" numFmtId="0">
      <sharedItems containsBlank="1" containsMixedTypes="1" containsNumber="1" minValue="0" maxValue="0.67164179104477606"/>
    </cacheField>
    <cacheField name="¿TIENE MENOS PORCENTAJE COMPORTAMIENTO?" numFmtId="0">
      <sharedItems containsBlank="1"/>
    </cacheField>
    <cacheField name="CURSOS " numFmtId="0">
      <sharedItems containsString="0" containsBlank="1" containsNumber="1" containsInteger="1" minValue="0" maxValue="125"/>
    </cacheField>
    <cacheField name="MAYOR NÚMERO CURSOS" numFmtId="0">
      <sharedItems containsString="0" containsBlank="1" containsNumber="1" containsInteger="1" minValue="0" maxValue="125"/>
    </cacheField>
    <cacheField name="TIENE MAYOR NÚMERO CURSOS?" numFmtId="0">
      <sharedItems containsBlank="1"/>
    </cacheField>
    <cacheField name="OBSERVACIONES OTIC" numFmtId="0">
      <sharedItems containsString="0" containsBlank="1" containsNumber="1" containsInteger="1" minValue="0" maxValue="0"/>
    </cacheField>
    <cacheField name="OBSERVACIONES SENCE" numFmtId="0">
      <sharedItems containsBlank="1"/>
    </cacheField>
    <cacheField name="RESPUESTA OBS OTIC" numFmtId="0">
      <sharedItems containsNonDate="0" containsString="0" containsBlank="1"/>
    </cacheField>
    <cacheField name="SENCE" numFmtId="0">
      <sharedItems containsNonDate="0" containsString="0" containsBlank="1"/>
    </cacheField>
    <cacheField name="ADJUDICA" numFmtId="0">
      <sharedItems containsBlank="1"/>
    </cacheField>
    <cacheField name="OBSERVACIÓN IMPUGNACIÓN"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873.65600451389" createdVersion="8" refreshedVersion="8" minRefreshableVersion="3" recordCount="51" xr:uid="{BEF91CEB-58C9-4363-9029-57056C29EB76}">
  <cacheSource type="worksheet">
    <worksheetSource ref="A1:EJ186" sheet="4 Planilla de revisión"/>
  </cacheSource>
  <cacheFields count="140">
    <cacheField name="CODIGO SENCE" numFmtId="0">
      <sharedItems containsString="0" containsBlank="1" containsNumber="1" containsInteger="1" minValue="0" maxValue="100127" count="162">
        <n v="14385"/>
        <n v="14386"/>
        <n v="14387"/>
        <n v="14388"/>
        <n v="14389"/>
        <n v="14337"/>
        <n v="14339"/>
        <n v="14626"/>
        <n v="14336"/>
        <n v="14280"/>
        <n v="14283"/>
        <n v="14281"/>
        <n v="14279"/>
        <n v="14384"/>
        <m/>
        <n v="0" u="1"/>
        <n v="14218" u="1"/>
        <n v="12838" u="1"/>
        <n v="12645" u="1"/>
        <n v="12652" u="1"/>
        <n v="12808" u="1"/>
        <n v="12813" u="1"/>
        <n v="12820" u="1"/>
        <n v="12654" u="1"/>
        <n v="12655" u="1"/>
        <n v="12657" u="1"/>
        <n v="12800" u="1"/>
        <n v="12804" u="1"/>
        <n v="12807" u="1"/>
        <n v="12809" u="1"/>
        <n v="12842" u="1"/>
        <n v="12848" u="1"/>
        <n v="12859" u="1"/>
        <n v="12860" u="1"/>
        <n v="12943" u="1"/>
        <n v="12949" u="1"/>
        <n v="12833" u="1"/>
        <n v="12828" u="1"/>
        <n v="12812" u="1"/>
        <n v="12818" u="1"/>
        <n v="12822" u="1"/>
        <n v="12648" u="1"/>
        <n v="12658" u="1"/>
        <n v="12649" u="1"/>
        <n v="12646" u="1"/>
        <n v="12651" u="1"/>
        <n v="12830" u="1"/>
        <n v="12650" u="1"/>
        <n v="12653" u="1"/>
        <n v="12713" u="1"/>
        <n v="12727" u="1"/>
        <n v="12728" u="1"/>
        <n v="12725" u="1"/>
        <n v="12726" u="1"/>
        <n v="12729" u="1"/>
        <n v="12730" u="1"/>
        <n v="12724" u="1"/>
        <n v="12723" u="1"/>
        <n v="12722" u="1"/>
        <n v="12495" u="1"/>
        <n v="12498" u="1"/>
        <n v="12589" u="1"/>
        <n v="10258" u="1"/>
        <n v="10376" u="1"/>
        <n v="7494" u="1"/>
        <n v="7751" u="1"/>
        <n v="10295" u="1"/>
        <n v="10277" u="1"/>
        <n v="10291" u="1"/>
        <n v="10301" u="1"/>
        <n v="10282" u="1"/>
        <n v="10343" u="1"/>
        <n v="10363" u="1"/>
        <n v="10518" u="1"/>
        <n v="10519" u="1"/>
        <n v="10521" u="1"/>
        <n v="10585" u="1"/>
        <n v="8553" u="1"/>
        <n v="10516" u="1"/>
        <n v="10511" u="1"/>
        <n v="8718" u="1"/>
        <n v="100109" u="1"/>
        <n v="100103" u="1"/>
        <n v="100107" u="1"/>
        <n v="100110" u="1"/>
        <n v="100105" u="1"/>
        <n v="9998" u="1"/>
        <n v="100106" u="1"/>
        <n v="100104" u="1"/>
        <n v="11163" u="1"/>
        <n v="8457" u="1"/>
        <n v="7617" u="1"/>
        <n v="100121" u="1"/>
        <n v="100122" u="1"/>
        <n v="100123" u="1"/>
        <n v="100124" u="1"/>
        <n v="100125" u="1"/>
        <n v="100126" u="1"/>
        <n v="100127" u="1"/>
        <n v="100069" u="1"/>
        <n v="100070" u="1"/>
        <n v="100071" u="1"/>
        <n v="8616" u="1"/>
        <n v="9051" u="1"/>
        <n v="8832" u="1"/>
        <n v="100120" u="1"/>
        <n v="7913" u="1"/>
        <n v="7906" u="1"/>
        <n v="10131" u="1"/>
        <n v="9251" u="1"/>
        <n v="10132" u="1"/>
        <n v="10133" u="1"/>
        <n v="10126" u="1"/>
        <n v="9854" u="1"/>
        <n v="10127" u="1"/>
        <n v="7985" u="1"/>
        <n v="10129" u="1"/>
        <n v="10130" u="1"/>
        <n v="8383" u="1"/>
        <n v="8555" u="1"/>
        <n v="8805" u="1"/>
        <n v="10420" u="1"/>
        <n v="9875" u="1"/>
        <n v="9790" u="1"/>
        <n v="8237" u="1"/>
        <n v="8277" u="1"/>
        <n v="8888" u="1"/>
        <n v="10406" u="1"/>
        <n v="8652" u="1"/>
        <n v="10402" u="1"/>
        <n v="10378" u="1"/>
        <n v="10430" u="1"/>
        <n v="10431" u="1"/>
        <n v="10306" u="1"/>
        <n v="10279" u="1"/>
        <n v="10247" u="1"/>
        <n v="10274" u="1"/>
        <n v="10281" u="1"/>
        <n v="7474" u="1"/>
        <n v="7481" u="1"/>
        <n v="6901" u="1"/>
        <n v="7475" u="1"/>
        <n v="7510" u="1"/>
        <n v="7511" u="1"/>
        <n v="10053" u="1"/>
        <n v="9677" u="1"/>
        <n v="10062" u="1"/>
        <n v="10194" u="1"/>
        <n v="10243" u="1"/>
        <n v="10244" u="1"/>
        <n v="10245" u="1"/>
        <n v="10246" u="1"/>
        <n v="10297" u="1"/>
        <n v="10242" u="1"/>
        <n v="100030" u="1"/>
        <n v="7879" u="1"/>
        <n v="10216" u="1"/>
        <n v="8666" u="1"/>
        <n v="9750" u="1"/>
        <n v="9178" u="1"/>
        <n v="9504" u="1"/>
        <n v="8526" u="1"/>
      </sharedItems>
    </cacheField>
    <cacheField name="OTIC" numFmtId="0">
      <sharedItems containsBlank="1"/>
    </cacheField>
    <cacheField name="AÑO" numFmtId="0">
      <sharedItems containsString="0" containsBlank="1" containsNumber="1" containsInteger="1" minValue="2025" maxValue="2025"/>
    </cacheField>
    <cacheField name="ASIGNACIÓN" numFmtId="0">
      <sharedItems containsBlank="1"/>
    </cacheField>
    <cacheField name="RUT ENTIDAD  REQUIRENTE" numFmtId="0">
      <sharedItems containsBlank="1"/>
    </cacheField>
    <cacheField name="NOMBRE ENTIDAD REQUIRENTE " numFmtId="0">
      <sharedItems containsBlank="1"/>
    </cacheField>
    <cacheField name="RUT ENTIDAD BENEFICIARIA EN CASO DE MANDATO" numFmtId="0">
      <sharedItems containsBlank="1"/>
    </cacheField>
    <cacheField name="NOMBRE DE ENTIDAD BENEFICIARIA EN CASO DE MANDATO" numFmtId="0">
      <sharedItems containsBlank="1"/>
    </cacheField>
    <cacheField name="NOMBRE DEL CURSO (PLAN FORMATIVO)" numFmtId="0">
      <sharedItems containsBlank="1"/>
    </cacheField>
    <cacheField name="CODIGO DEL CURSO (PLAN FORMATIVO )" numFmtId="0">
      <sharedItems containsBlank="1"/>
    </cacheField>
    <cacheField name="NOMBRE PLAN (ES) TRANSVERSAL(ES)" numFmtId="0">
      <sharedItems containsBlank="1" containsMixedTypes="1" containsNumber="1" containsInteger="1" minValue="0" maxValue="0"/>
    </cacheField>
    <cacheField name="CODIGO PLAN (ES) TRANSVERSAL(ES)" numFmtId="0">
      <sharedItems containsBlank="1"/>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0"/>
    </cacheField>
    <cacheField name="COMUNA" numFmtId="0">
      <sharedItems containsBlank="1"/>
    </cacheField>
    <cacheField name="NOMBRE POBLACIÓN OBJETIVO" numFmtId="0">
      <sharedItems containsBlank="1"/>
    </cacheField>
    <cacheField name="MODALIDAD DEL CURSO " numFmtId="0">
      <sharedItems containsBlank="1"/>
    </cacheField>
    <cacheField name="TIPO SALIDA (DEPENDIENTE O INDEPENDIENTE)" numFmtId="0">
      <sharedItems containsBlank="1"/>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14" maxValue="20"/>
    </cacheField>
    <cacheField name=" HORAS CURSO (PLAN FORMATIVO 1 )" numFmtId="0">
      <sharedItems containsString="0" containsBlank="1" containsNumber="1" containsInteger="1" minValue="0" maxValue="260"/>
    </cacheField>
    <cacheField name=" HORAS PLAN(ES) FORMATIVO(OS) 2" numFmtId="0">
      <sharedItems containsString="0" containsBlank="1" containsNumber="1" containsInteger="1" minValue="0" maxValue="12"/>
    </cacheField>
    <cacheField name="TOTAL HORAS " numFmtId="0">
      <sharedItems containsString="0" containsBlank="1" containsNumber="1" containsInteger="1" minValue="24" maxValue="272"/>
    </cacheField>
    <cacheField name="HORAS DIARIAS" numFmtId="0">
      <sharedItems containsString="0" containsBlank="1" containsNumber="1" containsInteger="1" minValue="4" maxValue="8"/>
    </cacheField>
    <cacheField name="SUBSIDIO DIARIO FASE LECTIVA (SI/NO)" numFmtId="0">
      <sharedItems containsBlank="1"/>
    </cacheField>
    <cacheField name="SUBSIDIO CUIDADOS" numFmtId="0">
      <sharedItems containsBlank="1"/>
    </cacheField>
    <cacheField name="SUBSIDIO DE HERRAMIENTAS  (SI/NO)" numFmtId="0">
      <sharedItems containsBlank="1"/>
    </cacheField>
    <cacheField name="APRENDIZAJES ESPERADOS (SOLO PARA CURSOS SIN PLAN FORMATIVO)" numFmtId="0">
      <sharedItems containsBlank="1" containsMixedTypes="1" containsNumber="1" containsInteger="1" minValue="0" maxValue="0" longText="1"/>
    </cacheField>
    <cacheField name="DESCRIPCIÓN POBLACION OBJETIVO" numFmtId="0">
      <sharedItems containsBlank="1" longText="1"/>
    </cacheField>
    <cacheField name="LICENCIA HABILITANTE  (SI/NO)" numFmtId="0">
      <sharedItems containsBlank="1"/>
    </cacheField>
    <cacheField name="TIPO LICENCIA HABILITANTE" numFmtId="0">
      <sharedItems containsBlank="1" containsMixedTypes="1" containsNumber="1" containsInteger="1" minValue="0" maxValue="0"/>
    </cacheField>
    <cacheField name="CONVOCATORIA" numFmtId="0">
      <sharedItems containsBlank="1"/>
    </cacheField>
    <cacheField name="DIAS FL" numFmtId="0">
      <sharedItems containsString="0" containsBlank="1" containsNumber="1" containsInteger="1" minValue="6" maxValue="68"/>
    </cacheField>
    <cacheField name="TRAMO" numFmtId="0">
      <sharedItems containsString="0" containsBlank="1" containsNumber="1" containsInteger="1" minValue="2" maxValue="3"/>
    </cacheField>
    <cacheField name="RUTOTEC" numFmtId="1">
      <sharedItems containsBlank="1"/>
    </cacheField>
    <cacheField name="NOMBRE OTEC" numFmtId="0">
      <sharedItems containsBlank="1"/>
    </cacheField>
    <cacheField name="DURACIÓN TOTAL DEL CURSO EN HORAS" numFmtId="0">
      <sharedItems containsString="0" containsBlank="1" containsNumber="1" containsInteger="1" minValue="24" maxValue="272"/>
    </cacheField>
    <cacheField name="DURACIÓN TOTAL DEL CURSO EN DIAS" numFmtId="0">
      <sharedItems containsString="0" containsBlank="1" containsNumber="1" containsInteger="1" minValue="6" maxValue="68"/>
    </cacheField>
    <cacheField name="VALOR HORA ALUMNO CAPACITACIÓN" numFmtId="3">
      <sharedItems containsString="0" containsBlank="1" containsNumber="1" containsInteger="1" minValue="5000" maxValue="7434"/>
    </cacheField>
    <cacheField name="VALOR ALUMNO SUBSIDIO ÚTILES, INSUMO  Y HERRAMIENTAS" numFmtId="3">
      <sharedItems containsString="0" containsBlank="1" containsNumber="1" containsInteger="1" minValue="0" maxValue="250000"/>
    </cacheField>
    <cacheField name="VALOR ALUMNO SUBSIDIO PARA INSTRUMENTO HABILITANTE Y/O REFERENCIAL" numFmtId="3">
      <sharedItems containsString="0" containsBlank="1" containsNumber="1" containsInteger="1" minValue="0" maxValue="250000"/>
    </cacheField>
    <cacheField name="VALOR CAPACITACIÓN" numFmtId="3">
      <sharedItems containsString="0" containsBlank="1" containsNumber="1" containsInteger="1" minValue="2753136" maxValue="33304320"/>
    </cacheField>
    <cacheField name="VALOR TOTAL SUBSIDIO DIARIO" numFmtId="3">
      <sharedItems containsString="0" containsBlank="1" containsNumber="1" containsInteger="1" minValue="432000" maxValue="3808000"/>
    </cacheField>
    <cacheField name="VALOR TOTAL SUBSIDIO ÚTILES, INSUMO Y HERRAMIENTAS" numFmtId="3">
      <sharedItems containsString="0" containsBlank="1" containsNumber="1" containsInteger="1" minValue="0" maxValue="350000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3500000"/>
    </cacheField>
    <cacheField name="VALOR TOTAL DEL CURSO" numFmtId="3">
      <sharedItems containsString="0" containsBlank="1" containsNumber="1" containsInteger="1" minValue="4085136" maxValue="35544320"/>
    </cacheField>
    <cacheField name="ADMISIBILIDAD DE OFERTA-CURSO (SI/NO) Numeral 7.1.2 Bases Administrativas" numFmtId="0">
      <sharedItems containsBlank="1" containsMixedTypes="1" containsNumber="1" containsInteger="1" minValue="0" maxValue="0" count="4">
        <s v="SI"/>
        <s v="NO"/>
        <m/>
        <n v="0" u="1"/>
      </sharedItems>
    </cacheField>
    <cacheField name="MOTIVO DEL RECHAZO" numFmtId="0">
      <sharedItems containsBlank="1" containsMixedTypes="1" containsNumber="1" containsInteger="1" minValue="0" maxValue="0" longText="1"/>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7"/>
    </cacheField>
    <cacheField name="7.4.2.2                               Se identifican los requisistos de ingreso del participante al plan formativo. (50 %)" numFmtId="0">
      <sharedItems containsString="0" containsBlank="1" containsNumber="1" containsInteger="1" minValue="0" maxValue="7"/>
    </cacheField>
    <cacheField name="7.4.3.1                     Relación entre los componentes del módulo propuesto (15%)" numFmtId="0">
      <sharedItems containsString="0" containsBlank="1" containsNumber="1" containsInteger="1" minValue="0" maxValue="7"/>
    </cacheField>
    <cacheField name="7.4.3.2                      Relación de la competencia y el nombre del módulo se relaciona con la competencia y el nombre del plan formativo (25%)" numFmtId="0">
      <sharedItems containsString="0" containsBlank="1" containsNumber="1" containsInteger="1" minValue="0" maxValue="7"/>
    </cacheField>
    <cacheField name="7.4.3.3     Relación de los aprendizajes esperados del módulo con la competencia del módulo. (20%)" numFmtId="0">
      <sharedItems containsString="0" containsBlank="1" containsNumber="1" containsInteger="1" minValue="0" maxValue="7"/>
    </cacheField>
    <cacheField name="7.4.3.4                          Los criterios de evaluación permiten evidenciar los aprendizajes esperados de cada módulo. (25 %)" numFmtId="0">
      <sharedItems containsString="0" containsBlank="1" containsNumber="1" containsInteger="1" minValue="0" maxValue="7"/>
    </cacheField>
    <cacheField name="7.4.3.5                                         Los contenidos abordados permiten desarrollar los aprendizajes esperados de cada módulo. (15%)" numFmtId="0">
      <sharedItems containsString="0" containsBlank="1" containsNumber="1" containsInteger="1" minValue="0" maxValue="7"/>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minValue="0" maxValue="7"/>
    </cacheField>
    <cacheField name="8                 NOTA FINAL" numFmtId="171">
      <sharedItems containsString="0" containsBlank="1" containsNumber="1" minValue="0" maxValue="7"/>
    </cacheField>
    <cacheField name="CURSO PREADJUDICADO (SI/NO)" numFmtId="0">
      <sharedItems containsBlank="1"/>
    </cacheField>
    <cacheField name="Nombre encargado del curso en OTEC" numFmtId="0">
      <sharedItems containsBlank="1"/>
    </cacheField>
    <cacheField name="Email  encargado del curso en OTEC" numFmtId="0">
      <sharedItems containsBlank="1"/>
    </cacheField>
    <cacheField name="Teléfono  encargado del curso en OTEC" numFmtId="0">
      <sharedItems containsString="0" containsBlank="1" containsNumber="1" containsInteger="1" minValue="93454013" maxValue="995163347"/>
    </cacheField>
    <cacheField name="Dirección (Sede donde se imparte el curso)" numFmtId="0">
      <sharedItems containsBlank="1"/>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longText="1"/>
    </cacheField>
    <cacheField name="VALIDACIÓN LÍNEA SEGÚN BD OFICIAL" numFmtId="1">
      <sharedItems containsString="0" containsBlank="1" containsNumber="1" containsInteger="1" minValue="0" maxValue="0"/>
    </cacheField>
    <cacheField name="VALIDACIÓN CÓDIGOS PLAN FORMATIVO 1 SEGÚN BD OFICIAL" numFmtId="1">
      <sharedItems containsString="0" containsBlank="1" containsNumber="1" containsInteger="1" minValue="0" maxValue="0"/>
    </cacheField>
    <cacheField name="VALIDACIÓN DE CÓDIGO(S) PLAN (ES) TRANSVERSAL(ES) SEGÚN BD OFICIAL" numFmtId="1">
      <sharedItems containsString="0" containsBlank="1" containsNumber="1" containsInteger="1" minValue="0" maxValue="0"/>
    </cacheField>
    <cacheField name="VALIDACIÓN COMUNA SEGÚN BD OFICIAL" numFmtId="0">
      <sharedItems containsString="0" containsBlank="1" containsNumber="1" containsInteger="1" minValue="0" maxValue="0"/>
    </cacheField>
    <cacheField name="VALIDACIÓN NOMBRE POBLACIÓN OBJETIVO SEGÚN BD OFICIAL" numFmtId="0">
      <sharedItems containsString="0" containsBlank="1" containsNumber="1" containsInteger="1" minValue="0" maxValue="0"/>
    </cacheField>
    <cacheField name="VALIDACIÓN TIPO SALIDA (DEPENDIENTE O INDEPENDIENTE) SEGÚN BD OFICIAL" numFmtId="0">
      <sharedItems containsString="0" containsBlank="1" containsNumber="1" containsInteger="1" minValue="0" maxValue="0"/>
    </cacheField>
    <cacheField name="VALIDACIÓN CUPO SEGÚN BD OFICIAL" numFmtId="0">
      <sharedItems containsString="0" containsBlank="1" containsNumber="1" containsInteger="1" minValue="0" maxValue="0"/>
    </cacheField>
    <cacheField name="VALIDACIÓN TOTAL HORAS  CURSO ENTRE N° PRESENTADO  POR EL OTEC Y LO QUE INDICA LA  BD OFICIAL" numFmtId="0">
      <sharedItems containsString="0" containsBlank="1" containsNumber="1" containsInteger="1" minValue="0" maxValue="0"/>
    </cacheField>
    <cacheField name="VALIDACIÓN HORAS DIARIAS SEGÚN BD OFICIAL" numFmtId="0">
      <sharedItems containsString="0" containsBlank="1" containsNumber="1" containsInteger="1" minValue="0" maxValue="0"/>
    </cacheField>
    <cacheField name="VALIDACIÓN SUBSIDIO DIARIO FASE LECTIVA (Si el curso tiene o no este subsidio en BD OFICIAL)" numFmtId="0">
      <sharedItems containsString="0" containsBlank="1" containsNumber="1" containsInteger="1" minValue="0" maxValue="0"/>
    </cacheField>
    <cacheField name="VALIDACIÓN SUBSIDIO CUIDADOS  (Si el curso tiene o no este subsidio en BD OFICIAL)" numFmtId="0">
      <sharedItems containsString="0" containsBlank="1" containsNumber="1" containsInteger="1" minValue="0" maxValue="0"/>
    </cacheField>
    <cacheField name="VALIDACIÓN SUBSIDIO DE HERRAMIENTAS   (Si el curso tiene o no este subsidio en BD OFICIAL)" numFmtId="0">
      <sharedItems containsString="0" containsBlank="1" containsNumber="1" containsInteger="1" minValue="0" maxValue="0"/>
    </cacheField>
    <cacheField name="VALIDACIÓN CONVOCATORIA SEGÚN BD OFICIAL" numFmtId="0">
      <sharedItems containsString="0" containsBlank="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String="0" containsBlank="1" containsNumber="1" containsInteger="1" minValue="0" maxValue="0"/>
    </cacheField>
    <cacheField name="VALIDACIÓN N°DÍAS FL ENTRE N° PRESENTADO  POR EL OTEC Y LO QUE INDICA LA  BD OFICIAL" numFmtId="1">
      <sharedItems containsString="0" containsBlank="1" containsNumber="1" containsInteger="1" minValue="0" maxValue="1"/>
    </cacheField>
    <cacheField name="DIFERENCIA ENTRE VC PRESENTADO POR EL OTEC Y EL QUE CORRESPONDE  SEGÚN VHA PRESENTADO POR EL OTEC Y EL CUPO Y HORAS DE BD OFICIAL" numFmtId="1">
      <sharedItems containsString="0" containsBlank="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0"/>
    </cacheField>
    <cacheField name="VALIDACIÓN VHA SEGÚN TRAMO DE CURSO EN BD OFICIAL" numFmtId="1">
      <sharedItems containsString="0" containsBlank="1" containsNumber="1" containsInteger="1" minValue="0" maxValue="1"/>
    </cacheField>
    <cacheField name="VALIDACIÓN VALOR CAPACITACIÓN" numFmtId="1">
      <sharedItems containsString="0" containsBlank="1" containsNumber="1" containsInteger="1" minValue="0" maxValue="0"/>
    </cacheField>
    <cacheField name="VALIDACIÓN VALOR TOTAL SUBSIDIO FASE LECTIVA (Comparación entre cantidad presentada por el OTEC y BD Oficial)" numFmtId="1">
      <sharedItems containsString="0" containsBlank="1" containsNumber="1" containsInteger="1" minValue="0" maxValue="1"/>
    </cacheField>
    <cacheField name="VALIDACIÓN VALOR SUBSIDIO CUIDADO " numFmtId="1">
      <sharedItems containsString="0" containsBlank="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String="0" containsBlank="1" containsNumber="1" containsInteger="1" minValue="0" maxValue="0"/>
    </cacheField>
    <cacheField name="VALIDACIÓN TOTAL SUB PARA CERT LICENCIAS" numFmtId="1">
      <sharedItems containsString="0" containsBlank="1" containsNumber="1" containsInteger="1" minValue="0" maxValue="0"/>
    </cacheField>
    <cacheField name="VALIDACIÓN VALOR TOTAL CURSO" numFmtId="1">
      <sharedItems containsString="0" containsBlank="1" containsNumber="1" containsInteger="1" minValue="0" maxValue="0"/>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String="0" containsBlank="1" containsNumber="1" containsInteger="1" minValue="0" maxValue="1"/>
    </cacheField>
    <cacheField name="¿TIENE EXPERIENCIA?" numFmtId="1">
      <sharedItems containsBlank="1"/>
    </cacheField>
    <cacheField name="VALIDACIÓN NOTA EXPERIENCIA OFERENTE" numFmtId="1">
      <sharedItems containsBlank="1" containsMixedTypes="1" containsNumber="1" containsInteger="1" minValue="0" maxValue="0"/>
    </cacheField>
    <cacheField name="¿TIENE MULTAS?" numFmtId="1">
      <sharedItems containsBlank="1"/>
    </cacheField>
    <cacheField name="VALIDACIÓN COMPORTAMIENTO ANTERIOR " numFmtId="1">
      <sharedItems containsBlank="1" containsMixedTypes="1" containsNumber="1" containsInteger="1" minValue="0" maxValue="0"/>
    </cacheField>
    <cacheField name="NOTA EXPERIENCIA" numFmtId="0">
      <sharedItems containsBlank="1" containsMixedTypes="1" containsNumber="1" minValue="0.1" maxValue="0.70000000000000007"/>
    </cacheField>
    <cacheField name="NOTA COMPORTAMIENTO" numFmtId="0">
      <sharedItems containsBlank="1" containsMixedTypes="1" containsNumber="1" minValue="0.5" maxValue="0.70000000000000007"/>
    </cacheField>
    <cacheField name="¿TIENE PF?" numFmtId="1">
      <sharedItems containsBlank="1"/>
    </cacheField>
    <cacheField name="NOTA PROPUESTA FORMATIVA A NIVEL DE PLAN 7.4.2( 35%)" numFmtId="1">
      <sharedItems containsString="0" containsBlank="1" containsNumber="1" containsInteger="1" minValue="0" maxValue="7"/>
    </cacheField>
    <cacheField name="NOTA PROPUESTA FORMATIVA A NIVEL DE MODULOS 7.4.3 (65%)" numFmtId="1">
      <sharedItems containsString="0" containsBlank="1" containsNumber="1" containsInteger="1" minValue="0" maxValue="7"/>
    </cacheField>
    <cacheField name="NOTA  EVALUACIÓN PROPUESTA FORMATIVA (45%)" numFmtId="1">
      <sharedItems containsBlank="1" containsMixedTypes="1" containsNumber="1" containsInteger="1" minValue="0" maxValue="7"/>
    </cacheField>
    <cacheField name="NOTA METODOLOGÍA (55%)" numFmtId="3">
      <sharedItems containsBlank="1" containsMixedTypes="1" containsNumber="1" minValue="6" maxValue="7.0000000000000009"/>
    </cacheField>
    <cacheField name="NOTA EVALUACIÓN TÉCNICA" numFmtId="168">
      <sharedItems containsBlank="1" containsMixedTypes="1" containsNumber="1" minValue="6" maxValue="7.0000000000000009"/>
    </cacheField>
    <cacheField name="VHA DEL CURSO A CONSIDERAR EN EVA EC" numFmtId="0">
      <sharedItems containsString="0" containsBlank="1" containsNumber="1" containsInteger="1" minValue="5000" maxValue="7434"/>
    </cacheField>
    <cacheField name="MENOR VHA OFERTADA SEGÚN CÓDIGO" numFmtId="0">
      <sharedItems containsString="0" containsBlank="1" containsNumber="1" containsInteger="1" minValue="5000" maxValue="7434"/>
    </cacheField>
    <cacheField name="NOTA EV ECONÓMICA" numFmtId="168">
      <sharedItems containsBlank="1" containsMixedTypes="1" containsNumber="1" minValue="6.3" maxValue="7"/>
    </cacheField>
    <cacheField name="VALIDACIÓN NOTA ECONÓMICA" numFmtId="0">
      <sharedItems containsBlank="1"/>
    </cacheField>
    <cacheField name="REVISIÓN PREVIA NOTA FINAL" numFmtId="0">
      <sharedItems containsBlank="1"/>
    </cacheField>
    <cacheField name="NOTA FINAL DEL CURSO SENCE" numFmtId="0">
      <sharedItems containsBlank="1" containsMixedTypes="1" containsNumber="1" minValue="6" maxValue="7"/>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ontainsMixedTypes="1" containsNumber="1" minValue="6.4" maxValue="7"/>
    </cacheField>
    <cacheField name="¿TIENE MAYOR NOTA FINAL CÓDIGO CURSO?" numFmtId="0">
      <sharedItems containsBlank="1"/>
    </cacheField>
    <cacheField name=" MAYOR NOTA PROPUESTA TÉCNICA" numFmtId="0">
      <sharedItems containsBlank="1" containsMixedTypes="1" containsNumber="1" minValue="7.0000000000000009" maxValue="7.0000000000000009"/>
    </cacheField>
    <cacheField name="¿TIENE MAYOR NOTA PROPUESTA TÉCNICA?" numFmtId="0">
      <sharedItems containsBlank="1"/>
    </cacheField>
    <cacheField name="MAYOR  NOTA COMPORTAMIENTO ANTERIOR" numFmtId="0">
      <sharedItems containsBlank="1" containsMixedTypes="1" containsNumber="1" containsInteger="1" minValue="7" maxValue="7"/>
    </cacheField>
    <cacheField name="¿TIENE  MAYOR NOTA COMPORTAMIENTO ANTERIOR?" numFmtId="0">
      <sharedItems containsBlank="1"/>
    </cacheField>
    <cacheField name="MAYOR NOTA EXPERIENCIA " numFmtId="168">
      <sharedItems containsBlank="1" containsMixedTypes="1" containsNumber="1" containsInteger="1" minValue="1" maxValue="7"/>
    </cacheField>
    <cacheField name="¿TIENE  MAYOR NOTA EXPERIENCIA ?" numFmtId="0">
      <sharedItems containsBlank="1"/>
    </cacheField>
    <cacheField name="VHA DEL CURSO APROBADO EN EXPERIENCIA" numFmtId="0">
      <sharedItems containsBlank="1" containsMixedTypes="1" containsNumber="1" containsInteger="1" minValue="5075" maxValue="7434"/>
    </cacheField>
    <cacheField name="MENOR VHA DE CURSO APROBADO EN EXPERIENCIA" numFmtId="0">
      <sharedItems containsBlank="1" containsMixedTypes="1" containsNumber="1" containsInteger="1" minValue="5075" maxValue="7434"/>
    </cacheField>
    <cacheField name="¿TIENE MENOR VALOR HORA ENTRE LOS CURSO APROBADOS?" numFmtId="0">
      <sharedItems containsBlank="1"/>
    </cacheField>
    <cacheField name="POCENTAJE DE MULTAS PONDERADA" numFmtId="172">
      <sharedItems containsBlank="1" containsMixedTypes="1" containsNumber="1" minValue="0" maxValue="0.67164179104477606"/>
    </cacheField>
    <cacheField name="MENOR PORCENTAJE COMPORTAMIENTO" numFmtId="0">
      <sharedItems containsBlank="1" containsMixedTypes="1" containsNumber="1" minValue="0" maxValue="0.67164179104477606"/>
    </cacheField>
    <cacheField name="¿TIENE MENOS PORCENTAJE COMPORTAMIENTO?" numFmtId="0">
      <sharedItems containsBlank="1"/>
    </cacheField>
    <cacheField name="CURSOS " numFmtId="0">
      <sharedItems containsString="0" containsBlank="1" containsNumber="1" containsInteger="1" minValue="0" maxValue="125"/>
    </cacheField>
    <cacheField name="MAYOR NÚMERO CURSOS" numFmtId="0">
      <sharedItems containsString="0" containsBlank="1" containsNumber="1" containsInteger="1" minValue="0" maxValue="125"/>
    </cacheField>
    <cacheField name="TIENE MAYOR NÚMERO CURSOS?"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873.656102777779" createdVersion="8" refreshedVersion="8" minRefreshableVersion="3" recordCount="51" xr:uid="{03DB28A0-04A0-4CB5-81D1-598CCCCED0D4}">
  <cacheSource type="worksheet">
    <worksheetSource ref="A1:EP1048576" sheet="4 Planilla de revisión"/>
  </cacheSource>
  <cacheFields count="146">
    <cacheField name="CODIGO SENCE" numFmtId="0">
      <sharedItems containsString="0" containsBlank="1" containsNumber="1" containsInteger="1" minValue="0" maxValue="14626" count="59">
        <n v="14385"/>
        <n v="14386"/>
        <n v="14387"/>
        <n v="14388"/>
        <n v="14389"/>
        <n v="14337"/>
        <n v="14339"/>
        <n v="14626"/>
        <n v="14336"/>
        <n v="14280"/>
        <n v="14283"/>
        <n v="14281"/>
        <n v="14279"/>
        <n v="14384"/>
        <m/>
        <n v="0" u="1"/>
        <n v="14218" u="1"/>
        <n v="12838" u="1"/>
        <n v="12645" u="1"/>
        <n v="12652" u="1"/>
        <n v="12808" u="1"/>
        <n v="12813" u="1"/>
        <n v="12820" u="1"/>
        <n v="12654" u="1"/>
        <n v="12655" u="1"/>
        <n v="12657" u="1"/>
        <n v="12800" u="1"/>
        <n v="12804" u="1"/>
        <n v="12807" u="1"/>
        <n v="12809" u="1"/>
        <n v="12842" u="1"/>
        <n v="12848" u="1"/>
        <n v="12859" u="1"/>
        <n v="12860" u="1"/>
        <n v="12943" u="1"/>
        <n v="12949" u="1"/>
        <n v="12833" u="1"/>
        <n v="12828" u="1"/>
        <n v="12812" u="1"/>
        <n v="12818" u="1"/>
        <n v="12822" u="1"/>
        <n v="12648" u="1"/>
        <n v="12658" u="1"/>
        <n v="12649" u="1"/>
        <n v="12646" u="1"/>
        <n v="12651" u="1"/>
        <n v="12830" u="1"/>
        <n v="12650" u="1"/>
        <n v="12653" u="1"/>
        <n v="12713" u="1"/>
        <n v="12727" u="1"/>
        <n v="12728" u="1"/>
        <n v="12725" u="1"/>
        <n v="12726" u="1"/>
        <n v="12729" u="1"/>
        <n v="12730" u="1"/>
        <n v="12724" u="1"/>
        <n v="12723" u="1"/>
        <n v="12722" u="1"/>
      </sharedItems>
    </cacheField>
    <cacheField name="OTIC" numFmtId="0">
      <sharedItems containsBlank="1"/>
    </cacheField>
    <cacheField name="AÑO" numFmtId="0">
      <sharedItems containsString="0" containsBlank="1" containsNumber="1" containsInteger="1" minValue="2025" maxValue="2025"/>
    </cacheField>
    <cacheField name="ASIGNACIÓN" numFmtId="0">
      <sharedItems containsBlank="1"/>
    </cacheField>
    <cacheField name="RUT ENTIDAD  REQUIRENTE" numFmtId="0">
      <sharedItems containsBlank="1"/>
    </cacheField>
    <cacheField name="NOMBRE ENTIDAD REQUIRENTE " numFmtId="0">
      <sharedItems containsBlank="1"/>
    </cacheField>
    <cacheField name="RUT ENTIDAD BENEFICIARIA EN CASO DE MANDATO" numFmtId="0">
      <sharedItems containsBlank="1"/>
    </cacheField>
    <cacheField name="NOMBRE DE ENTIDAD BENEFICIARIA EN CASO DE MANDATO" numFmtId="0">
      <sharedItems containsBlank="1"/>
    </cacheField>
    <cacheField name="NOMBRE DEL CURSO (PLAN FORMATIVO)" numFmtId="0">
      <sharedItems containsBlank="1"/>
    </cacheField>
    <cacheField name="CODIGO DEL CURSO (PLAN FORMATIVO )" numFmtId="0">
      <sharedItems containsBlank="1"/>
    </cacheField>
    <cacheField name="NOMBRE PLAN (ES) TRANSVERSAL(ES)" numFmtId="0">
      <sharedItems containsBlank="1" containsMixedTypes="1" containsNumber="1" containsInteger="1" minValue="0" maxValue="0"/>
    </cacheField>
    <cacheField name="CODIGO PLAN (ES) TRANSVERSAL(ES)" numFmtId="0">
      <sharedItems containsBlank="1"/>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0"/>
    </cacheField>
    <cacheField name="COMUNA" numFmtId="0">
      <sharedItems containsBlank="1"/>
    </cacheField>
    <cacheField name="NOMBRE POBLACIÓN OBJETIVO" numFmtId="0">
      <sharedItems containsBlank="1"/>
    </cacheField>
    <cacheField name="MODALIDAD DEL CURSO " numFmtId="0">
      <sharedItems containsBlank="1"/>
    </cacheField>
    <cacheField name="TIPO SALIDA (DEPENDIENTE O INDEPENDIENTE)" numFmtId="0">
      <sharedItems containsBlank="1"/>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14" maxValue="20"/>
    </cacheField>
    <cacheField name=" HORAS CURSO (PLAN FORMATIVO 1 )" numFmtId="0">
      <sharedItems containsString="0" containsBlank="1" containsNumber="1" containsInteger="1" minValue="0" maxValue="260"/>
    </cacheField>
    <cacheField name=" HORAS PLAN(ES) FORMATIVO(OS) 2" numFmtId="0">
      <sharedItems containsString="0" containsBlank="1" containsNumber="1" containsInteger="1" minValue="0" maxValue="12"/>
    </cacheField>
    <cacheField name="TOTAL HORAS " numFmtId="0">
      <sharedItems containsString="0" containsBlank="1" containsNumber="1" containsInteger="1" minValue="24" maxValue="272"/>
    </cacheField>
    <cacheField name="HORAS DIARIAS" numFmtId="0">
      <sharedItems containsString="0" containsBlank="1" containsNumber="1" containsInteger="1" minValue="4" maxValue="8"/>
    </cacheField>
    <cacheField name="SUBSIDIO DIARIO FASE LECTIVA (SI/NO)" numFmtId="0">
      <sharedItems containsBlank="1"/>
    </cacheField>
    <cacheField name="SUBSIDIO CUIDADOS" numFmtId="0">
      <sharedItems containsBlank="1"/>
    </cacheField>
    <cacheField name="SUBSIDIO DE HERRAMIENTAS  (SI/NO)" numFmtId="0">
      <sharedItems containsBlank="1"/>
    </cacheField>
    <cacheField name="APRENDIZAJES ESPERADOS (SOLO PARA CURSOS SIN PLAN FORMATIVO)" numFmtId="0">
      <sharedItems containsBlank="1" containsMixedTypes="1" containsNumber="1" containsInteger="1" minValue="0" maxValue="0" longText="1"/>
    </cacheField>
    <cacheField name="DESCRIPCIÓN POBLACION OBJETIVO" numFmtId="0">
      <sharedItems containsBlank="1" longText="1"/>
    </cacheField>
    <cacheField name="LICENCIA HABILITANTE  (SI/NO)" numFmtId="0">
      <sharedItems containsBlank="1"/>
    </cacheField>
    <cacheField name="TIPO LICENCIA HABILITANTE" numFmtId="0">
      <sharedItems containsBlank="1" containsMixedTypes="1" containsNumber="1" containsInteger="1" minValue="0" maxValue="0"/>
    </cacheField>
    <cacheField name="CONVOCATORIA" numFmtId="0">
      <sharedItems containsBlank="1"/>
    </cacheField>
    <cacheField name="DIAS FL" numFmtId="0">
      <sharedItems containsString="0" containsBlank="1" containsNumber="1" containsInteger="1" minValue="6" maxValue="68"/>
    </cacheField>
    <cacheField name="TRAMO" numFmtId="0">
      <sharedItems containsString="0" containsBlank="1" containsNumber="1" containsInteger="1" minValue="2" maxValue="3"/>
    </cacheField>
    <cacheField name="RUTOTEC" numFmtId="1">
      <sharedItems containsBlank="1"/>
    </cacheField>
    <cacheField name="NOMBRE OTEC" numFmtId="0">
      <sharedItems containsBlank="1"/>
    </cacheField>
    <cacheField name="DURACIÓN TOTAL DEL CURSO EN HORAS" numFmtId="0">
      <sharedItems containsString="0" containsBlank="1" containsNumber="1" containsInteger="1" minValue="24" maxValue="272"/>
    </cacheField>
    <cacheField name="DURACIÓN TOTAL DEL CURSO EN DIAS" numFmtId="0">
      <sharedItems containsString="0" containsBlank="1" containsNumber="1" containsInteger="1" minValue="6" maxValue="68"/>
    </cacheField>
    <cacheField name="VALOR HORA ALUMNO CAPACITACIÓN" numFmtId="3">
      <sharedItems containsString="0" containsBlank="1" containsNumber="1" containsInteger="1" minValue="5000" maxValue="7434"/>
    </cacheField>
    <cacheField name="VALOR ALUMNO SUBSIDIO ÚTILES, INSUMO  Y HERRAMIENTAS" numFmtId="3">
      <sharedItems containsString="0" containsBlank="1" containsNumber="1" containsInteger="1" minValue="0" maxValue="250000"/>
    </cacheField>
    <cacheField name="VALOR ALUMNO SUBSIDIO PARA INSTRUMENTO HABILITANTE Y/O REFERENCIAL" numFmtId="3">
      <sharedItems containsString="0" containsBlank="1" containsNumber="1" containsInteger="1" minValue="0" maxValue="250000"/>
    </cacheField>
    <cacheField name="VALOR CAPACITACIÓN" numFmtId="3">
      <sharedItems containsString="0" containsBlank="1" containsNumber="1" containsInteger="1" minValue="2753136" maxValue="33304320"/>
    </cacheField>
    <cacheField name="VALOR TOTAL SUBSIDIO DIARIO" numFmtId="3">
      <sharedItems containsString="0" containsBlank="1" containsNumber="1" containsInteger="1" minValue="432000" maxValue="3808000"/>
    </cacheField>
    <cacheField name="VALOR TOTAL SUBSIDIO ÚTILES, INSUMO Y HERRAMIENTAS" numFmtId="3">
      <sharedItems containsString="0" containsBlank="1" containsNumber="1" containsInteger="1" minValue="0" maxValue="350000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3500000"/>
    </cacheField>
    <cacheField name="VALOR TOTAL DEL CURSO" numFmtId="3">
      <sharedItems containsString="0" containsBlank="1" containsNumber="1" containsInteger="1" minValue="4085136" maxValue="35544320"/>
    </cacheField>
    <cacheField name="ADMISIBILIDAD DE OFERTA-CURSO (SI/NO) Numeral 7.1.2 Bases Administrativas" numFmtId="0">
      <sharedItems containsBlank="1" containsMixedTypes="1" containsNumber="1" containsInteger="1" minValue="0" maxValue="0" count="4">
        <s v="SI"/>
        <s v="NO"/>
        <m/>
        <n v="0" u="1"/>
      </sharedItems>
    </cacheField>
    <cacheField name="MOTIVO DEL RECHAZO" numFmtId="0">
      <sharedItems containsBlank="1" containsMixedTypes="1" containsNumber="1" containsInteger="1" minValue="0" maxValue="0" longText="1"/>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7"/>
    </cacheField>
    <cacheField name="7.4.2.2                               Se identifican los requisistos de ingreso del participante al plan formativo. (50 %)" numFmtId="0">
      <sharedItems containsString="0" containsBlank="1" containsNumber="1" containsInteger="1" minValue="0" maxValue="7"/>
    </cacheField>
    <cacheField name="7.4.3.1                     Relación entre los componentes del módulo propuesto (15%)" numFmtId="0">
      <sharedItems containsString="0" containsBlank="1" containsNumber="1" containsInteger="1" minValue="0" maxValue="7"/>
    </cacheField>
    <cacheField name="7.4.3.2                      Relación de la competencia y el nombre del módulo se relaciona con la competencia y el nombre del plan formativo (25%)" numFmtId="0">
      <sharedItems containsString="0" containsBlank="1" containsNumber="1" containsInteger="1" minValue="0" maxValue="7"/>
    </cacheField>
    <cacheField name="7.4.3.3     Relación de los aprendizajes esperados del módulo con la competencia del módulo. (20%)" numFmtId="0">
      <sharedItems containsString="0" containsBlank="1" containsNumber="1" containsInteger="1" minValue="0" maxValue="7"/>
    </cacheField>
    <cacheField name="7.4.3.4                          Los criterios de evaluación permiten evidenciar los aprendizajes esperados de cada módulo. (25 %)" numFmtId="0">
      <sharedItems containsString="0" containsBlank="1" containsNumber="1" containsInteger="1" minValue="0" maxValue="7"/>
    </cacheField>
    <cacheField name="7.4.3.5                                         Los contenidos abordados permiten desarrollar los aprendizajes esperados de cada módulo. (15%)" numFmtId="0">
      <sharedItems containsString="0" containsBlank="1" containsNumber="1" containsInteger="1" minValue="0" maxValue="7"/>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minValue="0" maxValue="7"/>
    </cacheField>
    <cacheField name="8                 NOTA FINAL" numFmtId="171">
      <sharedItems containsString="0" containsBlank="1" containsNumber="1" minValue="0" maxValue="7"/>
    </cacheField>
    <cacheField name="CURSO PREADJUDICADO (SI/NO)" numFmtId="0">
      <sharedItems containsBlank="1"/>
    </cacheField>
    <cacheField name="Nombre encargado del curso en OTEC" numFmtId="0">
      <sharedItems containsBlank="1"/>
    </cacheField>
    <cacheField name="Email  encargado del curso en OTEC" numFmtId="0">
      <sharedItems containsBlank="1"/>
    </cacheField>
    <cacheField name="Teléfono  encargado del curso en OTEC" numFmtId="0">
      <sharedItems containsString="0" containsBlank="1" containsNumber="1" containsInteger="1" minValue="93454013" maxValue="995163347"/>
    </cacheField>
    <cacheField name="Dirección (Sede donde se imparte el curso)" numFmtId="0">
      <sharedItems containsBlank="1"/>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longText="1"/>
    </cacheField>
    <cacheField name="VALIDACIÓN LÍNEA SEGÚN BD OFICIAL" numFmtId="1">
      <sharedItems containsString="0" containsBlank="1" containsNumber="1" containsInteger="1" minValue="0" maxValue="0"/>
    </cacheField>
    <cacheField name="VALIDACIÓN CÓDIGOS PLAN FORMATIVO 1 SEGÚN BD OFICIAL" numFmtId="1">
      <sharedItems containsString="0" containsBlank="1" containsNumber="1" containsInteger="1" minValue="0" maxValue="0"/>
    </cacheField>
    <cacheField name="VALIDACIÓN DE CÓDIGO(S) PLAN (ES) TRANSVERSAL(ES) SEGÚN BD OFICIAL" numFmtId="1">
      <sharedItems containsString="0" containsBlank="1" containsNumber="1" containsInteger="1" minValue="0" maxValue="0"/>
    </cacheField>
    <cacheField name="VALIDACIÓN COMUNA SEGÚN BD OFICIAL" numFmtId="0">
      <sharedItems containsString="0" containsBlank="1" containsNumber="1" containsInteger="1" minValue="0" maxValue="0"/>
    </cacheField>
    <cacheField name="VALIDACIÓN NOMBRE POBLACIÓN OBJETIVO SEGÚN BD OFICIAL" numFmtId="0">
      <sharedItems containsString="0" containsBlank="1" containsNumber="1" containsInteger="1" minValue="0" maxValue="0"/>
    </cacheField>
    <cacheField name="VALIDACIÓN TIPO SALIDA (DEPENDIENTE O INDEPENDIENTE) SEGÚN BD OFICIAL" numFmtId="0">
      <sharedItems containsString="0" containsBlank="1" containsNumber="1" containsInteger="1" minValue="0" maxValue="0"/>
    </cacheField>
    <cacheField name="VALIDACIÓN CUPO SEGÚN BD OFICIAL" numFmtId="0">
      <sharedItems containsString="0" containsBlank="1" containsNumber="1" containsInteger="1" minValue="0" maxValue="0"/>
    </cacheField>
    <cacheField name="VALIDACIÓN TOTAL HORAS  CURSO ENTRE N° PRESENTADO  POR EL OTEC Y LO QUE INDICA LA  BD OFICIAL" numFmtId="0">
      <sharedItems containsString="0" containsBlank="1" containsNumber="1" containsInteger="1" minValue="0" maxValue="0"/>
    </cacheField>
    <cacheField name="VALIDACIÓN HORAS DIARIAS SEGÚN BD OFICIAL" numFmtId="0">
      <sharedItems containsString="0" containsBlank="1" containsNumber="1" containsInteger="1" minValue="0" maxValue="0"/>
    </cacheField>
    <cacheField name="VALIDACIÓN SUBSIDIO DIARIO FASE LECTIVA (Si el curso tiene o no este subsidio en BD OFICIAL)" numFmtId="0">
      <sharedItems containsString="0" containsBlank="1" containsNumber="1" containsInteger="1" minValue="0" maxValue="0"/>
    </cacheField>
    <cacheField name="VALIDACIÓN SUBSIDIO CUIDADOS  (Si el curso tiene o no este subsidio en BD OFICIAL)" numFmtId="0">
      <sharedItems containsString="0" containsBlank="1" containsNumber="1" containsInteger="1" minValue="0" maxValue="0"/>
    </cacheField>
    <cacheField name="VALIDACIÓN SUBSIDIO DE HERRAMIENTAS   (Si el curso tiene o no este subsidio en BD OFICIAL)" numFmtId="0">
      <sharedItems containsString="0" containsBlank="1" containsNumber="1" containsInteger="1" minValue="0" maxValue="0"/>
    </cacheField>
    <cacheField name="VALIDACIÓN CONVOCATORIA SEGÚN BD OFICIAL" numFmtId="0">
      <sharedItems containsString="0" containsBlank="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String="0" containsBlank="1" containsNumber="1" containsInteger="1" minValue="0" maxValue="0"/>
    </cacheField>
    <cacheField name="VALIDACIÓN N°DÍAS FL ENTRE N° PRESENTADO  POR EL OTEC Y LO QUE INDICA LA  BD OFICIAL" numFmtId="1">
      <sharedItems containsString="0" containsBlank="1" containsNumber="1" containsInteger="1" minValue="0" maxValue="1"/>
    </cacheField>
    <cacheField name="DIFERENCIA ENTRE VC PRESENTADO POR EL OTEC Y EL QUE CORRESPONDE  SEGÚN VHA PRESENTADO POR EL OTEC Y EL CUPO Y HORAS DE BD OFICIAL" numFmtId="1">
      <sharedItems containsString="0" containsBlank="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0"/>
    </cacheField>
    <cacheField name="VALIDACIÓN VHA SEGÚN TRAMO DE CURSO EN BD OFICIAL" numFmtId="1">
      <sharedItems containsString="0" containsBlank="1" containsNumber="1" containsInteger="1" minValue="0" maxValue="1"/>
    </cacheField>
    <cacheField name="VALIDACIÓN VALOR CAPACITACIÓN" numFmtId="1">
      <sharedItems containsString="0" containsBlank="1" containsNumber="1" containsInteger="1" minValue="0" maxValue="0"/>
    </cacheField>
    <cacheField name="VALIDACIÓN VALOR TOTAL SUBSIDIO FASE LECTIVA (Comparación entre cantidad presentada por el OTEC y BD Oficial)" numFmtId="1">
      <sharedItems containsString="0" containsBlank="1" containsNumber="1" containsInteger="1" minValue="0" maxValue="1"/>
    </cacheField>
    <cacheField name="VALIDACIÓN VALOR SUBSIDIO CUIDADO " numFmtId="1">
      <sharedItems containsString="0" containsBlank="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String="0" containsBlank="1" containsNumber="1" containsInteger="1" minValue="0" maxValue="0"/>
    </cacheField>
    <cacheField name="VALIDACIÓN TOTAL SUB PARA CERT LICENCIAS" numFmtId="1">
      <sharedItems containsString="0" containsBlank="1" containsNumber="1" containsInteger="1" minValue="0" maxValue="0"/>
    </cacheField>
    <cacheField name="VALIDACIÓN VALOR TOTAL CURSO" numFmtId="1">
      <sharedItems containsString="0" containsBlank="1" containsNumber="1" containsInteger="1" minValue="0" maxValue="0"/>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String="0" containsBlank="1" containsNumber="1" containsInteger="1" minValue="0" maxValue="1"/>
    </cacheField>
    <cacheField name="¿TIENE EXPERIENCIA?" numFmtId="1">
      <sharedItems containsBlank="1"/>
    </cacheField>
    <cacheField name="VALIDACIÓN NOTA EXPERIENCIA OFERENTE" numFmtId="1">
      <sharedItems containsBlank="1" containsMixedTypes="1" containsNumber="1" containsInteger="1" minValue="0" maxValue="0"/>
    </cacheField>
    <cacheField name="¿TIENE MULTAS?" numFmtId="1">
      <sharedItems containsBlank="1"/>
    </cacheField>
    <cacheField name="VALIDACIÓN COMPORTAMIENTO ANTERIOR " numFmtId="1">
      <sharedItems containsBlank="1" containsMixedTypes="1" containsNumber="1" containsInteger="1" minValue="0" maxValue="0"/>
    </cacheField>
    <cacheField name="NOTA EXPERIENCIA" numFmtId="0">
      <sharedItems containsBlank="1" containsMixedTypes="1" containsNumber="1" minValue="0.1" maxValue="0.70000000000000007"/>
    </cacheField>
    <cacheField name="NOTA COMPORTAMIENTO" numFmtId="0">
      <sharedItems containsBlank="1" containsMixedTypes="1" containsNumber="1" minValue="0.5" maxValue="0.70000000000000007"/>
    </cacheField>
    <cacheField name="¿TIENE PF?" numFmtId="1">
      <sharedItems containsBlank="1"/>
    </cacheField>
    <cacheField name="NOTA PROPUESTA FORMATIVA A NIVEL DE PLAN 7.4.2( 35%)" numFmtId="1">
      <sharedItems containsString="0" containsBlank="1" containsNumber="1" containsInteger="1" minValue="0" maxValue="7"/>
    </cacheField>
    <cacheField name="NOTA PROPUESTA FORMATIVA A NIVEL DE MODULOS 7.4.3 (65%)" numFmtId="1">
      <sharedItems containsString="0" containsBlank="1" containsNumber="1" containsInteger="1" minValue="0" maxValue="7"/>
    </cacheField>
    <cacheField name="NOTA  EVALUACIÓN PROPUESTA FORMATIVA (45%)" numFmtId="1">
      <sharedItems containsBlank="1" containsMixedTypes="1" containsNumber="1" containsInteger="1" minValue="0" maxValue="7"/>
    </cacheField>
    <cacheField name="NOTA METODOLOGÍA (55%)" numFmtId="3">
      <sharedItems containsBlank="1" containsMixedTypes="1" containsNumber="1" minValue="6" maxValue="7.0000000000000009"/>
    </cacheField>
    <cacheField name="NOTA EVALUACIÓN TÉCNICA" numFmtId="168">
      <sharedItems containsBlank="1" containsMixedTypes="1" containsNumber="1" minValue="6" maxValue="7.0000000000000009"/>
    </cacheField>
    <cacheField name="VHA DEL CURSO A CONSIDERAR EN EVA EC" numFmtId="0">
      <sharedItems containsString="0" containsBlank="1" containsNumber="1" containsInteger="1" minValue="5000" maxValue="7434"/>
    </cacheField>
    <cacheField name="MENOR VHA OFERTADA SEGÚN CÓDIGO" numFmtId="0">
      <sharedItems containsString="0" containsBlank="1" containsNumber="1" containsInteger="1" minValue="5000" maxValue="7434"/>
    </cacheField>
    <cacheField name="NOTA EV ECONÓMICA" numFmtId="168">
      <sharedItems containsBlank="1" containsMixedTypes="1" containsNumber="1" minValue="6.3" maxValue="7"/>
    </cacheField>
    <cacheField name="VALIDACIÓN NOTA ECONÓMICA" numFmtId="0">
      <sharedItems containsBlank="1"/>
    </cacheField>
    <cacheField name="REVISIÓN PREVIA NOTA FINAL" numFmtId="0">
      <sharedItems containsBlank="1"/>
    </cacheField>
    <cacheField name="NOTA FINAL DEL CURSO SENCE" numFmtId="0">
      <sharedItems containsBlank="1" containsMixedTypes="1" containsNumber="1" minValue="6" maxValue="7"/>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ontainsMixedTypes="1" containsNumber="1" minValue="6.4" maxValue="7"/>
    </cacheField>
    <cacheField name="¿TIENE MAYOR NOTA FINAL CÓDIGO CURSO?" numFmtId="0">
      <sharedItems containsBlank="1"/>
    </cacheField>
    <cacheField name=" MAYOR NOTA PROPUESTA TÉCNICA" numFmtId="0">
      <sharedItems containsBlank="1" containsMixedTypes="1" containsNumber="1" minValue="7.0000000000000009" maxValue="7.0000000000000009"/>
    </cacheField>
    <cacheField name="¿TIENE MAYOR NOTA PROPUESTA TÉCNICA?" numFmtId="0">
      <sharedItems containsBlank="1"/>
    </cacheField>
    <cacheField name="MAYOR  NOTA COMPORTAMIENTO ANTERIOR" numFmtId="0">
      <sharedItems containsBlank="1" containsMixedTypes="1" containsNumber="1" containsInteger="1" minValue="7" maxValue="7"/>
    </cacheField>
    <cacheField name="¿TIENE  MAYOR NOTA COMPORTAMIENTO ANTERIOR?" numFmtId="0">
      <sharedItems containsBlank="1"/>
    </cacheField>
    <cacheField name="MAYOR NOTA EXPERIENCIA " numFmtId="168">
      <sharedItems containsBlank="1" containsMixedTypes="1" containsNumber="1" containsInteger="1" minValue="1" maxValue="7"/>
    </cacheField>
    <cacheField name="¿TIENE  MAYOR NOTA EXPERIENCIA ?" numFmtId="0">
      <sharedItems containsBlank="1"/>
    </cacheField>
    <cacheField name="VHA DEL CURSO APROBADO EN EXPERIENCIA" numFmtId="0">
      <sharedItems containsBlank="1" containsMixedTypes="1" containsNumber="1" containsInteger="1" minValue="5075" maxValue="7434"/>
    </cacheField>
    <cacheField name="MENOR VHA DE CURSO APROBADO EN EXPERIENCIA" numFmtId="0">
      <sharedItems containsBlank="1" containsMixedTypes="1" containsNumber="1" containsInteger="1" minValue="5075" maxValue="7434"/>
    </cacheField>
    <cacheField name="¿TIENE MENOR VALOR HORA ENTRE LOS CURSO APROBADOS?" numFmtId="0">
      <sharedItems containsBlank="1"/>
    </cacheField>
    <cacheField name="POCENTAJE DE MULTAS PONDERADA" numFmtId="172">
      <sharedItems containsBlank="1" containsMixedTypes="1" containsNumber="1" minValue="0" maxValue="0.67164179104477606"/>
    </cacheField>
    <cacheField name="MENOR PORCENTAJE COMPORTAMIENTO" numFmtId="0">
      <sharedItems containsBlank="1" containsMixedTypes="1" containsNumber="1" minValue="0" maxValue="0.67164179104477606"/>
    </cacheField>
    <cacheField name="¿TIENE MENOS PORCENTAJE COMPORTAMIENTO?" numFmtId="0">
      <sharedItems containsBlank="1"/>
    </cacheField>
    <cacheField name="CURSOS " numFmtId="0">
      <sharedItems containsString="0" containsBlank="1" containsNumber="1" containsInteger="1" minValue="0" maxValue="125"/>
    </cacheField>
    <cacheField name="MAYOR NÚMERO CURSOS" numFmtId="0">
      <sharedItems containsString="0" containsBlank="1" containsNumber="1" containsInteger="1" minValue="0" maxValue="125"/>
    </cacheField>
    <cacheField name="TIENE MAYOR NÚMERO CURSOS?" numFmtId="0">
      <sharedItems containsBlank="1"/>
    </cacheField>
    <cacheField name="OBSERVACIONES OTIC" numFmtId="0">
      <sharedItems containsString="0" containsBlank="1" containsNumber="1" containsInteger="1" minValue="0" maxValue="0"/>
    </cacheField>
    <cacheField name="OBSERVACIONES SENCE" numFmtId="0">
      <sharedItems containsBlank="1"/>
    </cacheField>
    <cacheField name="RESPUESTA OBS OTIC" numFmtId="0">
      <sharedItems containsNonDate="0" containsString="0" containsBlank="1"/>
    </cacheField>
    <cacheField name="SENCE" numFmtId="0">
      <sharedItems containsNonDate="0" containsString="0" containsBlank="1"/>
    </cacheField>
    <cacheField name="ADJUDICA" numFmtId="0">
      <sharedItems containsBlank="1"/>
    </cacheField>
    <cacheField name="OBSERVACIÓN IMPUGNACIÓN"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873.656147569447" createdVersion="8" refreshedVersion="8" minRefreshableVersion="3" recordCount="51" xr:uid="{76FE10C5-9557-4297-B30F-BAEF6A39C251}">
  <cacheSource type="worksheet">
    <worksheetSource ref="A1:EP169" sheet="4 Planilla de revisión"/>
  </cacheSource>
  <cacheFields count="146">
    <cacheField name="CODIGO SENCE" numFmtId="0">
      <sharedItems containsString="0" containsBlank="1" containsNumber="1" containsInteger="1" minValue="14279" maxValue="14626" count="15">
        <n v="14385"/>
        <n v="14386"/>
        <n v="14387"/>
        <n v="14388"/>
        <n v="14389"/>
        <n v="14337"/>
        <n v="14339"/>
        <n v="14626"/>
        <n v="14336"/>
        <n v="14280"/>
        <n v="14283"/>
        <n v="14281"/>
        <n v="14279"/>
        <n v="14384"/>
        <m/>
      </sharedItems>
    </cacheField>
    <cacheField name="OTIC" numFmtId="0">
      <sharedItems containsBlank="1"/>
    </cacheField>
    <cacheField name="AÑO" numFmtId="0">
      <sharedItems containsString="0" containsBlank="1" containsNumber="1" containsInteger="1" minValue="2025" maxValue="2025"/>
    </cacheField>
    <cacheField name="ASIGNACIÓN" numFmtId="0">
      <sharedItems containsBlank="1"/>
    </cacheField>
    <cacheField name="RUT ENTIDAD  REQUIRENTE" numFmtId="0">
      <sharedItems containsBlank="1"/>
    </cacheField>
    <cacheField name="NOMBRE ENTIDAD REQUIRENTE " numFmtId="0">
      <sharedItems containsBlank="1"/>
    </cacheField>
    <cacheField name="RUT ENTIDAD BENEFICIARIA EN CASO DE MANDATO" numFmtId="0">
      <sharedItems containsBlank="1"/>
    </cacheField>
    <cacheField name="NOMBRE DE ENTIDAD BENEFICIARIA EN CASO DE MANDATO" numFmtId="0">
      <sharedItems containsBlank="1"/>
    </cacheField>
    <cacheField name="NOMBRE DEL CURSO (PLAN FORMATIVO)" numFmtId="0">
      <sharedItems containsBlank="1"/>
    </cacheField>
    <cacheField name="CODIGO DEL CURSO (PLAN FORMATIVO )" numFmtId="0">
      <sharedItems containsBlank="1"/>
    </cacheField>
    <cacheField name="NOMBRE PLAN (ES) TRANSVERSAL(ES)" numFmtId="0">
      <sharedItems containsBlank="1" containsMixedTypes="1" containsNumber="1" containsInteger="1" minValue="0" maxValue="0"/>
    </cacheField>
    <cacheField name="CODIGO PLAN (ES) TRANSVERSAL(ES)" numFmtId="0">
      <sharedItems containsBlank="1"/>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0"/>
    </cacheField>
    <cacheField name="COMUNA" numFmtId="0">
      <sharedItems containsBlank="1"/>
    </cacheField>
    <cacheField name="NOMBRE POBLACIÓN OBJETIVO" numFmtId="0">
      <sharedItems containsBlank="1"/>
    </cacheField>
    <cacheField name="MODALIDAD DEL CURSO " numFmtId="0">
      <sharedItems containsBlank="1"/>
    </cacheField>
    <cacheField name="TIPO SALIDA (DEPENDIENTE O INDEPENDIENTE)" numFmtId="0">
      <sharedItems containsBlank="1"/>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14" maxValue="20"/>
    </cacheField>
    <cacheField name=" HORAS CURSO (PLAN FORMATIVO 1 )" numFmtId="0">
      <sharedItems containsString="0" containsBlank="1" containsNumber="1" containsInteger="1" minValue="0" maxValue="260"/>
    </cacheField>
    <cacheField name=" HORAS PLAN(ES) FORMATIVO(OS) 2" numFmtId="0">
      <sharedItems containsString="0" containsBlank="1" containsNumber="1" containsInteger="1" minValue="0" maxValue="12"/>
    </cacheField>
    <cacheField name="TOTAL HORAS " numFmtId="0">
      <sharedItems containsString="0" containsBlank="1" containsNumber="1" containsInteger="1" minValue="24" maxValue="272"/>
    </cacheField>
    <cacheField name="HORAS DIARIAS" numFmtId="0">
      <sharedItems containsString="0" containsBlank="1" containsNumber="1" containsInteger="1" minValue="4" maxValue="8"/>
    </cacheField>
    <cacheField name="SUBSIDIO DIARIO FASE LECTIVA (SI/NO)" numFmtId="0">
      <sharedItems containsBlank="1"/>
    </cacheField>
    <cacheField name="SUBSIDIO CUIDADOS" numFmtId="0">
      <sharedItems containsBlank="1"/>
    </cacheField>
    <cacheField name="SUBSIDIO DE HERRAMIENTAS  (SI/NO)" numFmtId="0">
      <sharedItems containsBlank="1"/>
    </cacheField>
    <cacheField name="APRENDIZAJES ESPERADOS (SOLO PARA CURSOS SIN PLAN FORMATIVO)" numFmtId="0">
      <sharedItems containsBlank="1" containsMixedTypes="1" containsNumber="1" containsInteger="1" minValue="0" maxValue="0" longText="1"/>
    </cacheField>
    <cacheField name="DESCRIPCIÓN POBLACION OBJETIVO" numFmtId="0">
      <sharedItems containsBlank="1" longText="1"/>
    </cacheField>
    <cacheField name="LICENCIA HABILITANTE  (SI/NO)" numFmtId="0">
      <sharedItems containsBlank="1"/>
    </cacheField>
    <cacheField name="TIPO LICENCIA HABILITANTE" numFmtId="0">
      <sharedItems containsBlank="1" containsMixedTypes="1" containsNumber="1" containsInteger="1" minValue="0" maxValue="0"/>
    </cacheField>
    <cacheField name="CONVOCATORIA" numFmtId="0">
      <sharedItems containsBlank="1"/>
    </cacheField>
    <cacheField name="DIAS FL" numFmtId="0">
      <sharedItems containsString="0" containsBlank="1" containsNumber="1" containsInteger="1" minValue="6" maxValue="68"/>
    </cacheField>
    <cacheField name="TRAMO" numFmtId="0">
      <sharedItems containsString="0" containsBlank="1" containsNumber="1" containsInteger="1" minValue="2" maxValue="3"/>
    </cacheField>
    <cacheField name="RUTOTEC" numFmtId="1">
      <sharedItems containsBlank="1"/>
    </cacheField>
    <cacheField name="NOMBRE OTEC" numFmtId="0">
      <sharedItems containsBlank="1"/>
    </cacheField>
    <cacheField name="DURACIÓN TOTAL DEL CURSO EN HORAS" numFmtId="0">
      <sharedItems containsString="0" containsBlank="1" containsNumber="1" containsInteger="1" minValue="24" maxValue="272"/>
    </cacheField>
    <cacheField name="DURACIÓN TOTAL DEL CURSO EN DIAS" numFmtId="0">
      <sharedItems containsString="0" containsBlank="1" containsNumber="1" containsInteger="1" minValue="6" maxValue="68"/>
    </cacheField>
    <cacheField name="VALOR HORA ALUMNO CAPACITACIÓN" numFmtId="3">
      <sharedItems containsString="0" containsBlank="1" containsNumber="1" containsInteger="1" minValue="5000" maxValue="7434"/>
    </cacheField>
    <cacheField name="VALOR ALUMNO SUBSIDIO ÚTILES, INSUMO  Y HERRAMIENTAS" numFmtId="3">
      <sharedItems containsString="0" containsBlank="1" containsNumber="1" containsInteger="1" minValue="0" maxValue="250000"/>
    </cacheField>
    <cacheField name="VALOR ALUMNO SUBSIDIO PARA INSTRUMENTO HABILITANTE Y/O REFERENCIAL" numFmtId="3">
      <sharedItems containsString="0" containsBlank="1" containsNumber="1" containsInteger="1" minValue="0" maxValue="250000"/>
    </cacheField>
    <cacheField name="VALOR CAPACITACIÓN" numFmtId="3">
      <sharedItems containsString="0" containsBlank="1" containsNumber="1" containsInteger="1" minValue="2753136" maxValue="33304320"/>
    </cacheField>
    <cacheField name="VALOR TOTAL SUBSIDIO DIARIO" numFmtId="3">
      <sharedItems containsString="0" containsBlank="1" containsNumber="1" containsInteger="1" minValue="432000" maxValue="3808000"/>
    </cacheField>
    <cacheField name="VALOR TOTAL SUBSIDIO ÚTILES, INSUMO Y HERRAMIENTAS" numFmtId="3">
      <sharedItems containsString="0" containsBlank="1" containsNumber="1" containsInteger="1" minValue="0" maxValue="350000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3500000"/>
    </cacheField>
    <cacheField name="VALOR TOTAL DEL CURSO" numFmtId="3">
      <sharedItems containsString="0" containsBlank="1" containsNumber="1" containsInteger="1" minValue="4085136" maxValue="35544320"/>
    </cacheField>
    <cacheField name="ADMISIBILIDAD DE OFERTA-CURSO (SI/NO) Numeral 7.1.2 Bases Administrativas" numFmtId="0">
      <sharedItems containsBlank="1" count="3">
        <s v="SI"/>
        <s v="NO"/>
        <m/>
      </sharedItems>
    </cacheField>
    <cacheField name="MOTIVO DEL RECHAZO" numFmtId="0">
      <sharedItems containsBlank="1" containsMixedTypes="1" containsNumber="1" containsInteger="1" minValue="0" maxValue="0" longText="1"/>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7"/>
    </cacheField>
    <cacheField name="7.4.2.2                               Se identifican los requisistos de ingreso del participante al plan formativo. (50 %)" numFmtId="0">
      <sharedItems containsString="0" containsBlank="1" containsNumber="1" containsInteger="1" minValue="0" maxValue="7"/>
    </cacheField>
    <cacheField name="7.4.3.1                     Relación entre los componentes del módulo propuesto (15%)" numFmtId="0">
      <sharedItems containsString="0" containsBlank="1" containsNumber="1" containsInteger="1" minValue="0" maxValue="7"/>
    </cacheField>
    <cacheField name="7.4.3.2                      Relación de la competencia y el nombre del módulo se relaciona con la competencia y el nombre del plan formativo (25%)" numFmtId="0">
      <sharedItems containsString="0" containsBlank="1" containsNumber="1" containsInteger="1" minValue="0" maxValue="7"/>
    </cacheField>
    <cacheField name="7.4.3.3     Relación de los aprendizajes esperados del módulo con la competencia del módulo. (20%)" numFmtId="0">
      <sharedItems containsString="0" containsBlank="1" containsNumber="1" containsInteger="1" minValue="0" maxValue="7"/>
    </cacheField>
    <cacheField name="7.4.3.4                          Los criterios de evaluación permiten evidenciar los aprendizajes esperados de cada módulo. (25 %)" numFmtId="0">
      <sharedItems containsString="0" containsBlank="1" containsNumber="1" containsInteger="1" minValue="0" maxValue="7"/>
    </cacheField>
    <cacheField name="7.4.3.5                                         Los contenidos abordados permiten desarrollar los aprendizajes esperados de cada módulo. (15%)" numFmtId="0">
      <sharedItems containsString="0" containsBlank="1" containsNumber="1" containsInteger="1" minValue="0" maxValue="7"/>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minValue="0" maxValue="7"/>
    </cacheField>
    <cacheField name="8                 NOTA FINAL" numFmtId="171">
      <sharedItems containsString="0" containsBlank="1" containsNumber="1" minValue="0" maxValue="7"/>
    </cacheField>
    <cacheField name="CURSO PREADJUDICADO (SI/NO)" numFmtId="0">
      <sharedItems containsBlank="1"/>
    </cacheField>
    <cacheField name="Nombre encargado del curso en OTEC" numFmtId="0">
      <sharedItems containsBlank="1"/>
    </cacheField>
    <cacheField name="Email  encargado del curso en OTEC" numFmtId="0">
      <sharedItems containsBlank="1"/>
    </cacheField>
    <cacheField name="Teléfono  encargado del curso en OTEC" numFmtId="0">
      <sharedItems containsString="0" containsBlank="1" containsNumber="1" containsInteger="1" minValue="93454013" maxValue="995163347"/>
    </cacheField>
    <cacheField name="Dirección (Sede donde se imparte el curso)" numFmtId="0">
      <sharedItems containsBlank="1"/>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longText="1"/>
    </cacheField>
    <cacheField name="VALIDACIÓN LÍNEA SEGÚN BD OFICIAL" numFmtId="1">
      <sharedItems containsString="0" containsBlank="1" containsNumber="1" containsInteger="1" minValue="0" maxValue="0"/>
    </cacheField>
    <cacheField name="VALIDACIÓN CÓDIGOS PLAN FORMATIVO 1 SEGÚN BD OFICIAL" numFmtId="1">
      <sharedItems containsString="0" containsBlank="1" containsNumber="1" containsInteger="1" minValue="0" maxValue="0"/>
    </cacheField>
    <cacheField name="VALIDACIÓN DE CÓDIGO(S) PLAN (ES) TRANSVERSAL(ES) SEGÚN BD OFICIAL" numFmtId="1">
      <sharedItems containsString="0" containsBlank="1" containsNumber="1" containsInteger="1" minValue="0" maxValue="0"/>
    </cacheField>
    <cacheField name="VALIDACIÓN COMUNA SEGÚN BD OFICIAL" numFmtId="0">
      <sharedItems containsString="0" containsBlank="1" containsNumber="1" containsInteger="1" minValue="0" maxValue="0"/>
    </cacheField>
    <cacheField name="VALIDACIÓN NOMBRE POBLACIÓN OBJETIVO SEGÚN BD OFICIAL" numFmtId="0">
      <sharedItems containsString="0" containsBlank="1" containsNumber="1" containsInteger="1" minValue="0" maxValue="0"/>
    </cacheField>
    <cacheField name="VALIDACIÓN TIPO SALIDA (DEPENDIENTE O INDEPENDIENTE) SEGÚN BD OFICIAL" numFmtId="0">
      <sharedItems containsString="0" containsBlank="1" containsNumber="1" containsInteger="1" minValue="0" maxValue="0"/>
    </cacheField>
    <cacheField name="VALIDACIÓN CUPO SEGÚN BD OFICIAL" numFmtId="0">
      <sharedItems containsString="0" containsBlank="1" containsNumber="1" containsInteger="1" minValue="0" maxValue="0"/>
    </cacheField>
    <cacheField name="VALIDACIÓN TOTAL HORAS  CURSO ENTRE N° PRESENTADO  POR EL OTEC Y LO QUE INDICA LA  BD OFICIAL" numFmtId="0">
      <sharedItems containsString="0" containsBlank="1" containsNumber="1" containsInteger="1" minValue="0" maxValue="0"/>
    </cacheField>
    <cacheField name="VALIDACIÓN HORAS DIARIAS SEGÚN BD OFICIAL" numFmtId="0">
      <sharedItems containsString="0" containsBlank="1" containsNumber="1" containsInteger="1" minValue="0" maxValue="0"/>
    </cacheField>
    <cacheField name="VALIDACIÓN SUBSIDIO DIARIO FASE LECTIVA (Si el curso tiene o no este subsidio en BD OFICIAL)" numFmtId="0">
      <sharedItems containsString="0" containsBlank="1" containsNumber="1" containsInteger="1" minValue="0" maxValue="0"/>
    </cacheField>
    <cacheField name="VALIDACIÓN SUBSIDIO CUIDADOS  (Si el curso tiene o no este subsidio en BD OFICIAL)" numFmtId="0">
      <sharedItems containsString="0" containsBlank="1" containsNumber="1" containsInteger="1" minValue="0" maxValue="0"/>
    </cacheField>
    <cacheField name="VALIDACIÓN SUBSIDIO DE HERRAMIENTAS   (Si el curso tiene o no este subsidio en BD OFICIAL)" numFmtId="0">
      <sharedItems containsString="0" containsBlank="1" containsNumber="1" containsInteger="1" minValue="0" maxValue="0"/>
    </cacheField>
    <cacheField name="VALIDACIÓN CONVOCATORIA SEGÚN BD OFICIAL" numFmtId="0">
      <sharedItems containsString="0" containsBlank="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String="0" containsBlank="1" containsNumber="1" containsInteger="1" minValue="0" maxValue="0"/>
    </cacheField>
    <cacheField name="VALIDACIÓN N°DÍAS FL ENTRE N° PRESENTADO  POR EL OTEC Y LO QUE INDICA LA  BD OFICIAL" numFmtId="1">
      <sharedItems containsString="0" containsBlank="1" containsNumber="1" containsInteger="1" minValue="0" maxValue="1"/>
    </cacheField>
    <cacheField name="DIFERENCIA ENTRE VC PRESENTADO POR EL OTEC Y EL QUE CORRESPONDE  SEGÚN VHA PRESENTADO POR EL OTEC Y EL CUPO Y HORAS DE BD OFICIAL" numFmtId="1">
      <sharedItems containsString="0" containsBlank="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0"/>
    </cacheField>
    <cacheField name="VALIDACIÓN VHA SEGÚN TRAMO DE CURSO EN BD OFICIAL" numFmtId="1">
      <sharedItems containsString="0" containsBlank="1" containsNumber="1" containsInteger="1" minValue="0" maxValue="1"/>
    </cacheField>
    <cacheField name="VALIDACIÓN VALOR CAPACITACIÓN" numFmtId="1">
      <sharedItems containsString="0" containsBlank="1" containsNumber="1" containsInteger="1" minValue="0" maxValue="0"/>
    </cacheField>
    <cacheField name="VALIDACIÓN VALOR TOTAL SUBSIDIO FASE LECTIVA (Comparación entre cantidad presentada por el OTEC y BD Oficial)" numFmtId="1">
      <sharedItems containsString="0" containsBlank="1" containsNumber="1" containsInteger="1" minValue="0" maxValue="1"/>
    </cacheField>
    <cacheField name="VALIDACIÓN VALOR SUBSIDIO CUIDADO " numFmtId="1">
      <sharedItems containsString="0" containsBlank="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String="0" containsBlank="1" containsNumber="1" containsInteger="1" minValue="0" maxValue="0"/>
    </cacheField>
    <cacheField name="VALIDACIÓN TOTAL SUB PARA CERT LICENCIAS" numFmtId="1">
      <sharedItems containsString="0" containsBlank="1" containsNumber="1" containsInteger="1" minValue="0" maxValue="0"/>
    </cacheField>
    <cacheField name="VALIDACIÓN VALOR TOTAL CURSO" numFmtId="1">
      <sharedItems containsString="0" containsBlank="1" containsNumber="1" containsInteger="1" minValue="0" maxValue="0"/>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String="0" containsBlank="1" containsNumber="1" containsInteger="1" minValue="0" maxValue="1"/>
    </cacheField>
    <cacheField name="¿TIENE EXPERIENCIA?" numFmtId="1">
      <sharedItems containsBlank="1"/>
    </cacheField>
    <cacheField name="VALIDACIÓN NOTA EXPERIENCIA OFERENTE" numFmtId="1">
      <sharedItems containsBlank="1" containsMixedTypes="1" containsNumber="1" containsInteger="1" minValue="0" maxValue="0"/>
    </cacheField>
    <cacheField name="¿TIENE MULTAS?" numFmtId="1">
      <sharedItems containsBlank="1"/>
    </cacheField>
    <cacheField name="VALIDACIÓN COMPORTAMIENTO ANTERIOR " numFmtId="1">
      <sharedItems containsBlank="1" containsMixedTypes="1" containsNumber="1" containsInteger="1" minValue="0" maxValue="0"/>
    </cacheField>
    <cacheField name="NOTA EXPERIENCIA" numFmtId="0">
      <sharedItems containsBlank="1" containsMixedTypes="1" containsNumber="1" minValue="0.1" maxValue="0.70000000000000007"/>
    </cacheField>
    <cacheField name="NOTA COMPORTAMIENTO" numFmtId="0">
      <sharedItems containsBlank="1" containsMixedTypes="1" containsNumber="1" minValue="0.5" maxValue="0.70000000000000007"/>
    </cacheField>
    <cacheField name="¿TIENE PF?" numFmtId="1">
      <sharedItems containsBlank="1"/>
    </cacheField>
    <cacheField name="NOTA PROPUESTA FORMATIVA A NIVEL DE PLAN 7.4.2( 35%)" numFmtId="1">
      <sharedItems containsString="0" containsBlank="1" containsNumber="1" containsInteger="1" minValue="0" maxValue="7"/>
    </cacheField>
    <cacheField name="NOTA PROPUESTA FORMATIVA A NIVEL DE MODULOS 7.4.3 (65%)" numFmtId="1">
      <sharedItems containsString="0" containsBlank="1" containsNumber="1" containsInteger="1" minValue="0" maxValue="7"/>
    </cacheField>
    <cacheField name="NOTA  EVALUACIÓN PROPUESTA FORMATIVA (45%)" numFmtId="1">
      <sharedItems containsBlank="1" containsMixedTypes="1" containsNumber="1" containsInteger="1" minValue="0" maxValue="7"/>
    </cacheField>
    <cacheField name="NOTA METODOLOGÍA (55%)" numFmtId="3">
      <sharedItems containsBlank="1" containsMixedTypes="1" containsNumber="1" minValue="6" maxValue="7.0000000000000009"/>
    </cacheField>
    <cacheField name="NOTA EVALUACIÓN TÉCNICA" numFmtId="168">
      <sharedItems containsBlank="1" containsMixedTypes="1" containsNumber="1" minValue="6" maxValue="7.0000000000000009"/>
    </cacheField>
    <cacheField name="VHA DEL CURSO A CONSIDERAR EN EVA EC" numFmtId="0">
      <sharedItems containsString="0" containsBlank="1" containsNumber="1" containsInteger="1" minValue="5000" maxValue="7434"/>
    </cacheField>
    <cacheField name="MENOR VHA OFERTADA SEGÚN CÓDIGO" numFmtId="0">
      <sharedItems containsString="0" containsBlank="1" containsNumber="1" containsInteger="1" minValue="5000" maxValue="7434"/>
    </cacheField>
    <cacheField name="NOTA EV ECONÓMICA" numFmtId="168">
      <sharedItems containsBlank="1" containsMixedTypes="1" containsNumber="1" minValue="6.3" maxValue="7"/>
    </cacheField>
    <cacheField name="VALIDACIÓN NOTA ECONÓMICA" numFmtId="0">
      <sharedItems containsBlank="1"/>
    </cacheField>
    <cacheField name="REVISIÓN PREVIA NOTA FINAL" numFmtId="0">
      <sharedItems containsBlank="1"/>
    </cacheField>
    <cacheField name="NOTA FINAL DEL CURSO SENCE" numFmtId="0">
      <sharedItems containsBlank="1" containsMixedTypes="1" containsNumber="1" minValue="6" maxValue="7"/>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ontainsMixedTypes="1" containsNumber="1" minValue="6.4" maxValue="7"/>
    </cacheField>
    <cacheField name="¿TIENE MAYOR NOTA FINAL CÓDIGO CURSO?" numFmtId="0">
      <sharedItems containsBlank="1"/>
    </cacheField>
    <cacheField name=" MAYOR NOTA PROPUESTA TÉCNICA" numFmtId="0">
      <sharedItems containsBlank="1" containsMixedTypes="1" containsNumber="1" minValue="7.0000000000000009" maxValue="7.0000000000000009"/>
    </cacheField>
    <cacheField name="¿TIENE MAYOR NOTA PROPUESTA TÉCNICA?" numFmtId="0">
      <sharedItems containsBlank="1"/>
    </cacheField>
    <cacheField name="MAYOR  NOTA COMPORTAMIENTO ANTERIOR" numFmtId="0">
      <sharedItems containsBlank="1" containsMixedTypes="1" containsNumber="1" containsInteger="1" minValue="7" maxValue="7"/>
    </cacheField>
    <cacheField name="¿TIENE  MAYOR NOTA COMPORTAMIENTO ANTERIOR?" numFmtId="0">
      <sharedItems containsBlank="1"/>
    </cacheField>
    <cacheField name="MAYOR NOTA EXPERIENCIA " numFmtId="168">
      <sharedItems containsBlank="1" containsMixedTypes="1" containsNumber="1" containsInteger="1" minValue="1" maxValue="7"/>
    </cacheField>
    <cacheField name="¿TIENE  MAYOR NOTA EXPERIENCIA ?" numFmtId="0">
      <sharedItems containsBlank="1" count="3">
        <s v="NO APLICA"/>
        <s v="SI"/>
        <m/>
      </sharedItems>
    </cacheField>
    <cacheField name="VHA DEL CURSO APROBADO EN EXPERIENCIA" numFmtId="0">
      <sharedItems containsBlank="1" containsMixedTypes="1" containsNumber="1" containsInteger="1" minValue="5075" maxValue="7434"/>
    </cacheField>
    <cacheField name="MENOR VHA DE CURSO APROBADO EN EXPERIENCIA" numFmtId="0">
      <sharedItems containsBlank="1" containsMixedTypes="1" containsNumber="1" containsInteger="1" minValue="5075" maxValue="7434"/>
    </cacheField>
    <cacheField name="¿TIENE MENOR VALOR HORA ENTRE LOS CURSO APROBADOS?" numFmtId="0">
      <sharedItems containsBlank="1"/>
    </cacheField>
    <cacheField name="POCENTAJE DE MULTAS PONDERADA" numFmtId="172">
      <sharedItems containsBlank="1" containsMixedTypes="1" containsNumber="1" minValue="0" maxValue="0.67164179104477606"/>
    </cacheField>
    <cacheField name="MENOR PORCENTAJE COMPORTAMIENTO" numFmtId="0">
      <sharedItems containsBlank="1" containsMixedTypes="1" containsNumber="1" minValue="0" maxValue="0.67164179104477606"/>
    </cacheField>
    <cacheField name="¿TIENE MENOS PORCENTAJE COMPORTAMIENTO?" numFmtId="0">
      <sharedItems containsBlank="1"/>
    </cacheField>
    <cacheField name="CURSOS " numFmtId="0">
      <sharedItems containsString="0" containsBlank="1" containsNumber="1" containsInteger="1" minValue="0" maxValue="125"/>
    </cacheField>
    <cacheField name="MAYOR NÚMERO CURSOS" numFmtId="0">
      <sharedItems containsString="0" containsBlank="1" containsNumber="1" containsInteger="1" minValue="0" maxValue="125"/>
    </cacheField>
    <cacheField name="TIENE MAYOR NÚMERO CURSOS?" numFmtId="0">
      <sharedItems containsBlank="1"/>
    </cacheField>
    <cacheField name="OBSERVACIONES OTIC" numFmtId="0">
      <sharedItems containsString="0" containsBlank="1" containsNumber="1" containsInteger="1" minValue="0" maxValue="0"/>
    </cacheField>
    <cacheField name="OBSERVACIONES SENCE" numFmtId="0">
      <sharedItems containsBlank="1"/>
    </cacheField>
    <cacheField name="RESPUESTA OBS OTIC" numFmtId="0">
      <sharedItems containsNonDate="0" containsString="0" containsBlank="1"/>
    </cacheField>
    <cacheField name="SENCE" numFmtId="0">
      <sharedItems containsNonDate="0" containsString="0" containsBlank="1"/>
    </cacheField>
    <cacheField name="ADJUDICA" numFmtId="0">
      <sharedItems containsBlank="1"/>
    </cacheField>
    <cacheField name="OBSERVACIÓN IMPUGNACIÓN"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9">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102946-0"/>
    <s v="CAPACITACIONES INNOVA PYMES LTDA"/>
    <n v="110"/>
    <n v="28"/>
    <n v="5075"/>
    <n v="0"/>
    <n v="0"/>
    <n v="8932000"/>
    <n v="1792000"/>
    <n v="0"/>
    <n v="0"/>
    <n v="0"/>
    <n v="1072400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075"/>
    <n v="5075"/>
    <n v="7"/>
    <s v="APROBADO"/>
    <s v="APROBADO"/>
    <n v="6.4"/>
    <s v="APROBADO"/>
    <s v="NO"/>
    <n v="6.6"/>
    <s v="NO"/>
    <s v="NO APLICA "/>
    <s v="NO"/>
    <s v="NO APLICA"/>
    <s v="NO APLICA"/>
    <s v="NO APLICA"/>
    <s v="NO APLICA"/>
    <s v=""/>
    <s v="NO APLICA"/>
    <s v="NO"/>
    <s v="NO APLICA"/>
    <s v="NO APLICA"/>
    <s v="NO"/>
    <n v="2"/>
    <n v="43"/>
    <s v="NO"/>
    <n v="0"/>
    <m/>
    <m/>
    <m/>
    <m/>
    <m/>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102946-0"/>
    <s v="CAPACITACIONES INNOVA PYMES LTDA"/>
    <n v="120"/>
    <n v="30"/>
    <n v="6373"/>
    <n v="0"/>
    <n v="0"/>
    <n v="10706640"/>
    <n v="1680000"/>
    <n v="0"/>
    <n v="0"/>
    <n v="0"/>
    <n v="12386640"/>
    <x v="0"/>
    <n v="0"/>
    <n v="1"/>
    <n v="7"/>
    <n v="0"/>
    <n v="0"/>
    <n v="0"/>
    <n v="0"/>
    <n v="0"/>
    <n v="0"/>
    <n v="0"/>
    <n v="7"/>
    <n v="7"/>
    <n v="7"/>
    <n v="7"/>
    <n v="7"/>
    <n v="7"/>
    <n v="6.4"/>
    <s v="SI"/>
    <s v="ALVARO CARLOS"/>
    <s v="a.avila@innovapymes.org"/>
    <n v="342358308"/>
    <s v="Montevideo 2550, Renca"/>
    <s v="Capacitar al participante para organizar, ejecutar y controlar actividades de movilización y distribución de cargas, aplicando normas de seguridad y procedimientos administrativos en entornos portuarios o industriales."/>
    <s v="Este curso entrega conocimientos técnicos y prácticos para movilizar cargas de forma segura y eficiente, incluyendo el uso de equipos de izaje, señalética manual, documentación de faena y evaluación del rendimiento operativo del turno"/>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SI"/>
    <n v="6.4"/>
    <s v="SI"/>
    <n v="7.0000000000000009"/>
    <s v="SI"/>
    <n v="7"/>
    <s v="SI"/>
    <n v="1"/>
    <s v="SI"/>
    <n v="6373"/>
    <n v="6373"/>
    <s v="SI"/>
    <n v="0"/>
    <n v="0"/>
    <s v="SI"/>
    <n v="2"/>
    <n v="2"/>
    <s v="SI"/>
    <n v="0"/>
    <m/>
    <m/>
    <m/>
    <s v="Adjudica"/>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102946-0"/>
    <s v="CAPACITACIONES INNOVA PYMES LTDA"/>
    <n v="240"/>
    <n v="60"/>
    <n v="6373"/>
    <n v="0"/>
    <n v="50000"/>
    <n v="21413280"/>
    <n v="3360000"/>
    <n v="0"/>
    <n v="0"/>
    <n v="700000"/>
    <n v="2547328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NO"/>
    <n v="7"/>
    <s v="NO"/>
    <s v="NO APLICA "/>
    <s v="NO"/>
    <s v="NO APLICA"/>
    <s v="NO APLICA"/>
    <s v="NO APLICA"/>
    <s v="NO APLICA"/>
    <s v=""/>
    <s v="NO APLICA"/>
    <s v="NO"/>
    <s v="NO APLICA"/>
    <s v="NO APLICA"/>
    <s v="NO"/>
    <n v="2"/>
    <n v="67"/>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102946-0"/>
    <s v="CAPACITACIONES INNOVA PYMES LTDA"/>
    <n v="80"/>
    <n v="20"/>
    <n v="6373"/>
    <n v="0"/>
    <n v="0"/>
    <n v="8157440"/>
    <n v="1280000"/>
    <n v="0"/>
    <n v="0"/>
    <n v="0"/>
    <n v="9437440"/>
    <x v="1"/>
    <s v="NUMERAL 6.1.2. ÍTEM 7 - EL OFERENTE NO PRESENTA LA ESTRUCTURA DE COSTOS PARA EL CURSO (ANEXO N° 3)."/>
    <n v="0"/>
    <n v="0"/>
    <n v="0"/>
    <n v="0"/>
    <n v="0"/>
    <n v="0"/>
    <n v="0"/>
    <n v="0"/>
    <n v="0"/>
    <n v="0"/>
    <n v="0"/>
    <n v="0"/>
    <n v="0"/>
    <n v="0"/>
    <n v="0"/>
    <n v="0"/>
    <s v="NO"/>
    <s v="ALVARO CARLOS"/>
    <s v="a.avila@innovapymes.org"/>
    <n v="342358308"/>
    <s v="Montevideo 2550,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2"/>
    <n v="125"/>
    <s v="NO"/>
    <n v="0"/>
    <m/>
    <m/>
    <m/>
    <m/>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460844-5"/>
    <s v="Servicios de Capacitación Caitec S.A."/>
    <n v="110"/>
    <n v="28"/>
    <n v="5075"/>
    <n v="0"/>
    <n v="0"/>
    <n v="8932000"/>
    <n v="1792000"/>
    <n v="0"/>
    <n v="0"/>
    <n v="0"/>
    <n v="1072400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5075"/>
    <n v="5075"/>
    <n v="7"/>
    <s v="APROBADO"/>
    <s v="APROBADO"/>
    <n v="6.4"/>
    <s v="APROBADO"/>
    <s v="NO"/>
    <n v="6.6"/>
    <s v="NO"/>
    <s v="NO APLICA "/>
    <s v="NO"/>
    <s v="NO APLICA"/>
    <s v="NO APLICA"/>
    <s v="NO APLICA"/>
    <s v="NO APLICA"/>
    <s v=""/>
    <s v="NO APLICA"/>
    <s v="NO"/>
    <s v="NO APLICA"/>
    <s v="NO APLICA"/>
    <s v="NO"/>
    <n v="43"/>
    <n v="43"/>
    <s v="SI"/>
    <n v="0"/>
    <m/>
    <m/>
    <m/>
    <m/>
    <m/>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460844-5"/>
    <s v="Servicios de Capacitación Caitec S.A."/>
    <n v="120"/>
    <n v="30"/>
    <n v="6373"/>
    <n v="0"/>
    <n v="0"/>
    <n v="10706640"/>
    <n v="1680000"/>
    <n v="0"/>
    <n v="0"/>
    <n v="0"/>
    <n v="12386640"/>
    <x v="1"/>
    <s v="NUMERAL 6.1.2. ÍTEM 6 - ERROR VALOR TOTAL DEL CURSO; OTEC ESTÁ CONSIDERANDO SUBSIDIO DE CUIDADO EN ANEXO 3, CUANDO NO ESTÁ CONTEMPLADO."/>
    <n v="0"/>
    <n v="0"/>
    <n v="0"/>
    <n v="0"/>
    <n v="0"/>
    <n v="0"/>
    <n v="0"/>
    <n v="0"/>
    <n v="0"/>
    <n v="0"/>
    <n v="0"/>
    <n v="0"/>
    <n v="0"/>
    <n v="0"/>
    <n v="0"/>
    <n v="0"/>
    <s v="NO"/>
    <s v="Osvaldo Sotomayor Baeza"/>
    <s v="gerencia@caitec.cl"/>
    <n v="722604254"/>
    <s v="Avenida La hacienda N° 1589,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43"/>
    <n v="2"/>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460844-5"/>
    <s v="Servicios de Capacitación Caitec S.A."/>
    <n v="80"/>
    <n v="20"/>
    <n v="6373"/>
    <n v="0"/>
    <n v="0"/>
    <n v="8157440"/>
    <n v="1280000"/>
    <n v="0"/>
    <n v="0"/>
    <n v="0"/>
    <n v="943744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6373"/>
    <n v="6373"/>
    <n v="7"/>
    <s v="APROBADO"/>
    <s v="APROBADO"/>
    <n v="6.4"/>
    <s v="APROBADO"/>
    <s v="NO"/>
    <n v="7"/>
    <s v="NO"/>
    <s v="NO APLICA "/>
    <s v="NO"/>
    <s v="NO APLICA"/>
    <s v="NO APLICA"/>
    <s v="NO APLICA"/>
    <s v="NO APLICA"/>
    <s v=""/>
    <s v="NO APLICA"/>
    <s v="NO"/>
    <s v="NO APLICA"/>
    <s v="NO APLICA"/>
    <s v="NO"/>
    <n v="43"/>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460844-5"/>
    <s v="Servicios de Capacitación Caitec S.A."/>
    <n v="272"/>
    <n v="68"/>
    <n v="5075"/>
    <n v="250000"/>
    <n v="250000"/>
    <n v="19325600"/>
    <n v="3808000"/>
    <n v="3500000"/>
    <n v="0"/>
    <n v="3500000"/>
    <n v="30133600"/>
    <x v="0"/>
    <n v="0"/>
    <n v="3"/>
    <n v="5"/>
    <n v="0"/>
    <n v="0"/>
    <n v="0"/>
    <n v="0"/>
    <n v="0"/>
    <n v="0"/>
    <n v="0"/>
    <n v="7"/>
    <n v="7"/>
    <n v="7"/>
    <n v="7"/>
    <n v="7"/>
    <n v="6.9"/>
    <n v="6.4"/>
    <s v="NO"/>
    <s v="Osvaldo Sotomayor Baeza"/>
    <s v="gerencia@caitec.cl"/>
    <n v="722604254"/>
    <s v="Avenida La hacienda N° 1589, Renca"/>
    <n v="0"/>
    <n v="0"/>
    <n v="0"/>
    <n v="0"/>
    <n v="0"/>
    <n v="0"/>
    <n v="0"/>
    <n v="0"/>
    <n v="0"/>
    <n v="0"/>
    <n v="0"/>
    <n v="0"/>
    <n v="0"/>
    <n v="0"/>
    <n v="0"/>
    <n v="0"/>
    <n v="0"/>
    <n v="0"/>
    <s v="SHMAN"/>
    <s v="SI"/>
    <s v="NO"/>
    <n v="0"/>
    <n v="0"/>
    <n v="0"/>
    <n v="0"/>
    <n v="0"/>
    <n v="0"/>
    <n v="0"/>
    <n v="0"/>
    <n v="0"/>
    <n v="0"/>
    <s v="SI"/>
    <n v="0"/>
    <s v="SI"/>
    <n v="0"/>
    <s v="SI"/>
    <n v="0"/>
    <n v="0.30000000000000004"/>
    <n v="0.5"/>
    <s v="SI"/>
    <n v="0"/>
    <n v="0"/>
    <n v="0"/>
    <n v="7.0000000000000009"/>
    <n v="7.0000000000000009"/>
    <n v="5075"/>
    <n v="5000"/>
    <n v="6.9"/>
    <s v="APROBADO"/>
    <s v="APROBADO"/>
    <n v="6.4"/>
    <s v="APROBADO"/>
    <s v="NO"/>
    <n v="7"/>
    <s v="NO"/>
    <s v="NO APLICA "/>
    <s v="NO"/>
    <s v="NO APLICA"/>
    <s v="NO APLICA"/>
    <s v="NO APLICA"/>
    <s v="NO APLICA"/>
    <s v=""/>
    <s v="NO APLICA"/>
    <s v="NO"/>
    <s v="NO APLICA"/>
    <s v="NO APLICA"/>
    <s v="NO"/>
    <n v="43"/>
    <n v="125"/>
    <s v="NO"/>
    <n v="0"/>
    <m/>
    <m/>
    <m/>
    <m/>
    <m/>
  </r>
  <r>
    <x v="5"/>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1"/>
    <n v="0"/>
    <s v="SSH"/>
    <s v="SI"/>
    <s v="NO"/>
    <n v="0"/>
    <n v="0"/>
    <n v="0"/>
    <n v="1"/>
    <n v="0"/>
    <n v="0"/>
    <n v="0"/>
    <n v="0"/>
    <n v="0"/>
    <n v="0"/>
    <s v="NO"/>
    <n v="1"/>
    <s v="SI"/>
    <s v="NO APLICA"/>
    <s v="SI"/>
    <s v="NO APLICA"/>
    <s v="NO APLICA"/>
    <s v="NO APLICA"/>
    <s v="SI"/>
    <n v="0"/>
    <n v="0"/>
    <s v="NO APLICA"/>
    <s v="NO APLICA"/>
    <s v="NO APLICA"/>
    <n v="6373"/>
    <n v="6373"/>
    <s v="NO APLICA"/>
    <s v="NO APLICA"/>
    <s v="NO APLICA"/>
    <s v="NO APLICA"/>
    <s v="NO APLICA"/>
    <s v="SI"/>
    <s v="NO APLICA"/>
    <s v="NO APLICA"/>
    <s v="NO APLICA "/>
    <s v="NO"/>
    <s v="NO APLICA"/>
    <s v="NO APLICA"/>
    <s v="NO APLICA"/>
    <s v="NO APLICA"/>
    <s v=""/>
    <s v="NO APLICA"/>
    <s v="NO"/>
    <s v="NO APLICA"/>
    <s v="NO APLICA"/>
    <s v="NO"/>
    <n v="89"/>
    <n v="89"/>
    <s v="SI"/>
    <n v="0"/>
    <m/>
    <m/>
    <m/>
    <m/>
    <m/>
  </r>
  <r>
    <x v="6"/>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s v="SI"/>
    <n v="7.0000000000000009"/>
    <s v="SI"/>
    <n v="7"/>
    <s v="SI"/>
    <n v="7"/>
    <s v="SI"/>
    <n v="6373"/>
    <n v="6373"/>
    <s v="SI"/>
    <n v="0"/>
    <n v="0"/>
    <s v="SI"/>
    <n v="89"/>
    <n v="89"/>
    <s v="SI"/>
    <n v="0"/>
    <m/>
    <m/>
    <m/>
    <m/>
    <m/>
  </r>
  <r>
    <x v="7"/>
    <s v="SOFOFA"/>
    <n v="2025"/>
    <s v="MANDATO"/>
    <s v="65181652-1"/>
    <s v="SOFOFA"/>
    <s v="70417500-0"/>
    <s v="CORPORACION DE CAPACITACION Y EMPLEO SOFOFA (LICEOS)"/>
    <s v="CURSO ESPECIAL CON SIMULADOR DE INMERSIÓN TOTAL CONDUCENTE A LICENCIA DE CONDUCTOR PROFESIONAL CLASE A-5"/>
    <s v="PF0621"/>
    <n v="0"/>
    <s v=""/>
    <n v="13"/>
    <n v="0"/>
    <s v="SANTIAGO"/>
    <s v="EMPRENDEDORES/AS INFORMALES O PERSONAS VULNERABLES PERTENECIENTES AL 80% MAS VULNERABLE"/>
    <s v="PRESENCIAL"/>
    <s v="DEPENDIENTE"/>
    <s v="01. LUNES - MAÑANA / 04. MARTES - MAÑANA / 07. MIÉRCOLES - MAÑANA / 10. JUEVES - MAÑANA / 13. VIERNES - MAÑANA"/>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57"/>
    <n v="3"/>
    <s v="65088432-9"/>
    <s v="corporación Nueva Ciaspo"/>
    <n v="225"/>
    <n v="57"/>
    <n v="7200"/>
    <n v="0"/>
    <n v="50000"/>
    <n v="24300000"/>
    <n v="3420000"/>
    <n v="0"/>
    <n v="0"/>
    <n v="750000"/>
    <n v="28470000"/>
    <x v="0"/>
    <n v="0"/>
    <n v="7"/>
    <n v="7"/>
    <n v="0"/>
    <n v="0"/>
    <n v="0"/>
    <n v="0"/>
    <n v="0"/>
    <n v="0"/>
    <n v="0"/>
    <n v="7"/>
    <n v="7"/>
    <n v="7"/>
    <n v="7"/>
    <n v="7"/>
    <n v="7"/>
    <n v="7"/>
    <s v="SI"/>
    <s v="Marcela Guerrero Rojas"/>
    <s v="mliriag@gmail.com"/>
    <n v="950110805"/>
    <s v="Dieciocho 182, Santiago"/>
    <s v="Formar conductores profesionales capacitados para operar vehículos motorizados articulados o combinados, aplicando técnicas de conducción segura, normativa vigente y procedimientos de carga y descarga mediante simulación inmersiva."/>
    <s v="Este curso entrega conocimientos teóricos y prácticos para obtener la Licencia Clase A-5, utilizando simuladores de inmersión total que recrean condiciones reales de conducción. Incluye normativa de tránsito, seguridad vial, mantenimiento preventivo y maniobras operativas en transporte de carga"/>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7200"/>
    <n v="7200"/>
    <n v="7"/>
    <s v="APROBADO"/>
    <s v="APROBADO"/>
    <n v="7"/>
    <s v="APROBADO"/>
    <s v="NO"/>
    <n v="7"/>
    <s v="SI"/>
    <n v="7.0000000000000009"/>
    <s v="SI"/>
    <n v="7"/>
    <s v="SI"/>
    <n v="7"/>
    <s v="SI"/>
    <n v="7200"/>
    <n v="7200"/>
    <s v="SI"/>
    <n v="0"/>
    <n v="0"/>
    <s v="SI"/>
    <n v="89"/>
    <n v="89"/>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476826-2"/>
    <s v="AUSO CAPACITACIONES SPA"/>
    <n v="272"/>
    <n v="68"/>
    <n v="5000"/>
    <n v="250000"/>
    <n v="250000"/>
    <n v="19040000"/>
    <n v="3808000"/>
    <n v="3500000"/>
    <n v="0"/>
    <n v="3500000"/>
    <n v="29848000"/>
    <x v="0"/>
    <n v="0"/>
    <n v="1"/>
    <n v="7"/>
    <n v="0"/>
    <n v="0"/>
    <n v="0"/>
    <n v="0"/>
    <n v="0"/>
    <n v="0"/>
    <n v="0"/>
    <n v="7"/>
    <n v="7"/>
    <n v="7"/>
    <n v="7"/>
    <n v="7"/>
    <n v="7"/>
    <n v="6.4"/>
    <s v="NO"/>
    <s v="CLAUDIA NUÑEZ"/>
    <s v="CLAUDIA.NUNEZ@AUSOCAPACITACIONES.CL"/>
    <n v="984199668"/>
    <s v="DOMINGO SANTA MARÍA # 392, Renca"/>
    <n v="0"/>
    <n v="0"/>
    <n v="0"/>
    <n v="0"/>
    <n v="0"/>
    <n v="0"/>
    <n v="0"/>
    <n v="0"/>
    <n v="0"/>
    <n v="0"/>
    <n v="0"/>
    <n v="0"/>
    <n v="0"/>
    <n v="0"/>
    <n v="0"/>
    <n v="0"/>
    <n v="0"/>
    <n v="0"/>
    <s v="SHMAN"/>
    <s v="SI"/>
    <s v="NO"/>
    <n v="0"/>
    <n v="1"/>
    <n v="0"/>
    <n v="0"/>
    <n v="0"/>
    <n v="0"/>
    <n v="0"/>
    <n v="0"/>
    <n v="0"/>
    <n v="0"/>
    <s v="NO"/>
    <n v="1"/>
    <s v="NO"/>
    <s v="NO APLICA"/>
    <s v="NO"/>
    <s v="NO APLICA"/>
    <s v="NO APLICA"/>
    <s v="NO APLICA"/>
    <s v="SI"/>
    <n v="0"/>
    <n v="0"/>
    <s v="NO APLICA"/>
    <s v="NO APLICA"/>
    <s v="NO APLICA"/>
    <n v="5000"/>
    <n v="5000"/>
    <s v="NO APLICA"/>
    <s v="NO APLICA"/>
    <s v="NO APLICA"/>
    <s v="NO APLICA"/>
    <s v="NO APLICA"/>
    <s v="NO"/>
    <s v="NO APLICA"/>
    <s v="NO APLICA"/>
    <s v="NO APLICA "/>
    <s v="NO"/>
    <s v="NO APLICA"/>
    <s v="NO APLICA"/>
    <s v="NO APLICA"/>
    <s v="NO APLICA"/>
    <s v=""/>
    <s v="NO APLICA"/>
    <s v="NO"/>
    <s v="NO APLICA"/>
    <s v="NO APLICA"/>
    <s v="NO"/>
    <n v="0"/>
    <n v="0"/>
    <s v="SI"/>
    <n v="0"/>
    <s v="Error valor hora alumno  "/>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n v="0"/>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606610-0"/>
    <s v="Centro de Capacitación Inforcap SPA"/>
    <n v="160"/>
    <n v="32"/>
    <n v="6373"/>
    <n v="0"/>
    <n v="0"/>
    <n v="15295200"/>
    <n v="1920000"/>
    <n v="0"/>
    <n v="0"/>
    <n v="0"/>
    <n v="17215200"/>
    <x v="0"/>
    <n v="0"/>
    <n v="7"/>
    <n v="7"/>
    <n v="7"/>
    <n v="7"/>
    <n v="7"/>
    <n v="7"/>
    <n v="7"/>
    <n v="7"/>
    <n v="7"/>
    <n v="7"/>
    <n v="7"/>
    <n v="7"/>
    <n v="7"/>
    <n v="7"/>
    <n v="7"/>
    <n v="7"/>
    <s v="NO"/>
    <s v="Pia fuentes corcoran"/>
    <s v="pfuentescorcoran@gmail.com"/>
    <n v="992196137"/>
    <s v="PROVENIR #458, COMUNA DE SANTIAGO, Santiago"/>
    <n v="0"/>
    <n v="0"/>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s v="SI"/>
    <n v="7.0000000000000009"/>
    <s v="SI"/>
    <n v="7"/>
    <s v="SI"/>
    <n v="7"/>
    <s v="SI"/>
    <n v="6373"/>
    <n v="6373"/>
    <s v="SI"/>
    <n v="0.67164179104477606"/>
    <n v="0"/>
    <s v="NO"/>
    <n v="67"/>
    <n v="125"/>
    <s v="NO"/>
    <n v="0"/>
    <s v="No adjudica dado que presenta procentaje de multas ponderadas "/>
    <m/>
    <m/>
    <m/>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606610-0"/>
    <s v="Centro de Capacitación Inforcap SPA"/>
    <n v="240"/>
    <n v="60"/>
    <n v="6373"/>
    <n v="0"/>
    <n v="50000"/>
    <n v="21413280"/>
    <n v="3360000"/>
    <n v="0"/>
    <n v="0"/>
    <n v="700000"/>
    <n v="25473280"/>
    <x v="0"/>
    <n v="0"/>
    <n v="7"/>
    <n v="7"/>
    <n v="0"/>
    <n v="0"/>
    <n v="0"/>
    <n v="0"/>
    <n v="0"/>
    <n v="0"/>
    <n v="0"/>
    <n v="7"/>
    <n v="7"/>
    <n v="7"/>
    <n v="7"/>
    <n v="7"/>
    <n v="7"/>
    <n v="7"/>
    <s v="SI"/>
    <s v="Pia fuentes corcoran"/>
    <s v="pfuentescorcoran@gmail.com"/>
    <n v="992196137"/>
    <s v="SALA DE CLASES: AVENIDA VENTISQUERO 1225, BODEGA 75, COMUNA DE RENCA TALLER: AV. PDTE. EDUARDO FREI, Renca"/>
    <s v="Capacitar al participante en la operación segura y eficiente de cargadores frontales, aplicando procedimientos técnicos, normas de seguridad y criterios de mantenimiento preventivo en contextos de construcción, minería o logística."/>
    <s v="Este curso entrega conocimientos prácticos sobre el manejo de cargadores frontales, incluyendo inspección preoperacional, técnicas de carguío, uso de controles, prevención de riesgos y mantenimiento básico del equipo, conforme a normativa vigente y condiciones operativas del entorno"/>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NO"/>
    <n v="7"/>
    <s v="SI"/>
    <n v="7.0000000000000009"/>
    <s v="SI"/>
    <n v="7"/>
    <s v="SI"/>
    <n v="7"/>
    <s v="SI"/>
    <n v="6373"/>
    <n v="6373"/>
    <s v="SI"/>
    <n v="0.67164179104477606"/>
    <n v="0.67164179104477606"/>
    <s v="SI"/>
    <n v="67"/>
    <n v="67"/>
    <s v="SI"/>
    <n v="0"/>
    <m/>
    <m/>
    <m/>
    <s v="Adjudica"/>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606610-0"/>
    <s v="Centro de Capacitación Inforcap SPA"/>
    <n v="272"/>
    <n v="68"/>
    <n v="5075"/>
    <n v="250000"/>
    <n v="250000"/>
    <n v="19325600"/>
    <n v="3808000"/>
    <n v="3500000"/>
    <n v="0"/>
    <n v="3500000"/>
    <n v="30133600"/>
    <x v="0"/>
    <n v="0"/>
    <n v="7"/>
    <n v="7"/>
    <n v="0"/>
    <n v="0"/>
    <n v="0"/>
    <n v="0"/>
    <n v="0"/>
    <n v="0"/>
    <n v="0"/>
    <n v="7"/>
    <n v="7"/>
    <n v="7"/>
    <n v="7"/>
    <n v="7"/>
    <n v="6.9"/>
    <n v="7"/>
    <s v="NO"/>
    <s v="Pia fuentes corcoran"/>
    <s v="pfuentescorcoran@gmail.com"/>
    <n v="992196137"/>
    <s v="&quot;SALA DE CLASES: AVENIDA VENTISQUERO 1225, BODEGA 75, COMUNA DE RENCA TALLER: AV. PDTE. EDUARDO FREI,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s v="SI"/>
    <n v="7.0000000000000009"/>
    <s v="SI"/>
    <n v="7"/>
    <s v="SI"/>
    <n v="7"/>
    <s v="SI"/>
    <n v="5075"/>
    <n v="5075"/>
    <s v="SI"/>
    <n v="0.67164179104477606"/>
    <n v="0"/>
    <s v="NO"/>
    <n v="67"/>
    <n v="125"/>
    <s v="NO"/>
    <n v="0"/>
    <s v="No adjudica dado que presenta procentaje de multas ponderadas más alto "/>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302818-6"/>
    <s v="cade capacitacion y desarrollo empresarial e.i.r.l"/>
    <n v="80"/>
    <n v="20"/>
    <n v="6373"/>
    <n v="0"/>
    <n v="0"/>
    <n v="8157440"/>
    <n v="1280000"/>
    <n v="0"/>
    <n v="0"/>
    <n v="0"/>
    <n v="9437440"/>
    <x v="0"/>
    <n v="0"/>
    <n v="3"/>
    <n v="7"/>
    <n v="0"/>
    <n v="0"/>
    <n v="0"/>
    <n v="0"/>
    <n v="0"/>
    <n v="0"/>
    <n v="0"/>
    <n v="7"/>
    <n v="7"/>
    <n v="7"/>
    <n v="7"/>
    <n v="7"/>
    <n v="7"/>
    <n v="6.6"/>
    <s v="NO"/>
    <s v="ALEJANDRA HUANCHICAY"/>
    <s v="becaslaborales@cade.cl"/>
    <n v="973778527"/>
    <s v="Blanco Encalada Nº 133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23"/>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056645-4"/>
    <s v="ISOLUTION CAPACITACION EN GESTION LILITADA"/>
    <n v="272"/>
    <n v="68"/>
    <n v="5075"/>
    <n v="250000"/>
    <n v="250000"/>
    <n v="19325600"/>
    <n v="3808000"/>
    <n v="3500000"/>
    <n v="0"/>
    <n v="3500000"/>
    <n v="30133600"/>
    <x v="0"/>
    <n v="0"/>
    <n v="7"/>
    <n v="7"/>
    <n v="0"/>
    <n v="0"/>
    <n v="0"/>
    <n v="0"/>
    <n v="0"/>
    <n v="0"/>
    <n v="0"/>
    <n v="7"/>
    <n v="7"/>
    <n v="7"/>
    <n v="7"/>
    <n v="7"/>
    <n v="6.9"/>
    <n v="7"/>
    <s v="NO"/>
    <s v="GUILLERMO"/>
    <s v="ggonzalez@isolution.cl"/>
    <n v="995163347"/>
    <s v="LOS GERANIOS #3203,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SI"/>
    <n v="7"/>
    <s v="SI"/>
    <n v="7.0000000000000009"/>
    <s v="SI"/>
    <n v="7"/>
    <s v="SI"/>
    <n v="7"/>
    <s v="SI"/>
    <n v="5075"/>
    <n v="5075"/>
    <s v="SI"/>
    <n v="0.16245487364620939"/>
    <n v="0"/>
    <s v="NO"/>
    <n v="122"/>
    <n v="125"/>
    <s v="NO"/>
    <n v="0"/>
    <s v="No adjudica dado que presenta procentaje de multas ponderadas más alto "/>
    <m/>
    <m/>
    <m/>
    <m/>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PUYEHUE"/>
    <s v="ESTUDIANTES DE CUARTO AÑO DE ENSEÑANZA MEDIA O DE LICEOS TÉCNICOS PROFESIONALES."/>
    <s v="PRESENCIAL"/>
    <s v="DEPENDIENTE"/>
    <s v="04. MART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Ruta Internacional CH215, km 43 S/N – Puyehue, Puyehue"/>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n v="0"/>
    <m/>
    <m/>
    <m/>
    <s v="Adjudica "/>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n v="0"/>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Camino a Mision Quilacahuin, Liceo Quilacahuin San Pablo, Los Lagos, San Pabl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n v="0"/>
    <m/>
    <m/>
    <m/>
    <s v="Adjudica "/>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Av. René Soriano 2615, Osorno, Los Lagos, Osorn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n v="0"/>
    <m/>
    <m/>
    <m/>
    <s v="Adjudica "/>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Bernardo Ohiggins 210, DE LOS LAGOS, FRESIA, Fresia"/>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n v="0"/>
    <m/>
    <m/>
    <m/>
    <s v="Adjudica "/>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7593380-1"/>
    <s v="Centro de Investigación para el Desarrollo y Capacitación Limitada"/>
    <n v="110"/>
    <n v="28"/>
    <n v="5075"/>
    <n v="0"/>
    <n v="0"/>
    <n v="8932000"/>
    <n v="1792000"/>
    <n v="0"/>
    <n v="0"/>
    <n v="0"/>
    <n v="10724000"/>
    <x v="0"/>
    <n v="0"/>
    <n v="3"/>
    <n v="7"/>
    <n v="0"/>
    <n v="0"/>
    <n v="0"/>
    <n v="0"/>
    <n v="0"/>
    <n v="0"/>
    <n v="0"/>
    <n v="7"/>
    <n v="7"/>
    <n v="7"/>
    <n v="7"/>
    <n v="7"/>
    <n v="7"/>
    <n v="6.6"/>
    <s v="SI"/>
    <s v="EMILY RODRIGUEZ"/>
    <s v="ERODRIGUEZ@institutoasiste.cl"/>
    <n v="225962361"/>
    <s v="PASAJE VIRGINIO ARIAS 1926, Renca"/>
    <s v="Capacitar al participante para asistir en tareas de mantenimiento eléctrico de baja tensión, aplicando procedimientos técnicos, normas de seguridad y uso adecuado de herramientas, bajo supervisión especializada."/>
    <s v="Este curso entrega conocimientos básicos para apoyar labores de mantenimiento preventivo y correctivo en instalaciones eléctricas de baja tensión. Incluye identificación de componentes, uso de instrumentos de medición, aplicación de protocolos de seguridad y asistencia en inspecciones, limpieza y reparación de equipos eléctricos."/>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SI"/>
    <n v="6.6"/>
    <s v="SI"/>
    <n v="7.0000000000000009"/>
    <s v="SI"/>
    <n v="7"/>
    <s v="SI"/>
    <n v="3"/>
    <s v="SI"/>
    <n v="5075"/>
    <n v="5075"/>
    <s v="SI"/>
    <n v="0"/>
    <n v="0"/>
    <s v="SI"/>
    <n v="33"/>
    <n v="43"/>
    <s v="NO"/>
    <n v="0"/>
    <m/>
    <m/>
    <m/>
    <s v="Adjudica "/>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7593380-1"/>
    <s v="Centro de Investigación para el Desarrollo y Capacitación Limitada"/>
    <n v="120"/>
    <n v="30"/>
    <n v="5075"/>
    <n v="0"/>
    <n v="0"/>
    <n v="9135000"/>
    <n v="1800000"/>
    <n v="0"/>
    <n v="0"/>
    <n v="0"/>
    <n v="10935000"/>
    <x v="0"/>
    <n v="0"/>
    <n v="3"/>
    <n v="7"/>
    <n v="0"/>
    <n v="0"/>
    <n v="0"/>
    <n v="0"/>
    <n v="0"/>
    <n v="0"/>
    <n v="0"/>
    <n v="7"/>
    <n v="7"/>
    <n v="7"/>
    <n v="7"/>
    <n v="7"/>
    <n v="7"/>
    <n v="6.6"/>
    <s v="SI"/>
    <s v="EMILY RODRIGUEZ"/>
    <s v="ERODRIGUEZ@institutoasiste.cl"/>
    <n v="225962361"/>
    <s v="PASAJE VIRGINIO ARIAS 1926, Renca"/>
    <s v="Formar técnicos capacitados en el diagnóstico, mantenimiento y reparación de sistemas electromecánicos de vehículos automotrices, integrando conocimientos de mecánica, electricidad y electrónica bajo estándares de seguridad, calidad y sustentabilidad."/>
    <s v="Este curso entrega competencias para intervenir sistemas de propulsión, eléctricos, electrónicos y de confort de vehículos livianos y pesados. Incluye diagnóstico computarizado, mantenimiento preventivo y correctivo, gestión de servicio técnico y aplicación de normativas vigentes en electromovilidad y mecánica automotriz"/>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s v="SI"/>
    <n v="7.0000000000000009"/>
    <s v="SI"/>
    <n v="7"/>
    <s v="SI"/>
    <n v="3"/>
    <s v="SI"/>
    <n v="5075"/>
    <n v="5075"/>
    <s v="SI"/>
    <n v="0"/>
    <n v="0"/>
    <s v="SI"/>
    <n v="33"/>
    <n v="33"/>
    <s v="SI"/>
    <n v="0"/>
    <s v="Adjudica dado que presenta menor procentaje de multas ponderadas "/>
    <m/>
    <m/>
    <s v="Adjudica "/>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7593380-1"/>
    <s v="Centro de Investigación para el Desarrollo y Capacitación Limitada"/>
    <n v="240"/>
    <n v="60"/>
    <n v="6373"/>
    <n v="0"/>
    <n v="50000"/>
    <n v="21413280"/>
    <n v="3360000"/>
    <n v="0"/>
    <n v="0"/>
    <n v="700000"/>
    <n v="25473280"/>
    <x v="0"/>
    <n v="0"/>
    <n v="3"/>
    <n v="7"/>
    <n v="0"/>
    <n v="0"/>
    <n v="0"/>
    <n v="0"/>
    <n v="0"/>
    <n v="0"/>
    <n v="0"/>
    <n v="7"/>
    <n v="7"/>
    <n v="7"/>
    <n v="7"/>
    <n v="7"/>
    <n v="7"/>
    <n v="6.6"/>
    <s v="NO"/>
    <s v="EMILY RODRIGUEZ"/>
    <s v="ERODRIGUEZ@institutoasiste.cl"/>
    <n v="225962361"/>
    <s v="PASAJE VIRGINIO ARIAS 1926,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33"/>
    <n v="67"/>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55298-4"/>
    <s v="Centro de Formación y Capacitación Limitada"/>
    <n v="80"/>
    <n v="20"/>
    <n v="6373"/>
    <n v="0"/>
    <n v="0"/>
    <n v="8157440"/>
    <n v="1280000"/>
    <n v="0"/>
    <n v="0"/>
    <n v="0"/>
    <n v="9437440"/>
    <x v="0"/>
    <n v="0"/>
    <n v="5"/>
    <n v="7"/>
    <n v="0"/>
    <n v="0"/>
    <n v="0"/>
    <n v="0"/>
    <n v="0"/>
    <n v="0"/>
    <n v="0"/>
    <n v="7"/>
    <n v="7"/>
    <n v="7"/>
    <n v="7"/>
    <n v="7"/>
    <n v="7"/>
    <n v="6.8"/>
    <s v="NO"/>
    <s v="José Beniscelli"/>
    <s v="jbeniscelli@cenfor.cl"/>
    <n v="986851817"/>
    <s v="Av. Miraflore 8414, Renca"/>
    <n v="0"/>
    <n v="0"/>
    <n v="0"/>
    <n v="0"/>
    <n v="0"/>
    <n v="0"/>
    <n v="0"/>
    <n v="0"/>
    <n v="0"/>
    <n v="0"/>
    <n v="0"/>
    <n v="0"/>
    <n v="0"/>
    <n v="0"/>
    <n v="0"/>
    <n v="0"/>
    <n v="0"/>
    <n v="0"/>
    <s v="SSH"/>
    <s v="SI"/>
    <s v="NO"/>
    <n v="0"/>
    <n v="0"/>
    <n v="0"/>
    <n v="0"/>
    <n v="0"/>
    <n v="0"/>
    <n v="0"/>
    <n v="0"/>
    <n v="0"/>
    <n v="0"/>
    <s v="SI"/>
    <n v="0"/>
    <s v="SI"/>
    <n v="0"/>
    <s v="SI"/>
    <n v="0"/>
    <n v="0.5"/>
    <n v="0.70000000000000007"/>
    <s v="SI"/>
    <n v="0"/>
    <n v="0"/>
    <n v="0"/>
    <n v="7.0000000000000009"/>
    <n v="7.0000000000000009"/>
    <n v="6373"/>
    <n v="6373"/>
    <n v="7"/>
    <s v="APROBADO"/>
    <s v="APROBADO"/>
    <n v="6.8"/>
    <s v="APROBADO"/>
    <s v="SI"/>
    <n v="7"/>
    <s v="NO"/>
    <s v="NO APLICA "/>
    <s v="NO"/>
    <s v="NO APLICA"/>
    <s v="NO APLICA"/>
    <s v="NO APLICA"/>
    <s v="NO APLICA"/>
    <s v=""/>
    <s v="NO APLICA"/>
    <s v="NO"/>
    <s v="NO APLICA"/>
    <s v="NO APLICA"/>
    <s v="NO"/>
    <n v="48"/>
    <n v="125"/>
    <s v="NO"/>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65062756-3"/>
    <s v="Fundaciòn Forpe Chile"/>
    <n v="160"/>
    <n v="32"/>
    <n v="6373"/>
    <n v="0"/>
    <n v="0"/>
    <n v="15295200"/>
    <n v="1920000"/>
    <n v="0"/>
    <n v="0"/>
    <n v="0"/>
    <n v="17215200"/>
    <x v="0"/>
    <n v="0"/>
    <n v="7"/>
    <n v="7"/>
    <n v="7"/>
    <n v="7"/>
    <n v="7"/>
    <n v="7"/>
    <n v="7"/>
    <n v="7"/>
    <n v="7"/>
    <n v="7"/>
    <n v="7"/>
    <n v="7"/>
    <n v="7"/>
    <n v="7"/>
    <n v="7"/>
    <n v="7"/>
    <s v="SI"/>
    <s v="ESTEBAN VEGA TORO"/>
    <s v="contacto@forpe.cl"/>
    <n v="228347804"/>
    <s v="Padre Miguel de Olivares 1324, Santiago"/>
    <s v="Capacitar al participante en la aplicación de procedimientos de control de calidad en la industria alimentaria, asegurando la inocuidad, trazabilidad y cumplimiento de estándares técnicos y normativos en cada etapa del proceso productivo."/>
    <s v="Este curso entrega herramientas para implementar controles de calidad en alimentos, desde la recepción de materias primas hasta el producto final. Incluye análisis microbiológicos, físicos y sensoriales, gestión de riesgos, buenas prácticas de manufactura y trazabilidad en procesos alimentarios."/>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s v="SI"/>
    <n v="7.0000000000000009"/>
    <s v="SI"/>
    <n v="7"/>
    <s v="SI"/>
    <n v="7"/>
    <s v="SI"/>
    <n v="6373"/>
    <n v="6373"/>
    <s v="SI"/>
    <n v="0"/>
    <n v="0"/>
    <s v="SI"/>
    <n v="125"/>
    <n v="125"/>
    <s v="SI"/>
    <n v="0"/>
    <s v="Adjudica dado que presenta menor procentaje de multas ponderaadas "/>
    <m/>
    <m/>
    <s v="Adjudica "/>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65062756-3"/>
    <s v="Fundaciòn Forpe Chile"/>
    <n v="80"/>
    <n v="20"/>
    <n v="6373"/>
    <n v="0"/>
    <n v="0"/>
    <n v="8157440"/>
    <n v="1280000"/>
    <n v="0"/>
    <n v="0"/>
    <n v="0"/>
    <n v="9437440"/>
    <x v="0"/>
    <n v="0"/>
    <n v="7"/>
    <n v="7"/>
    <n v="0"/>
    <n v="0"/>
    <n v="0"/>
    <n v="0"/>
    <n v="0"/>
    <n v="0"/>
    <n v="0"/>
    <n v="7"/>
    <n v="7"/>
    <n v="7"/>
    <n v="7"/>
    <n v="7"/>
    <n v="7"/>
    <n v="7"/>
    <s v="SI"/>
    <s v="ESTEBAN VEGA TORO"/>
    <s v="contacto@forpe.cl"/>
    <n v="228347804"/>
    <s v="Vicuña Makena 1020, Renca"/>
    <s v="Capacitar al participante en la gestión eficiente de procesos logísticos en bodegas, centros de distribución y centros de transferencia, aplicando técnicas de almacenamiento, manejo de inventarios y control operativo conforme a estándares de calidad y seguridad."/>
    <s v="Este curso entrega conocimientos prácticos sobre recepción, almacenamiento, preparación de pedidos y despacho de mercancías. Aborda el diseño de layout, flujo de materiales, optimización de espacios, rotación de inventarios y buenas prácticas logísticas para mejorar la eficiencia operativa en distintos tipos de instalacione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s v="SI"/>
    <n v="7.0000000000000009"/>
    <s v="SI"/>
    <n v="7"/>
    <s v="SI"/>
    <n v="7"/>
    <s v="SI"/>
    <n v="6373"/>
    <n v="6373"/>
    <s v="SI"/>
    <n v="0"/>
    <n v="0"/>
    <s v="SI"/>
    <n v="125"/>
    <n v="125"/>
    <s v="SI"/>
    <n v="0"/>
    <m/>
    <m/>
    <m/>
    <s v="Adjudica "/>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62756-3"/>
    <s v="Fundaciòn Forpe Chile"/>
    <n v="272"/>
    <n v="68"/>
    <n v="5075"/>
    <n v="250000"/>
    <n v="250000"/>
    <n v="19325600"/>
    <n v="3808000"/>
    <n v="3500000"/>
    <n v="0"/>
    <n v="3500000"/>
    <n v="30133600"/>
    <x v="0"/>
    <n v="0"/>
    <n v="7"/>
    <n v="7"/>
    <n v="0"/>
    <n v="0"/>
    <n v="0"/>
    <n v="0"/>
    <n v="0"/>
    <n v="0"/>
    <n v="0"/>
    <n v="7"/>
    <n v="7"/>
    <n v="7"/>
    <n v="7"/>
    <n v="7"/>
    <n v="6.9"/>
    <n v="7"/>
    <s v="SI"/>
    <s v="ESTEBAN VEGA TORO"/>
    <s v="contacto@forpe.cl"/>
    <n v="228347804"/>
    <s v="Vicuña Makena 1020, Renca"/>
    <s v="Capacitar al participante en la aplicación de técnicas de soldadura por Oxigás, Arco Voltaico, TIG y MIG sobre piezas metálicas, cumpliendo con normas de seguridad, calidad y procedimientos operativos del sector metalmecánico."/>
    <s v="Este curso entrega conocimientos prácticos para ejecutar soldaduras en distintos procesos y posiciones, utilizando equipos adecuados y aplicando normas de higiene, seguridad y calidad. Incluye preparación de superficies, configuración de parámetros, ejecución de cordones y registro de procedimientos técnicos."/>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s v="SI"/>
    <n v="7.0000000000000009"/>
    <s v="SI"/>
    <n v="7"/>
    <s v="SI"/>
    <n v="7"/>
    <s v="SI"/>
    <n v="5075"/>
    <n v="5075"/>
    <s v="SI"/>
    <n v="0"/>
    <n v="0"/>
    <s v="SI"/>
    <n v="125"/>
    <n v="125"/>
    <s v="SI"/>
    <n v="0"/>
    <s v="Adjudica dado que presenta menor procentaje de multas ponderaadas "/>
    <m/>
    <m/>
    <s v="Adjudica "/>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928190-8"/>
    <s v="Véliz, Núñez y Cía. Ltda."/>
    <n v="120"/>
    <n v="30"/>
    <n v="5075"/>
    <n v="0"/>
    <n v="0"/>
    <n v="9135000"/>
    <n v="1800000"/>
    <n v="0"/>
    <n v="0"/>
    <n v="0"/>
    <n v="1093500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s v="SI"/>
    <n v="7.0000000000000009"/>
    <s v="SI"/>
    <n v="7"/>
    <s v="SI"/>
    <n v="3"/>
    <s v="SI"/>
    <n v="5075"/>
    <n v="5075"/>
    <s v="SI"/>
    <n v="0.51724137931034486"/>
    <n v="0"/>
    <s v="NO"/>
    <n v="29"/>
    <n v="33"/>
    <s v="NO"/>
    <n v="0"/>
    <s v="No adjudica dado que presenta procentaje de multas ponderadas "/>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928190-8"/>
    <s v="Véliz, Núñez y Cía. Ltda."/>
    <n v="80"/>
    <n v="20"/>
    <n v="6373"/>
    <n v="0"/>
    <n v="0"/>
    <n v="8157440"/>
    <n v="1280000"/>
    <n v="0"/>
    <n v="0"/>
    <n v="0"/>
    <n v="943744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29"/>
    <n v="125"/>
    <s v="NO"/>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928190-8"/>
    <s v="Véliz, Núñez y Cía. Ltda."/>
    <n v="160"/>
    <n v="32"/>
    <n v="6373"/>
    <n v="0"/>
    <n v="0"/>
    <n v="15295200"/>
    <n v="1920000"/>
    <n v="0"/>
    <n v="0"/>
    <n v="0"/>
    <n v="17215200"/>
    <x v="0"/>
    <n v="0"/>
    <n v="3"/>
    <n v="7"/>
    <n v="7"/>
    <n v="7"/>
    <n v="7"/>
    <n v="7"/>
    <n v="7"/>
    <n v="7"/>
    <n v="7"/>
    <n v="7"/>
    <n v="7"/>
    <n v="7"/>
    <n v="7"/>
    <n v="7"/>
    <n v="7"/>
    <n v="6.6"/>
    <s v="NO"/>
    <s v="Marianela Núñez Véliz"/>
    <s v="surorienteemprende@gmail.com"/>
    <n v="228507710"/>
    <s v="Pedro Lagos 1414, Santiago"/>
    <n v="0"/>
    <n v="0"/>
    <n v="0"/>
    <n v="0"/>
    <n v="0"/>
    <n v="0"/>
    <n v="0"/>
    <n v="0"/>
    <n v="0"/>
    <n v="0"/>
    <n v="0"/>
    <n v="0"/>
    <n v="0"/>
    <n v="0"/>
    <n v="0"/>
    <n v="0"/>
    <n v="0"/>
    <n v="0"/>
    <s v="SSH"/>
    <s v="NO"/>
    <s v="SI"/>
    <n v="0"/>
    <n v="0"/>
    <n v="0"/>
    <n v="0"/>
    <n v="0"/>
    <n v="0"/>
    <n v="0"/>
    <n v="0"/>
    <n v="0"/>
    <n v="0"/>
    <s v="SI"/>
    <n v="0"/>
    <s v="SI"/>
    <n v="0"/>
    <s v="SI"/>
    <n v="0"/>
    <n v="0.30000000000000004"/>
    <n v="0.70000000000000007"/>
    <s v="NO"/>
    <n v="7"/>
    <n v="7"/>
    <n v="7"/>
    <n v="7.0000000000000009"/>
    <n v="7.0000000000000009"/>
    <n v="6373"/>
    <n v="6373"/>
    <n v="7"/>
    <s v="APROBADO"/>
    <s v="APROBADO"/>
    <n v="6.6"/>
    <s v="APROBADO"/>
    <s v="NO"/>
    <n v="7"/>
    <s v="NO"/>
    <s v="NO APLICA "/>
    <s v="NO"/>
    <s v="NO APLICA"/>
    <s v="NO APLICA"/>
    <s v="NO APLICA"/>
    <s v="NO APLICA"/>
    <s v=""/>
    <s v="NO APLICA"/>
    <s v="NO"/>
    <s v="NO APLICA"/>
    <s v="NO APLICA"/>
    <s v="NO"/>
    <n v="29"/>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928190-8"/>
    <s v="Véliz, Núñez y Cía. Ltda."/>
    <n v="272"/>
    <n v="68"/>
    <n v="5075"/>
    <n v="250000"/>
    <n v="250000"/>
    <n v="19325600"/>
    <n v="3808000"/>
    <n v="3500000"/>
    <n v="0"/>
    <n v="3500000"/>
    <n v="30133600"/>
    <x v="1"/>
    <s v="NUMERAL 6.1.2. ÍTEM 6 - ERROR EN ESTRUCTURA DE COSTOS (ÍTEM F, H, J, K, M Y N)"/>
    <n v="0"/>
    <n v="0"/>
    <n v="0"/>
    <n v="0"/>
    <n v="0"/>
    <n v="0"/>
    <n v="0"/>
    <n v="0"/>
    <n v="0"/>
    <n v="0"/>
    <n v="0"/>
    <n v="0"/>
    <n v="0"/>
    <n v="0"/>
    <n v="0"/>
    <n v="0"/>
    <s v="NO"/>
    <s v="Marianela Núñez Véliz"/>
    <s v="surorienteemprende@gmail.com"/>
    <n v="228507710"/>
    <s v="Las Margaritas 3875,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s v="NO APLICA"/>
    <s v="NO APLICA "/>
    <s v="NO"/>
    <s v="NO APLICA"/>
    <s v="NO APLICA"/>
    <s v="NO APLICA"/>
    <s v="NO APLICA"/>
    <s v=""/>
    <s v="NO APLICA"/>
    <s v="NO"/>
    <s v="NO APLICA"/>
    <s v="NO APLICA"/>
    <s v="NO"/>
    <n v="29"/>
    <n v="125"/>
    <s v="NO"/>
    <n v="0"/>
    <m/>
    <m/>
    <m/>
    <m/>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ilmaiquén S/N, San Pabl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atricio Lynch 1866, Osorn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Circunvalación 401, Fresia"/>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311060-3"/>
    <s v="SOCIEDAD OTC CAPACITACIÓN LTDA"/>
    <n v="272"/>
    <n v="68"/>
    <n v="5000"/>
    <n v="250000"/>
    <n v="250000"/>
    <n v="19040000"/>
    <n v="3808000"/>
    <n v="3500000"/>
    <n v="0"/>
    <n v="3500000"/>
    <n v="29848000"/>
    <x v="0"/>
    <n v="0"/>
    <n v="3"/>
    <n v="7"/>
    <n v="0"/>
    <n v="0"/>
    <n v="0"/>
    <n v="0"/>
    <n v="0"/>
    <n v="0"/>
    <n v="0"/>
    <n v="7"/>
    <n v="7"/>
    <n v="7"/>
    <n v="7"/>
    <n v="7"/>
    <n v="7"/>
    <n v="6.6"/>
    <s v="NO"/>
    <s v="Jorge Aranguiz"/>
    <s v="jaranguiz@otc.cl"/>
    <n v="988394610"/>
    <s v="PASAJE LANCO 4862, Renca"/>
    <n v="0"/>
    <n v="0"/>
    <n v="0"/>
    <n v="0"/>
    <n v="0"/>
    <n v="0"/>
    <n v="0"/>
    <n v="0"/>
    <n v="0"/>
    <n v="0"/>
    <n v="0"/>
    <n v="0"/>
    <n v="0"/>
    <n v="0"/>
    <n v="0"/>
    <n v="0"/>
    <n v="0"/>
    <n v="0"/>
    <s v="SHMAN"/>
    <s v="SI"/>
    <s v="NO"/>
    <n v="0"/>
    <n v="1"/>
    <n v="0"/>
    <n v="0"/>
    <n v="0"/>
    <n v="0"/>
    <n v="0"/>
    <n v="0"/>
    <n v="0"/>
    <n v="0"/>
    <s v="NO"/>
    <n v="1"/>
    <s v="SI"/>
    <s v="NO APLICA"/>
    <s v="SI"/>
    <s v="NO APLICA"/>
    <s v="NO APLICA"/>
    <s v="NO APLICA"/>
    <s v="SI"/>
    <n v="0"/>
    <n v="0"/>
    <s v="NO APLICA"/>
    <s v="NO APLICA"/>
    <s v="NO APLICA"/>
    <n v="5000"/>
    <n v="5000"/>
    <s v="NO APLICA"/>
    <s v="NO APLICA"/>
    <s v="NO APLICA"/>
    <s v="NO APLICA"/>
    <s v="NO APLICA"/>
    <s v="NO"/>
    <s v="NO APLICA"/>
    <s v="NO APLICA"/>
    <s v="NO APLICA "/>
    <s v="NO"/>
    <s v="NO APLICA"/>
    <s v="NO APLICA"/>
    <s v="NO APLICA"/>
    <s v="NO APLICA"/>
    <s v=""/>
    <s v="NO APLICA"/>
    <s v="NO"/>
    <s v="NO APLICA"/>
    <s v="NO APLICA"/>
    <s v="NO"/>
    <n v="29"/>
    <n v="125"/>
    <s v="NO"/>
    <n v="0"/>
    <s v="Error valor hora alumno  "/>
    <m/>
    <m/>
    <m/>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232950-6"/>
    <s v="INSTITUTO DE CALIDAD Y MEDIOAMBIENTE DE CHILE IGNACIO JAVIER CARO AGUILERA E.I.R.L"/>
    <n v="120"/>
    <n v="30"/>
    <n v="5600"/>
    <n v="0"/>
    <n v="0"/>
    <n v="10080000"/>
    <n v="1800000"/>
    <n v="0"/>
    <n v="0"/>
    <n v="0"/>
    <n v="11880000"/>
    <x v="0"/>
    <n v="0"/>
    <n v="1"/>
    <n v="7"/>
    <n v="0"/>
    <n v="0"/>
    <n v="0"/>
    <n v="0"/>
    <n v="0"/>
    <n v="0"/>
    <n v="0"/>
    <n v="7"/>
    <n v="7"/>
    <n v="7"/>
    <n v="7"/>
    <n v="7"/>
    <n v="6.3"/>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600"/>
    <n v="5075"/>
    <n v="6.3"/>
    <s v="APROBADO"/>
    <s v="APROBADO"/>
    <n v="6.4"/>
    <s v="APROBADO"/>
    <s v="NO"/>
    <n v="6.6"/>
    <s v="NO"/>
    <s v="NO APLICA "/>
    <s v="NO"/>
    <s v="NO APLICA"/>
    <s v="NO APLICA"/>
    <s v="NO APLICA"/>
    <s v="NO APLICA"/>
    <s v=""/>
    <s v="NO APLICA"/>
    <s v="NO"/>
    <s v="NO APLICA"/>
    <s v="NO APLICA"/>
    <s v="NO"/>
    <n v="17"/>
    <n v="33"/>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232950-6"/>
    <s v="INSTITUTO DE CALIDAD Y MEDIOAMBIENTE DE CHILE IGNACIO JAVIER CARO AGUILERA E.I.R.L"/>
    <n v="80"/>
    <n v="20"/>
    <n v="6700"/>
    <n v="0"/>
    <n v="0"/>
    <n v="8576000"/>
    <n v="1280000"/>
    <n v="0"/>
    <n v="0"/>
    <n v="0"/>
    <n v="9856000"/>
    <x v="0"/>
    <n v="0"/>
    <n v="1"/>
    <n v="7"/>
    <n v="0"/>
    <n v="0"/>
    <n v="0"/>
    <n v="0"/>
    <n v="0"/>
    <n v="0"/>
    <n v="0"/>
    <n v="7"/>
    <n v="7"/>
    <n v="7"/>
    <n v="7"/>
    <n v="7"/>
    <n v="6.7"/>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700"/>
    <n v="6373"/>
    <n v="6.7"/>
    <s v="APROBADO"/>
    <s v="APROBADO"/>
    <n v="6.4"/>
    <s v="APROBADO"/>
    <s v="NO"/>
    <n v="7"/>
    <s v="NO"/>
    <s v="NO APLICA "/>
    <s v="NO"/>
    <s v="NO APLICA"/>
    <s v="NO APLICA"/>
    <s v="NO APLICA"/>
    <s v="NO APLICA"/>
    <s v=""/>
    <s v="NO APLICA"/>
    <s v="NO"/>
    <s v="NO APLICA"/>
    <s v="NO APLICA"/>
    <s v="NO"/>
    <n v="17"/>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87730100-1"/>
    <s v="CENTRO TECNICO INDURA LIMITADA"/>
    <n v="272"/>
    <n v="68"/>
    <n v="6300"/>
    <n v="250000"/>
    <n v="250000"/>
    <n v="23990400"/>
    <n v="3808000"/>
    <n v="3500000"/>
    <n v="0"/>
    <n v="3500000"/>
    <n v="34798400"/>
    <x v="1"/>
    <s v="NUMERAL 6.1.2. ÍTEM 7 - OTEC ADJUNTA ANEXO DE PROPUESTA, SIN EMBARGO, NO ADJUNTA EL ANEXO 3 CORRESPONDIENTE AL CURSO. _x000a_NUMERAL 6.1.2. ÍTEM 11: NO PRESENTA FOTOS QUE ACREDITEN LAS CARACTERISTICAS DESCRITAS EN LA PROPUESTA, NO PRESENTA MODELO CARTA COMPROMISO DE INFRAESTRUCTURA"/>
    <n v="0"/>
    <n v="0"/>
    <n v="0"/>
    <n v="0"/>
    <n v="0"/>
    <n v="0"/>
    <n v="0"/>
    <n v="0"/>
    <n v="0"/>
    <n v="0"/>
    <n v="0"/>
    <n v="0"/>
    <n v="0"/>
    <n v="0"/>
    <n v="0"/>
    <n v="0"/>
    <s v="NO"/>
    <s v="Viviana Díaz Salazar"/>
    <s v="DIAZSAVC@airproducts.com"/>
    <n v="225303178"/>
    <s v="Por confirmar,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6300"/>
    <n v="5000"/>
    <s v="NO APLICA"/>
    <s v="NO APLICA"/>
    <s v="NO APLICA"/>
    <s v="NO APLICA"/>
    <s v="NO APLICA"/>
    <s v="NO"/>
    <s v="NO APLICA"/>
    <s v="NO APLICA"/>
    <s v="NO APLICA "/>
    <s v="NO"/>
    <s v="NO APLICA"/>
    <s v="NO APLICA"/>
    <s v="NO APLICA"/>
    <s v="NO APLICA"/>
    <s v=""/>
    <s v="NO APLICA"/>
    <s v="NO"/>
    <s v="NO APLICA"/>
    <s v="NO APLICA"/>
    <s v="NO"/>
    <n v="8"/>
    <n v="125"/>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San Francisco 126,,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PARRAL 1398,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COLON, San Pabl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272762-5"/>
    <s v="Lilian Rosario Rivas Avila Capacitación en el Trabajo EIRL"/>
    <n v="160"/>
    <n v="32"/>
    <n v="6373"/>
    <n v="0"/>
    <n v="0"/>
    <n v="15295200"/>
    <n v="1920000"/>
    <n v="0"/>
    <n v="0"/>
    <n v="0"/>
    <n v="17215200"/>
    <x v="0"/>
    <n v="0"/>
    <n v="1"/>
    <n v="7"/>
    <n v="7"/>
    <n v="7"/>
    <n v="7"/>
    <n v="7"/>
    <n v="7"/>
    <n v="7"/>
    <n v="7"/>
    <n v="7"/>
    <n v="7"/>
    <n v="7"/>
    <n v="7"/>
    <n v="7"/>
    <n v="7"/>
    <n v="6.4"/>
    <s v="NO"/>
    <s v="Lilian Rosario Rivas Avila"/>
    <s v="vanguardiaotec@gmail.com"/>
    <n v="985200533"/>
    <s v="avenida padre alonso de Ovalle 1638, Santiago"/>
    <n v="0"/>
    <n v="0"/>
    <n v="0"/>
    <n v="0"/>
    <n v="0"/>
    <n v="0"/>
    <n v="0"/>
    <n v="0"/>
    <n v="0"/>
    <n v="0"/>
    <n v="0"/>
    <n v="0"/>
    <n v="0"/>
    <n v="0"/>
    <n v="0"/>
    <n v="0"/>
    <n v="0"/>
    <n v="0"/>
    <s v="SSH"/>
    <s v="NO"/>
    <s v="SI"/>
    <n v="0"/>
    <n v="0"/>
    <n v="0"/>
    <n v="0"/>
    <n v="0"/>
    <n v="0"/>
    <n v="0"/>
    <n v="0"/>
    <n v="0"/>
    <n v="0"/>
    <s v="SI"/>
    <n v="0"/>
    <s v="SI"/>
    <n v="0"/>
    <s v="SI"/>
    <n v="0"/>
    <n v="0.1"/>
    <n v="0.70000000000000007"/>
    <s v="NO"/>
    <n v="7"/>
    <n v="7"/>
    <n v="7"/>
    <n v="7.0000000000000009"/>
    <n v="7.0000000000000009"/>
    <n v="6373"/>
    <n v="6373"/>
    <n v="7"/>
    <s v="APROBADO"/>
    <s v="APROBADO"/>
    <n v="6.4"/>
    <s v="APROBADO"/>
    <s v="NO"/>
    <n v="7"/>
    <s v="NO"/>
    <s v="NO APLICA "/>
    <s v="NO"/>
    <s v="NO APLICA"/>
    <s v="NO APLICA"/>
    <s v="NO APLICA"/>
    <s v="NO APLICA"/>
    <s v=""/>
    <s v="NO APLICA"/>
    <s v="NO"/>
    <s v="NO APLICA"/>
    <s v="NO APLICA"/>
    <s v="NO"/>
    <n v="11"/>
    <n v="125"/>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l Jardín S/N, Fresia,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Amengual 585, Osorno,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0"/>
    <n v="0"/>
    <s v="PUYEHUE"/>
    <s v="ESTUDIANTES DE CUARTO AÑO DE ENSEÑANZA MEDIA O DE LICEOS TÉCNICOS PROFESIONALES."/>
    <s v="PRESENCIAL"/>
    <s v="DEPENDIENTE"/>
    <s v="04. MART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ntre Lagos S/N, Puyehue, Puyehue"/>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773018-7"/>
    <s v="Servicio de capacitación y formación de personas TEKNÉ SpA"/>
    <n v="272"/>
    <n v="68"/>
    <n v="5075"/>
    <n v="250000"/>
    <n v="250000"/>
    <n v="19325600"/>
    <n v="3808000"/>
    <n v="3500000"/>
    <n v="0"/>
    <n v="3500000"/>
    <n v="30133600"/>
    <x v="1"/>
    <s v="NUMERAL 6.1.2. ÍTEM 1 - NO ADJUNTA ANEXO DE PROPUESTA PARA EL CURSO 14389."/>
    <n v="0"/>
    <n v="0"/>
    <n v="0"/>
    <n v="0"/>
    <n v="0"/>
    <n v="0"/>
    <n v="0"/>
    <n v="0"/>
    <n v="0"/>
    <n v="0"/>
    <n v="0"/>
    <n v="0"/>
    <n v="0"/>
    <n v="0"/>
    <n v="0"/>
    <n v="0"/>
    <s v="NO"/>
    <s v="Elizabeth Sepúlveda Moya"/>
    <s v="otec.tekne@gmail.com"/>
    <n v="995011989"/>
    <s v="LA HACIENDA 1549,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s v="NO APLICA"/>
    <s v="NO APLICA "/>
    <s v="NO"/>
    <s v="NO APLICA"/>
    <s v="NO APLICA"/>
    <s v="NO APLICA"/>
    <s v="NO APLICA"/>
    <s v=""/>
    <s v="NO APLICA"/>
    <s v="NO"/>
    <s v="NO APLICA"/>
    <s v="NO APLICA"/>
    <s v="NO"/>
    <n v="10"/>
    <n v="125"/>
    <s v="NO"/>
    <n v="0"/>
    <m/>
    <m/>
    <m/>
    <m/>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014819-9"/>
    <s v="ID Capacitación Ltda."/>
    <n v="110"/>
    <n v="28"/>
    <n v="5075"/>
    <n v="0"/>
    <n v="0"/>
    <n v="8932000"/>
    <n v="1792000"/>
    <n v="0"/>
    <n v="0"/>
    <n v="0"/>
    <n v="10724000"/>
    <x v="1"/>
    <s v="NUMERAL 6.1.2. ÍTEM 11: NO PRESENTA FOTOS QUE ACREDITEN LAS CARACTERISTICAS DESCRITAS EN LA PROPUESTA"/>
    <n v="0"/>
    <n v="0"/>
    <n v="0"/>
    <n v="0"/>
    <n v="0"/>
    <n v="0"/>
    <n v="0"/>
    <n v="0"/>
    <n v="0"/>
    <n v="0"/>
    <n v="0"/>
    <n v="0"/>
    <n v="0"/>
    <n v="0"/>
    <n v="0"/>
    <n v="0"/>
    <s v="NO"/>
    <s v="Luis Alejandro Pizarro Mora"/>
    <s v="alejandro@idconsulting.cl"/>
    <n v="93454013"/>
    <s v="La Marquesita 3962,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5075"/>
    <n v="5075"/>
    <s v="NO APLICA"/>
    <s v="NO APLICA"/>
    <s v="NO APLICA"/>
    <s v="NO APLICA"/>
    <s v="NO APLICA"/>
    <s v="NO"/>
    <s v="NO APLICA"/>
    <s v="NO APLICA"/>
    <s v="NO APLICA "/>
    <s v="NO"/>
    <s v="NO APLICA"/>
    <s v="NO APLICA"/>
    <s v="NO APLICA"/>
    <s v="NO APLICA"/>
    <s v=""/>
    <s v="NO APLICA"/>
    <s v="NO"/>
    <s v="NO APLICA"/>
    <s v="NO APLICA"/>
    <s v="NO"/>
    <n v="0"/>
    <n v="0"/>
    <s v="SI"/>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14819-9"/>
    <s v="ID Capacitación Ltda."/>
    <n v="80"/>
    <n v="20"/>
    <n v="6373"/>
    <n v="0"/>
    <n v="0"/>
    <n v="8157440"/>
    <n v="1280000"/>
    <n v="0"/>
    <n v="0"/>
    <n v="0"/>
    <n v="9437440"/>
    <x v="1"/>
    <s v="NUMERAL 6.1.2. ÍTEM 11: NO PRESENTA FOTOS QUE ACREDITEN LAS CARACTERISTICAS DESCRITAS EN LA PROPUESTA"/>
    <n v="0"/>
    <n v="0"/>
    <n v="0"/>
    <n v="0"/>
    <n v="0"/>
    <n v="0"/>
    <n v="0"/>
    <n v="0"/>
    <n v="0"/>
    <n v="0"/>
    <n v="0"/>
    <n v="0"/>
    <n v="0"/>
    <n v="0"/>
    <n v="0"/>
    <n v="0"/>
    <s v="NO"/>
    <s v="Luis Alejandro Pizarro Mora"/>
    <s v="alejandro@idconsulting.cl"/>
    <n v="93454013"/>
    <s v="Av. Domingo Sta. María 2704,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0"/>
    <n v="0"/>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57122-3"/>
    <s v="asociación de capacitación juvenil boreal"/>
    <n v="272"/>
    <n v="68"/>
    <n v="5075"/>
    <n v="250000"/>
    <n v="250000"/>
    <n v="19325600"/>
    <n v="3808000"/>
    <n v="3500000"/>
    <n v="0"/>
    <n v="3500000"/>
    <n v="30133600"/>
    <x v="0"/>
    <n v="0"/>
    <n v="5"/>
    <n v="7"/>
    <n v="0"/>
    <n v="0"/>
    <n v="0"/>
    <n v="0"/>
    <n v="0"/>
    <n v="0"/>
    <n v="0"/>
    <n v="6"/>
    <n v="6"/>
    <n v="6"/>
    <n v="6"/>
    <n v="6"/>
    <n v="6.9"/>
    <n v="6"/>
    <s v="NO"/>
    <s v="ALEJANDRA GALLARDO"/>
    <s v="borealicitaciones@gmail.com"/>
    <n v="962274066"/>
    <s v="La Marquesita 3962, Renca"/>
    <n v="0"/>
    <n v="0"/>
    <n v="0"/>
    <n v="0"/>
    <n v="0"/>
    <n v="0"/>
    <n v="0"/>
    <n v="0"/>
    <n v="0"/>
    <n v="0"/>
    <n v="0"/>
    <n v="0"/>
    <n v="0"/>
    <n v="0"/>
    <n v="0"/>
    <n v="0"/>
    <n v="0"/>
    <n v="0"/>
    <s v="SHMAN"/>
    <s v="SI"/>
    <s v="NO"/>
    <n v="0"/>
    <n v="0"/>
    <n v="0"/>
    <n v="0"/>
    <n v="0"/>
    <n v="0"/>
    <n v="0"/>
    <n v="0"/>
    <n v="0"/>
    <n v="0"/>
    <s v="SI"/>
    <n v="0"/>
    <s v="SI"/>
    <n v="0"/>
    <s v="SI"/>
    <n v="0"/>
    <n v="0.5"/>
    <n v="0.70000000000000007"/>
    <s v="SI"/>
    <n v="0"/>
    <n v="0"/>
    <n v="0"/>
    <n v="6"/>
    <n v="6"/>
    <n v="5075"/>
    <n v="5000"/>
    <n v="6.9"/>
    <s v="APROBADO"/>
    <s v="APROBADO"/>
    <n v="6"/>
    <s v="APROBADO"/>
    <n v="0"/>
    <n v="7"/>
    <s v="NO"/>
    <s v="NO APLICA "/>
    <s v="NO"/>
    <s v="NO APLICA"/>
    <s v="NO APLICA"/>
    <s v="NO APLICA"/>
    <s v="NO APLICA"/>
    <s v=""/>
    <s v="NO APLICA"/>
    <s v="NO"/>
    <s v="NO APLICA"/>
    <s v="NO APLICA"/>
    <s v="NO"/>
    <n v="62"/>
    <n v="125"/>
    <s v="NO"/>
    <n v="0"/>
    <m/>
    <m/>
    <m/>
    <m/>
    <m/>
  </r>
  <r>
    <x v="14"/>
    <m/>
    <m/>
    <m/>
    <m/>
    <m/>
    <m/>
    <m/>
    <m/>
    <m/>
    <m/>
    <m/>
    <m/>
    <m/>
    <m/>
    <m/>
    <m/>
    <m/>
    <m/>
    <m/>
    <m/>
    <m/>
    <m/>
    <m/>
    <m/>
    <m/>
    <m/>
    <m/>
    <m/>
    <m/>
    <m/>
    <m/>
    <m/>
    <m/>
    <m/>
    <m/>
    <m/>
    <m/>
    <m/>
    <m/>
    <m/>
    <m/>
    <m/>
    <m/>
    <m/>
    <m/>
    <m/>
    <x v="2"/>
    <m/>
    <m/>
    <m/>
    <m/>
    <m/>
    <m/>
    <m/>
    <m/>
    <m/>
    <m/>
    <m/>
    <m/>
    <m/>
    <m/>
    <m/>
    <m/>
    <m/>
    <m/>
    <m/>
    <m/>
    <m/>
    <m/>
    <m/>
    <m/>
    <m/>
    <m/>
    <m/>
    <m/>
    <m/>
    <m/>
    <m/>
    <m/>
    <m/>
    <m/>
    <m/>
    <m/>
    <m/>
    <m/>
    <m/>
    <m/>
    <m/>
    <m/>
    <m/>
    <m/>
    <m/>
    <m/>
    <m/>
    <m/>
    <m/>
    <m/>
    <m/>
    <m/>
    <m/>
    <m/>
    <m/>
    <m/>
    <m/>
    <m/>
    <m/>
    <m/>
    <m/>
    <m/>
    <m/>
    <m/>
    <m/>
    <m/>
    <m/>
    <m/>
    <m/>
    <m/>
    <m/>
    <m/>
    <m/>
    <m/>
    <m/>
    <m/>
    <m/>
    <m/>
    <m/>
    <m/>
    <m/>
    <m/>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102946-0"/>
    <s v="CAPACITACIONES INNOVA PYMES LTDA"/>
    <n v="110"/>
    <n v="28"/>
    <n v="5075"/>
    <n v="0"/>
    <n v="0"/>
    <n v="8932000"/>
    <n v="1792000"/>
    <n v="0"/>
    <n v="0"/>
    <n v="0"/>
    <n v="1072400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075"/>
    <n v="5075"/>
    <n v="7"/>
    <s v="APROBADO"/>
    <s v="APROBADO"/>
    <n v="6.4"/>
    <s v="APROBADO"/>
    <s v="NO"/>
    <n v="6.6"/>
    <x v="0"/>
    <s v="NO APLICA "/>
    <s v="NO"/>
    <s v="NO APLICA"/>
    <s v="NO APLICA"/>
    <s v="NO APLICA"/>
    <s v="NO APLICA"/>
    <s v=""/>
    <s v="NO APLICA"/>
    <s v="NO"/>
    <s v="NO APLICA"/>
    <s v="NO APLICA"/>
    <s v="NO"/>
    <n v="2"/>
    <n v="43"/>
    <s v="NO"/>
    <n v="0"/>
    <m/>
    <m/>
    <m/>
    <m/>
    <m/>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102946-0"/>
    <s v="CAPACITACIONES INNOVA PYMES LTDA"/>
    <n v="120"/>
    <n v="30"/>
    <n v="6373"/>
    <n v="0"/>
    <n v="0"/>
    <n v="10706640"/>
    <n v="1680000"/>
    <n v="0"/>
    <n v="0"/>
    <n v="0"/>
    <n v="12386640"/>
    <x v="0"/>
    <n v="0"/>
    <n v="1"/>
    <n v="7"/>
    <n v="0"/>
    <n v="0"/>
    <n v="0"/>
    <n v="0"/>
    <n v="0"/>
    <n v="0"/>
    <n v="0"/>
    <n v="7"/>
    <n v="7"/>
    <n v="7"/>
    <n v="7"/>
    <n v="7"/>
    <n v="7"/>
    <n v="6.4"/>
    <s v="SI"/>
    <s v="ALVARO CARLOS"/>
    <s v="a.avila@innovapymes.org"/>
    <n v="342358308"/>
    <s v="Montevideo 2550, Renca"/>
    <s v="Capacitar al participante para organizar, ejecutar y controlar actividades de movilización y distribución de cargas, aplicando normas de seguridad y procedimientos administrativos en entornos portuarios o industriales."/>
    <s v="Este curso entrega conocimientos técnicos y prácticos para movilizar cargas de forma segura y eficiente, incluyendo el uso de equipos de izaje, señalética manual, documentación de faena y evaluación del rendimiento operativo del turno"/>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SI"/>
    <n v="6.4"/>
    <x v="1"/>
    <n v="7.0000000000000009"/>
    <s v="SI"/>
    <n v="7"/>
    <s v="SI"/>
    <n v="1"/>
    <s v="SI"/>
    <n v="6373"/>
    <n v="6373"/>
    <s v="SI"/>
    <n v="0"/>
    <n v="0"/>
    <s v="SI"/>
    <n v="2"/>
    <n v="2"/>
    <s v="SI"/>
    <n v="0"/>
    <m/>
    <m/>
    <m/>
    <s v="Adjudica"/>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102946-0"/>
    <s v="CAPACITACIONES INNOVA PYMES LTDA"/>
    <n v="240"/>
    <n v="60"/>
    <n v="6373"/>
    <n v="0"/>
    <n v="50000"/>
    <n v="21413280"/>
    <n v="3360000"/>
    <n v="0"/>
    <n v="0"/>
    <n v="700000"/>
    <n v="2547328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NO"/>
    <n v="7"/>
    <x v="0"/>
    <s v="NO APLICA "/>
    <s v="NO"/>
    <s v="NO APLICA"/>
    <s v="NO APLICA"/>
    <s v="NO APLICA"/>
    <s v="NO APLICA"/>
    <s v=""/>
    <s v="NO APLICA"/>
    <s v="NO"/>
    <s v="NO APLICA"/>
    <s v="NO APLICA"/>
    <s v="NO"/>
    <n v="2"/>
    <n v="67"/>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102946-0"/>
    <s v="CAPACITACIONES INNOVA PYMES LTDA"/>
    <n v="80"/>
    <n v="20"/>
    <n v="6373"/>
    <n v="0"/>
    <n v="0"/>
    <n v="8157440"/>
    <n v="1280000"/>
    <n v="0"/>
    <n v="0"/>
    <n v="0"/>
    <n v="9437440"/>
    <x v="1"/>
    <s v="NUMERAL 6.1.2. ÍTEM 7 - EL OFERENTE NO PRESENTA LA ESTRUCTURA DE COSTOS PARA EL CURSO (ANEXO N° 3)."/>
    <n v="0"/>
    <n v="0"/>
    <n v="0"/>
    <n v="0"/>
    <n v="0"/>
    <n v="0"/>
    <n v="0"/>
    <n v="0"/>
    <n v="0"/>
    <n v="0"/>
    <n v="0"/>
    <n v="0"/>
    <n v="0"/>
    <n v="0"/>
    <n v="0"/>
    <n v="0"/>
    <s v="NO"/>
    <s v="ALVARO CARLOS"/>
    <s v="a.avila@innovapymes.org"/>
    <n v="342358308"/>
    <s v="Montevideo 2550,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x v="2"/>
    <s v="NO APLICA "/>
    <s v="NO"/>
    <s v="NO APLICA"/>
    <s v="NO APLICA"/>
    <s v="NO APLICA"/>
    <s v="NO APLICA"/>
    <s v=""/>
    <s v="NO APLICA"/>
    <s v="NO"/>
    <s v="NO APLICA"/>
    <s v="NO APLICA"/>
    <s v="NO"/>
    <n v="2"/>
    <n v="125"/>
    <s v="NO"/>
    <n v="0"/>
    <m/>
    <m/>
    <m/>
    <m/>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460844-5"/>
    <s v="Servicios de Capacitación Caitec S.A."/>
    <n v="110"/>
    <n v="28"/>
    <n v="5075"/>
    <n v="0"/>
    <n v="0"/>
    <n v="8932000"/>
    <n v="1792000"/>
    <n v="0"/>
    <n v="0"/>
    <n v="0"/>
    <n v="1072400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5075"/>
    <n v="5075"/>
    <n v="7"/>
    <s v="APROBADO"/>
    <s v="APROBADO"/>
    <n v="6.4"/>
    <s v="APROBADO"/>
    <s v="NO"/>
    <n v="6.6"/>
    <x v="0"/>
    <s v="NO APLICA "/>
    <s v="NO"/>
    <s v="NO APLICA"/>
    <s v="NO APLICA"/>
    <s v="NO APLICA"/>
    <s v="NO APLICA"/>
    <s v=""/>
    <s v="NO APLICA"/>
    <s v="NO"/>
    <s v="NO APLICA"/>
    <s v="NO APLICA"/>
    <s v="NO"/>
    <n v="43"/>
    <n v="43"/>
    <s v="SI"/>
    <n v="0"/>
    <m/>
    <m/>
    <m/>
    <m/>
    <m/>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460844-5"/>
    <s v="Servicios de Capacitación Caitec S.A."/>
    <n v="120"/>
    <n v="30"/>
    <n v="6373"/>
    <n v="0"/>
    <n v="0"/>
    <n v="10706640"/>
    <n v="1680000"/>
    <n v="0"/>
    <n v="0"/>
    <n v="0"/>
    <n v="12386640"/>
    <x v="1"/>
    <s v="NUMERAL 6.1.2. ÍTEM 6 - ERROR VALOR TOTAL DEL CURSO; OTEC ESTÁ CONSIDERANDO SUBSIDIO DE CUIDADO EN ANEXO 3, CUANDO NO ESTÁ CONTEMPLADO."/>
    <n v="0"/>
    <n v="0"/>
    <n v="0"/>
    <n v="0"/>
    <n v="0"/>
    <n v="0"/>
    <n v="0"/>
    <n v="0"/>
    <n v="0"/>
    <n v="0"/>
    <n v="0"/>
    <n v="0"/>
    <n v="0"/>
    <n v="0"/>
    <n v="0"/>
    <n v="0"/>
    <s v="NO"/>
    <s v="Osvaldo Sotomayor Baeza"/>
    <s v="gerencia@caitec.cl"/>
    <n v="722604254"/>
    <s v="Avenida La hacienda N° 1589,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x v="2"/>
    <s v="NO APLICA "/>
    <s v="NO"/>
    <s v="NO APLICA"/>
    <s v="NO APLICA"/>
    <s v="NO APLICA"/>
    <s v="NO APLICA"/>
    <s v=""/>
    <s v="NO APLICA"/>
    <s v="NO"/>
    <s v="NO APLICA"/>
    <s v="NO APLICA"/>
    <s v="NO"/>
    <n v="43"/>
    <n v="2"/>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460844-5"/>
    <s v="Servicios de Capacitación Caitec S.A."/>
    <n v="80"/>
    <n v="20"/>
    <n v="6373"/>
    <n v="0"/>
    <n v="0"/>
    <n v="8157440"/>
    <n v="1280000"/>
    <n v="0"/>
    <n v="0"/>
    <n v="0"/>
    <n v="943744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6373"/>
    <n v="6373"/>
    <n v="7"/>
    <s v="APROBADO"/>
    <s v="APROBADO"/>
    <n v="6.4"/>
    <s v="APROBADO"/>
    <s v="NO"/>
    <n v="7"/>
    <x v="0"/>
    <s v="NO APLICA "/>
    <s v="NO"/>
    <s v="NO APLICA"/>
    <s v="NO APLICA"/>
    <s v="NO APLICA"/>
    <s v="NO APLICA"/>
    <s v=""/>
    <s v="NO APLICA"/>
    <s v="NO"/>
    <s v="NO APLICA"/>
    <s v="NO APLICA"/>
    <s v="NO"/>
    <n v="43"/>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460844-5"/>
    <s v="Servicios de Capacitación Caitec S.A."/>
    <n v="272"/>
    <n v="68"/>
    <n v="5075"/>
    <n v="250000"/>
    <n v="250000"/>
    <n v="19325600"/>
    <n v="3808000"/>
    <n v="3500000"/>
    <n v="0"/>
    <n v="3500000"/>
    <n v="30133600"/>
    <x v="0"/>
    <n v="0"/>
    <n v="3"/>
    <n v="5"/>
    <n v="0"/>
    <n v="0"/>
    <n v="0"/>
    <n v="0"/>
    <n v="0"/>
    <n v="0"/>
    <n v="0"/>
    <n v="7"/>
    <n v="7"/>
    <n v="7"/>
    <n v="7"/>
    <n v="7"/>
    <n v="6.9"/>
    <n v="6.4"/>
    <s v="NO"/>
    <s v="Osvaldo Sotomayor Baeza"/>
    <s v="gerencia@caitec.cl"/>
    <n v="722604254"/>
    <s v="Avenida La hacienda N° 1589, Renca"/>
    <n v="0"/>
    <n v="0"/>
    <n v="0"/>
    <n v="0"/>
    <n v="0"/>
    <n v="0"/>
    <n v="0"/>
    <n v="0"/>
    <n v="0"/>
    <n v="0"/>
    <n v="0"/>
    <n v="0"/>
    <n v="0"/>
    <n v="0"/>
    <n v="0"/>
    <n v="0"/>
    <n v="0"/>
    <n v="0"/>
    <s v="SHMAN"/>
    <s v="SI"/>
    <s v="NO"/>
    <n v="0"/>
    <n v="0"/>
    <n v="0"/>
    <n v="0"/>
    <n v="0"/>
    <n v="0"/>
    <n v="0"/>
    <n v="0"/>
    <n v="0"/>
    <n v="0"/>
    <s v="SI"/>
    <n v="0"/>
    <s v="SI"/>
    <n v="0"/>
    <s v="SI"/>
    <n v="0"/>
    <n v="0.30000000000000004"/>
    <n v="0.5"/>
    <s v="SI"/>
    <n v="0"/>
    <n v="0"/>
    <n v="0"/>
    <n v="7.0000000000000009"/>
    <n v="7.0000000000000009"/>
    <n v="5075"/>
    <n v="5000"/>
    <n v="6.9"/>
    <s v="APROBADO"/>
    <s v="APROBADO"/>
    <n v="6.4"/>
    <s v="APROBADO"/>
    <s v="NO"/>
    <n v="7"/>
    <x v="0"/>
    <s v="NO APLICA "/>
    <s v="NO"/>
    <s v="NO APLICA"/>
    <s v="NO APLICA"/>
    <s v="NO APLICA"/>
    <s v="NO APLICA"/>
    <s v=""/>
    <s v="NO APLICA"/>
    <s v="NO"/>
    <s v="NO APLICA"/>
    <s v="NO APLICA"/>
    <s v="NO"/>
    <n v="43"/>
    <n v="125"/>
    <s v="NO"/>
    <n v="0"/>
    <m/>
    <m/>
    <m/>
    <m/>
    <m/>
  </r>
  <r>
    <x v="5"/>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1"/>
    <n v="0"/>
    <s v="SSH"/>
    <s v="SI"/>
    <s v="NO"/>
    <n v="0"/>
    <n v="0"/>
    <n v="0"/>
    <n v="1"/>
    <n v="0"/>
    <n v="0"/>
    <n v="0"/>
    <n v="0"/>
    <n v="0"/>
    <n v="0"/>
    <s v="NO"/>
    <n v="1"/>
    <s v="SI"/>
    <s v="NO APLICA"/>
    <s v="SI"/>
    <s v="NO APLICA"/>
    <s v="NO APLICA"/>
    <s v="NO APLICA"/>
    <s v="SI"/>
    <n v="0"/>
    <n v="0"/>
    <s v="NO APLICA"/>
    <s v="NO APLICA"/>
    <s v="NO APLICA"/>
    <n v="6373"/>
    <n v="6373"/>
    <s v="NO APLICA"/>
    <s v="NO APLICA"/>
    <s v="NO APLICA"/>
    <s v="NO APLICA"/>
    <s v="NO APLICA"/>
    <s v="SI"/>
    <s v="NO APLICA"/>
    <x v="2"/>
    <s v="NO APLICA "/>
    <s v="NO"/>
    <s v="NO APLICA"/>
    <s v="NO APLICA"/>
    <s v="NO APLICA"/>
    <s v="NO APLICA"/>
    <s v=""/>
    <s v="NO APLICA"/>
    <s v="NO"/>
    <s v="NO APLICA"/>
    <s v="NO APLICA"/>
    <s v="NO"/>
    <n v="89"/>
    <n v="89"/>
    <s v="SI"/>
    <n v="0"/>
    <m/>
    <m/>
    <m/>
    <m/>
    <m/>
  </r>
  <r>
    <x v="6"/>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x v="1"/>
    <n v="7.0000000000000009"/>
    <s v="SI"/>
    <n v="7"/>
    <s v="SI"/>
    <n v="7"/>
    <s v="SI"/>
    <n v="6373"/>
    <n v="6373"/>
    <s v="SI"/>
    <n v="0"/>
    <n v="0"/>
    <s v="SI"/>
    <n v="89"/>
    <n v="89"/>
    <s v="SI"/>
    <n v="0"/>
    <m/>
    <m/>
    <m/>
    <m/>
    <m/>
  </r>
  <r>
    <x v="7"/>
    <s v="SOFOFA"/>
    <n v="2025"/>
    <s v="MANDATO"/>
    <s v="65181652-1"/>
    <s v="SOFOFA"/>
    <s v="70417500-0"/>
    <s v="CORPORACION DE CAPACITACION Y EMPLEO SOFOFA (LICEOS)"/>
    <s v="CURSO ESPECIAL CON SIMULADOR DE INMERSIÓN TOTAL CONDUCENTE A LICENCIA DE CONDUCTOR PROFESIONAL CLASE A-5"/>
    <s v="PF0621"/>
    <n v="0"/>
    <s v=""/>
    <n v="13"/>
    <n v="0"/>
    <s v="SANTIAGO"/>
    <s v="EMPRENDEDORES/AS INFORMALES O PERSONAS VULNERABLES PERTENECIENTES AL 80% MAS VULNERABLE"/>
    <s v="PRESENCIAL"/>
    <s v="DEPENDIENTE"/>
    <s v="01. LUNES - MAÑANA / 04. MARTES - MAÑANA / 07. MIÉRCOLES - MAÑANA / 10. JUEVES - MAÑANA / 13. VIERNES - MAÑANA"/>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57"/>
    <n v="3"/>
    <s v="65088432-9"/>
    <s v="corporación Nueva Ciaspo"/>
    <n v="225"/>
    <n v="57"/>
    <n v="7200"/>
    <n v="0"/>
    <n v="50000"/>
    <n v="24300000"/>
    <n v="3420000"/>
    <n v="0"/>
    <n v="0"/>
    <n v="750000"/>
    <n v="28470000"/>
    <x v="0"/>
    <n v="0"/>
    <n v="7"/>
    <n v="7"/>
    <n v="0"/>
    <n v="0"/>
    <n v="0"/>
    <n v="0"/>
    <n v="0"/>
    <n v="0"/>
    <n v="0"/>
    <n v="7"/>
    <n v="7"/>
    <n v="7"/>
    <n v="7"/>
    <n v="7"/>
    <n v="7"/>
    <n v="7"/>
    <s v="SI"/>
    <s v="Marcela Guerrero Rojas"/>
    <s v="mliriag@gmail.com"/>
    <n v="950110805"/>
    <s v="Dieciocho 182, Santiago"/>
    <s v="Formar conductores profesionales capacitados para operar vehículos motorizados articulados o combinados, aplicando técnicas de conducción segura, normativa vigente y procedimientos de carga y descarga mediante simulación inmersiva."/>
    <s v="Este curso entrega conocimientos teóricos y prácticos para obtener la Licencia Clase A-5, utilizando simuladores de inmersión total que recrean condiciones reales de conducción. Incluye normativa de tránsito, seguridad vial, mantenimiento preventivo y maniobras operativas en transporte de carga"/>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7200"/>
    <n v="7200"/>
    <n v="7"/>
    <s v="APROBADO"/>
    <s v="APROBADO"/>
    <n v="7"/>
    <s v="APROBADO"/>
    <s v="NO"/>
    <n v="7"/>
    <x v="1"/>
    <n v="7.0000000000000009"/>
    <s v="SI"/>
    <n v="7"/>
    <s v="SI"/>
    <n v="7"/>
    <s v="SI"/>
    <n v="7200"/>
    <n v="7200"/>
    <s v="SI"/>
    <n v="0"/>
    <n v="0"/>
    <s v="SI"/>
    <n v="89"/>
    <n v="89"/>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476826-2"/>
    <s v="AUSO CAPACITACIONES SPA"/>
    <n v="272"/>
    <n v="68"/>
    <n v="5000"/>
    <n v="250000"/>
    <n v="250000"/>
    <n v="19040000"/>
    <n v="3808000"/>
    <n v="3500000"/>
    <n v="0"/>
    <n v="3500000"/>
    <n v="29848000"/>
    <x v="0"/>
    <n v="0"/>
    <n v="1"/>
    <n v="7"/>
    <n v="0"/>
    <n v="0"/>
    <n v="0"/>
    <n v="0"/>
    <n v="0"/>
    <n v="0"/>
    <n v="0"/>
    <n v="7"/>
    <n v="7"/>
    <n v="7"/>
    <n v="7"/>
    <n v="7"/>
    <n v="7"/>
    <n v="6.4"/>
    <s v="NO"/>
    <s v="CLAUDIA NUÑEZ"/>
    <s v="CLAUDIA.NUNEZ@AUSOCAPACITACIONES.CL"/>
    <n v="984199668"/>
    <s v="DOMINGO SANTA MARÍA # 392, Renca"/>
    <n v="0"/>
    <n v="0"/>
    <n v="0"/>
    <n v="0"/>
    <n v="0"/>
    <n v="0"/>
    <n v="0"/>
    <n v="0"/>
    <n v="0"/>
    <n v="0"/>
    <n v="0"/>
    <n v="0"/>
    <n v="0"/>
    <n v="0"/>
    <n v="0"/>
    <n v="0"/>
    <n v="0"/>
    <n v="0"/>
    <s v="SHMAN"/>
    <s v="SI"/>
    <s v="NO"/>
    <n v="0"/>
    <n v="1"/>
    <n v="0"/>
    <n v="0"/>
    <n v="0"/>
    <n v="0"/>
    <n v="0"/>
    <n v="0"/>
    <n v="0"/>
    <n v="0"/>
    <s v="NO"/>
    <n v="1"/>
    <s v="NO"/>
    <s v="NO APLICA"/>
    <s v="NO"/>
    <s v="NO APLICA"/>
    <s v="NO APLICA"/>
    <s v="NO APLICA"/>
    <s v="SI"/>
    <n v="0"/>
    <n v="0"/>
    <s v="NO APLICA"/>
    <s v="NO APLICA"/>
    <s v="NO APLICA"/>
    <n v="5000"/>
    <n v="5000"/>
    <s v="NO APLICA"/>
    <s v="NO APLICA"/>
    <s v="NO APLICA"/>
    <s v="NO APLICA"/>
    <s v="NO APLICA"/>
    <s v="NO"/>
    <s v="NO APLICA"/>
    <x v="2"/>
    <s v="NO APLICA "/>
    <s v="NO"/>
    <s v="NO APLICA"/>
    <s v="NO APLICA"/>
    <s v="NO APLICA"/>
    <s v="NO APLICA"/>
    <s v=""/>
    <s v="NO APLICA"/>
    <s v="NO"/>
    <s v="NO APLICA"/>
    <s v="NO APLICA"/>
    <s v="NO"/>
    <n v="0"/>
    <n v="0"/>
    <s v="SI"/>
    <n v="0"/>
    <s v="Error valor hora alumno  "/>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n v="0"/>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606610-0"/>
    <s v="Centro de Capacitación Inforcap SPA"/>
    <n v="160"/>
    <n v="32"/>
    <n v="6373"/>
    <n v="0"/>
    <n v="0"/>
    <n v="15295200"/>
    <n v="1920000"/>
    <n v="0"/>
    <n v="0"/>
    <n v="0"/>
    <n v="17215200"/>
    <x v="0"/>
    <n v="0"/>
    <n v="7"/>
    <n v="7"/>
    <n v="7"/>
    <n v="7"/>
    <n v="7"/>
    <n v="7"/>
    <n v="7"/>
    <n v="7"/>
    <n v="7"/>
    <n v="7"/>
    <n v="7"/>
    <n v="7"/>
    <n v="7"/>
    <n v="7"/>
    <n v="7"/>
    <n v="7"/>
    <s v="NO"/>
    <s v="Pia fuentes corcoran"/>
    <s v="pfuentescorcoran@gmail.com"/>
    <n v="992196137"/>
    <s v="PROVENIR #458, COMUNA DE SANTIAGO, Santiago"/>
    <n v="0"/>
    <n v="0"/>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x v="1"/>
    <n v="7.0000000000000009"/>
    <s v="SI"/>
    <n v="7"/>
    <s v="SI"/>
    <n v="7"/>
    <s v="SI"/>
    <n v="6373"/>
    <n v="6373"/>
    <s v="SI"/>
    <n v="0.67164179104477606"/>
    <n v="0"/>
    <s v="NO"/>
    <n v="67"/>
    <n v="125"/>
    <s v="NO"/>
    <n v="0"/>
    <s v="No adjudica dado que presenta procentaje de multas ponderadas "/>
    <m/>
    <m/>
    <m/>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606610-0"/>
    <s v="Centro de Capacitación Inforcap SPA"/>
    <n v="240"/>
    <n v="60"/>
    <n v="6373"/>
    <n v="0"/>
    <n v="50000"/>
    <n v="21413280"/>
    <n v="3360000"/>
    <n v="0"/>
    <n v="0"/>
    <n v="700000"/>
    <n v="25473280"/>
    <x v="0"/>
    <n v="0"/>
    <n v="7"/>
    <n v="7"/>
    <n v="0"/>
    <n v="0"/>
    <n v="0"/>
    <n v="0"/>
    <n v="0"/>
    <n v="0"/>
    <n v="0"/>
    <n v="7"/>
    <n v="7"/>
    <n v="7"/>
    <n v="7"/>
    <n v="7"/>
    <n v="7"/>
    <n v="7"/>
    <s v="SI"/>
    <s v="Pia fuentes corcoran"/>
    <s v="pfuentescorcoran@gmail.com"/>
    <n v="992196137"/>
    <s v="SALA DE CLASES: AVENIDA VENTISQUERO 1225, BODEGA 75, COMUNA DE RENCA TALLER: AV. PDTE. EDUARDO FREI, Renca"/>
    <s v="Capacitar al participante en la operación segura y eficiente de cargadores frontales, aplicando procedimientos técnicos, normas de seguridad y criterios de mantenimiento preventivo en contextos de construcción, minería o logística."/>
    <s v="Este curso entrega conocimientos prácticos sobre el manejo de cargadores frontales, incluyendo inspección preoperacional, técnicas de carguío, uso de controles, prevención de riesgos y mantenimiento básico del equipo, conforme a normativa vigente y condiciones operativas del entorno"/>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NO"/>
    <n v="7"/>
    <x v="1"/>
    <n v="7.0000000000000009"/>
    <s v="SI"/>
    <n v="7"/>
    <s v="SI"/>
    <n v="7"/>
    <s v="SI"/>
    <n v="6373"/>
    <n v="6373"/>
    <s v="SI"/>
    <n v="0.67164179104477606"/>
    <n v="0.67164179104477606"/>
    <s v="SI"/>
    <n v="67"/>
    <n v="67"/>
    <s v="SI"/>
    <n v="0"/>
    <m/>
    <m/>
    <m/>
    <s v="Adjudica"/>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606610-0"/>
    <s v="Centro de Capacitación Inforcap SPA"/>
    <n v="272"/>
    <n v="68"/>
    <n v="5075"/>
    <n v="250000"/>
    <n v="250000"/>
    <n v="19325600"/>
    <n v="3808000"/>
    <n v="3500000"/>
    <n v="0"/>
    <n v="3500000"/>
    <n v="30133600"/>
    <x v="0"/>
    <n v="0"/>
    <n v="7"/>
    <n v="7"/>
    <n v="0"/>
    <n v="0"/>
    <n v="0"/>
    <n v="0"/>
    <n v="0"/>
    <n v="0"/>
    <n v="0"/>
    <n v="7"/>
    <n v="7"/>
    <n v="7"/>
    <n v="7"/>
    <n v="7"/>
    <n v="6.9"/>
    <n v="7"/>
    <s v="NO"/>
    <s v="Pia fuentes corcoran"/>
    <s v="pfuentescorcoran@gmail.com"/>
    <n v="992196137"/>
    <s v="&quot;SALA DE CLASES: AVENIDA VENTISQUERO 1225, BODEGA 75, COMUNA DE RENCA TALLER: AV. PDTE. EDUARDO FREI,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x v="1"/>
    <n v="7.0000000000000009"/>
    <s v="SI"/>
    <n v="7"/>
    <s v="SI"/>
    <n v="7"/>
    <s v="SI"/>
    <n v="5075"/>
    <n v="5075"/>
    <s v="SI"/>
    <n v="0.67164179104477606"/>
    <n v="0"/>
    <s v="NO"/>
    <n v="67"/>
    <n v="125"/>
    <s v="NO"/>
    <n v="0"/>
    <s v="No adjudica dado que presenta procentaje de multas ponderadas más alto "/>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302818-6"/>
    <s v="cade capacitacion y desarrollo empresarial e.i.r.l"/>
    <n v="80"/>
    <n v="20"/>
    <n v="6373"/>
    <n v="0"/>
    <n v="0"/>
    <n v="8157440"/>
    <n v="1280000"/>
    <n v="0"/>
    <n v="0"/>
    <n v="0"/>
    <n v="9437440"/>
    <x v="0"/>
    <n v="0"/>
    <n v="3"/>
    <n v="7"/>
    <n v="0"/>
    <n v="0"/>
    <n v="0"/>
    <n v="0"/>
    <n v="0"/>
    <n v="0"/>
    <n v="0"/>
    <n v="7"/>
    <n v="7"/>
    <n v="7"/>
    <n v="7"/>
    <n v="7"/>
    <n v="7"/>
    <n v="6.6"/>
    <s v="NO"/>
    <s v="ALEJANDRA HUANCHICAY"/>
    <s v="becaslaborales@cade.cl"/>
    <n v="973778527"/>
    <s v="Blanco Encalada Nº 133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x v="0"/>
    <s v="NO APLICA "/>
    <s v="NO"/>
    <s v="NO APLICA"/>
    <s v="NO APLICA"/>
    <s v="NO APLICA"/>
    <s v="NO APLICA"/>
    <s v=""/>
    <s v="NO APLICA"/>
    <s v="NO"/>
    <s v="NO APLICA"/>
    <s v="NO APLICA"/>
    <s v="NO"/>
    <n v="23"/>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056645-4"/>
    <s v="ISOLUTION CAPACITACION EN GESTION LILITADA"/>
    <n v="272"/>
    <n v="68"/>
    <n v="5075"/>
    <n v="250000"/>
    <n v="250000"/>
    <n v="19325600"/>
    <n v="3808000"/>
    <n v="3500000"/>
    <n v="0"/>
    <n v="3500000"/>
    <n v="30133600"/>
    <x v="0"/>
    <n v="0"/>
    <n v="7"/>
    <n v="7"/>
    <n v="0"/>
    <n v="0"/>
    <n v="0"/>
    <n v="0"/>
    <n v="0"/>
    <n v="0"/>
    <n v="0"/>
    <n v="7"/>
    <n v="7"/>
    <n v="7"/>
    <n v="7"/>
    <n v="7"/>
    <n v="6.9"/>
    <n v="7"/>
    <s v="NO"/>
    <s v="GUILLERMO"/>
    <s v="ggonzalez@isolution.cl"/>
    <n v="995163347"/>
    <s v="LOS GERANIOS #3203,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SI"/>
    <n v="7"/>
    <x v="1"/>
    <n v="7.0000000000000009"/>
    <s v="SI"/>
    <n v="7"/>
    <s v="SI"/>
    <n v="7"/>
    <s v="SI"/>
    <n v="5075"/>
    <n v="5075"/>
    <s v="SI"/>
    <n v="0.16245487364620939"/>
    <n v="0"/>
    <s v="NO"/>
    <n v="122"/>
    <n v="125"/>
    <s v="NO"/>
    <n v="0"/>
    <s v="No adjudica dado que presenta procentaje de multas ponderadas más alto "/>
    <m/>
    <m/>
    <m/>
    <m/>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PUYEHUE"/>
    <s v="ESTUDIANTES DE CUARTO AÑO DE ENSEÑANZA MEDIA O DE LICEOS TÉCNICOS PROFESIONALES."/>
    <s v="PRESENCIAL"/>
    <s v="DEPENDIENTE"/>
    <s v="04. MART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Ruta Internacional CH215, km 43 S/N – Puyehue, Puyehue"/>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x v="1"/>
    <n v="7.0000000000000009"/>
    <s v="SI"/>
    <n v="7"/>
    <s v="SI"/>
    <n v="1"/>
    <s v="SI"/>
    <n v="7434"/>
    <n v="7434"/>
    <s v="SI"/>
    <n v="0"/>
    <n v="0"/>
    <s v="SI"/>
    <n v="0"/>
    <n v="0"/>
    <s v="SI"/>
    <n v="0"/>
    <m/>
    <m/>
    <m/>
    <s v="Adjudica "/>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n v="0"/>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Camino a Mision Quilacahuin, Liceo Quilacahuin San Pablo, Los Lagos, San Pabl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x v="1"/>
    <n v="7.0000000000000009"/>
    <s v="SI"/>
    <n v="7"/>
    <s v="SI"/>
    <n v="1"/>
    <s v="SI"/>
    <n v="7434"/>
    <n v="7434"/>
    <s v="SI"/>
    <n v="0"/>
    <n v="0"/>
    <s v="SI"/>
    <n v="0"/>
    <n v="0"/>
    <s v="SI"/>
    <n v="0"/>
    <m/>
    <m/>
    <m/>
    <s v="Adjudica "/>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Av. René Soriano 2615, Osorno, Los Lagos, Osorn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x v="1"/>
    <n v="7.0000000000000009"/>
    <s v="SI"/>
    <n v="7"/>
    <s v="SI"/>
    <n v="1"/>
    <s v="SI"/>
    <n v="7434"/>
    <n v="7434"/>
    <s v="SI"/>
    <n v="0"/>
    <n v="0"/>
    <s v="SI"/>
    <n v="0"/>
    <n v="0"/>
    <s v="SI"/>
    <n v="0"/>
    <m/>
    <m/>
    <m/>
    <s v="Adjudica "/>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Bernardo Ohiggins 210, DE LOS LAGOS, FRESIA, Fresia"/>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x v="1"/>
    <n v="7.0000000000000009"/>
    <s v="SI"/>
    <n v="7"/>
    <s v="SI"/>
    <n v="1"/>
    <s v="SI"/>
    <n v="7434"/>
    <n v="7434"/>
    <s v="SI"/>
    <n v="0"/>
    <n v="0"/>
    <s v="SI"/>
    <n v="0"/>
    <n v="0"/>
    <s v="SI"/>
    <n v="0"/>
    <m/>
    <m/>
    <m/>
    <s v="Adjudica "/>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7593380-1"/>
    <s v="Centro de Investigación para el Desarrollo y Capacitación Limitada"/>
    <n v="110"/>
    <n v="28"/>
    <n v="5075"/>
    <n v="0"/>
    <n v="0"/>
    <n v="8932000"/>
    <n v="1792000"/>
    <n v="0"/>
    <n v="0"/>
    <n v="0"/>
    <n v="10724000"/>
    <x v="0"/>
    <n v="0"/>
    <n v="3"/>
    <n v="7"/>
    <n v="0"/>
    <n v="0"/>
    <n v="0"/>
    <n v="0"/>
    <n v="0"/>
    <n v="0"/>
    <n v="0"/>
    <n v="7"/>
    <n v="7"/>
    <n v="7"/>
    <n v="7"/>
    <n v="7"/>
    <n v="7"/>
    <n v="6.6"/>
    <s v="SI"/>
    <s v="EMILY RODRIGUEZ"/>
    <s v="ERODRIGUEZ@institutoasiste.cl"/>
    <n v="225962361"/>
    <s v="PASAJE VIRGINIO ARIAS 1926, Renca"/>
    <s v="Capacitar al participante para asistir en tareas de mantenimiento eléctrico de baja tensión, aplicando procedimientos técnicos, normas de seguridad y uso adecuado de herramientas, bajo supervisión especializada."/>
    <s v="Este curso entrega conocimientos básicos para apoyar labores de mantenimiento preventivo y correctivo en instalaciones eléctricas de baja tensión. Incluye identificación de componentes, uso de instrumentos de medición, aplicación de protocolos de seguridad y asistencia en inspecciones, limpieza y reparación de equipos eléctricos."/>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SI"/>
    <n v="6.6"/>
    <x v="1"/>
    <n v="7.0000000000000009"/>
    <s v="SI"/>
    <n v="7"/>
    <s v="SI"/>
    <n v="3"/>
    <s v="SI"/>
    <n v="5075"/>
    <n v="5075"/>
    <s v="SI"/>
    <n v="0"/>
    <n v="0"/>
    <s v="SI"/>
    <n v="33"/>
    <n v="43"/>
    <s v="NO"/>
    <n v="0"/>
    <m/>
    <m/>
    <m/>
    <s v="Adjudica "/>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7593380-1"/>
    <s v="Centro de Investigación para el Desarrollo y Capacitación Limitada"/>
    <n v="120"/>
    <n v="30"/>
    <n v="5075"/>
    <n v="0"/>
    <n v="0"/>
    <n v="9135000"/>
    <n v="1800000"/>
    <n v="0"/>
    <n v="0"/>
    <n v="0"/>
    <n v="10935000"/>
    <x v="0"/>
    <n v="0"/>
    <n v="3"/>
    <n v="7"/>
    <n v="0"/>
    <n v="0"/>
    <n v="0"/>
    <n v="0"/>
    <n v="0"/>
    <n v="0"/>
    <n v="0"/>
    <n v="7"/>
    <n v="7"/>
    <n v="7"/>
    <n v="7"/>
    <n v="7"/>
    <n v="7"/>
    <n v="6.6"/>
    <s v="SI"/>
    <s v="EMILY RODRIGUEZ"/>
    <s v="ERODRIGUEZ@institutoasiste.cl"/>
    <n v="225962361"/>
    <s v="PASAJE VIRGINIO ARIAS 1926, Renca"/>
    <s v="Formar técnicos capacitados en el diagnóstico, mantenimiento y reparación de sistemas electromecánicos de vehículos automotrices, integrando conocimientos de mecánica, electricidad y electrónica bajo estándares de seguridad, calidad y sustentabilidad."/>
    <s v="Este curso entrega competencias para intervenir sistemas de propulsión, eléctricos, electrónicos y de confort de vehículos livianos y pesados. Incluye diagnóstico computarizado, mantenimiento preventivo y correctivo, gestión de servicio técnico y aplicación de normativas vigentes en electromovilidad y mecánica automotriz"/>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x v="1"/>
    <n v="7.0000000000000009"/>
    <s v="SI"/>
    <n v="7"/>
    <s v="SI"/>
    <n v="3"/>
    <s v="SI"/>
    <n v="5075"/>
    <n v="5075"/>
    <s v="SI"/>
    <n v="0"/>
    <n v="0"/>
    <s v="SI"/>
    <n v="33"/>
    <n v="33"/>
    <s v="SI"/>
    <n v="0"/>
    <s v="Adjudica dado que presenta menor procentaje de multas ponderadas "/>
    <m/>
    <m/>
    <s v="Adjudica "/>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7593380-1"/>
    <s v="Centro de Investigación para el Desarrollo y Capacitación Limitada"/>
    <n v="240"/>
    <n v="60"/>
    <n v="6373"/>
    <n v="0"/>
    <n v="50000"/>
    <n v="21413280"/>
    <n v="3360000"/>
    <n v="0"/>
    <n v="0"/>
    <n v="700000"/>
    <n v="25473280"/>
    <x v="0"/>
    <n v="0"/>
    <n v="3"/>
    <n v="7"/>
    <n v="0"/>
    <n v="0"/>
    <n v="0"/>
    <n v="0"/>
    <n v="0"/>
    <n v="0"/>
    <n v="0"/>
    <n v="7"/>
    <n v="7"/>
    <n v="7"/>
    <n v="7"/>
    <n v="7"/>
    <n v="7"/>
    <n v="6.6"/>
    <s v="NO"/>
    <s v="EMILY RODRIGUEZ"/>
    <s v="ERODRIGUEZ@institutoasiste.cl"/>
    <n v="225962361"/>
    <s v="PASAJE VIRGINIO ARIAS 1926,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x v="0"/>
    <s v="NO APLICA "/>
    <s v="NO"/>
    <s v="NO APLICA"/>
    <s v="NO APLICA"/>
    <s v="NO APLICA"/>
    <s v="NO APLICA"/>
    <s v=""/>
    <s v="NO APLICA"/>
    <s v="NO"/>
    <s v="NO APLICA"/>
    <s v="NO APLICA"/>
    <s v="NO"/>
    <n v="33"/>
    <n v="67"/>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55298-4"/>
    <s v="Centro de Formación y Capacitación Limitada"/>
    <n v="80"/>
    <n v="20"/>
    <n v="6373"/>
    <n v="0"/>
    <n v="0"/>
    <n v="8157440"/>
    <n v="1280000"/>
    <n v="0"/>
    <n v="0"/>
    <n v="0"/>
    <n v="9437440"/>
    <x v="0"/>
    <n v="0"/>
    <n v="5"/>
    <n v="7"/>
    <n v="0"/>
    <n v="0"/>
    <n v="0"/>
    <n v="0"/>
    <n v="0"/>
    <n v="0"/>
    <n v="0"/>
    <n v="7"/>
    <n v="7"/>
    <n v="7"/>
    <n v="7"/>
    <n v="7"/>
    <n v="7"/>
    <n v="6.8"/>
    <s v="NO"/>
    <s v="José Beniscelli"/>
    <s v="jbeniscelli@cenfor.cl"/>
    <n v="986851817"/>
    <s v="Av. Miraflore 8414, Renca"/>
    <n v="0"/>
    <n v="0"/>
    <n v="0"/>
    <n v="0"/>
    <n v="0"/>
    <n v="0"/>
    <n v="0"/>
    <n v="0"/>
    <n v="0"/>
    <n v="0"/>
    <n v="0"/>
    <n v="0"/>
    <n v="0"/>
    <n v="0"/>
    <n v="0"/>
    <n v="0"/>
    <n v="0"/>
    <n v="0"/>
    <s v="SSH"/>
    <s v="SI"/>
    <s v="NO"/>
    <n v="0"/>
    <n v="0"/>
    <n v="0"/>
    <n v="0"/>
    <n v="0"/>
    <n v="0"/>
    <n v="0"/>
    <n v="0"/>
    <n v="0"/>
    <n v="0"/>
    <s v="SI"/>
    <n v="0"/>
    <s v="SI"/>
    <n v="0"/>
    <s v="SI"/>
    <n v="0"/>
    <n v="0.5"/>
    <n v="0.70000000000000007"/>
    <s v="SI"/>
    <n v="0"/>
    <n v="0"/>
    <n v="0"/>
    <n v="7.0000000000000009"/>
    <n v="7.0000000000000009"/>
    <n v="6373"/>
    <n v="6373"/>
    <n v="7"/>
    <s v="APROBADO"/>
    <s v="APROBADO"/>
    <n v="6.8"/>
    <s v="APROBADO"/>
    <s v="SI"/>
    <n v="7"/>
    <x v="0"/>
    <s v="NO APLICA "/>
    <s v="NO"/>
    <s v="NO APLICA"/>
    <s v="NO APLICA"/>
    <s v="NO APLICA"/>
    <s v="NO APLICA"/>
    <s v=""/>
    <s v="NO APLICA"/>
    <s v="NO"/>
    <s v="NO APLICA"/>
    <s v="NO APLICA"/>
    <s v="NO"/>
    <n v="48"/>
    <n v="125"/>
    <s v="NO"/>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65062756-3"/>
    <s v="Fundaciòn Forpe Chile"/>
    <n v="160"/>
    <n v="32"/>
    <n v="6373"/>
    <n v="0"/>
    <n v="0"/>
    <n v="15295200"/>
    <n v="1920000"/>
    <n v="0"/>
    <n v="0"/>
    <n v="0"/>
    <n v="17215200"/>
    <x v="0"/>
    <n v="0"/>
    <n v="7"/>
    <n v="7"/>
    <n v="7"/>
    <n v="7"/>
    <n v="7"/>
    <n v="7"/>
    <n v="7"/>
    <n v="7"/>
    <n v="7"/>
    <n v="7"/>
    <n v="7"/>
    <n v="7"/>
    <n v="7"/>
    <n v="7"/>
    <n v="7"/>
    <n v="7"/>
    <s v="SI"/>
    <s v="ESTEBAN VEGA TORO"/>
    <s v="contacto@forpe.cl"/>
    <n v="228347804"/>
    <s v="Padre Miguel de Olivares 1324, Santiago"/>
    <s v="Capacitar al participante en la aplicación de procedimientos de control de calidad en la industria alimentaria, asegurando la inocuidad, trazabilidad y cumplimiento de estándares técnicos y normativos en cada etapa del proceso productivo."/>
    <s v="Este curso entrega herramientas para implementar controles de calidad en alimentos, desde la recepción de materias primas hasta el producto final. Incluye análisis microbiológicos, físicos y sensoriales, gestión de riesgos, buenas prácticas de manufactura y trazabilidad en procesos alimentarios."/>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x v="1"/>
    <n v="7.0000000000000009"/>
    <s v="SI"/>
    <n v="7"/>
    <s v="SI"/>
    <n v="7"/>
    <s v="SI"/>
    <n v="6373"/>
    <n v="6373"/>
    <s v="SI"/>
    <n v="0"/>
    <n v="0"/>
    <s v="SI"/>
    <n v="125"/>
    <n v="125"/>
    <s v="SI"/>
    <n v="0"/>
    <s v="Adjudica dado que presenta menor procentaje de multas ponderaadas "/>
    <m/>
    <m/>
    <s v="Adjudica "/>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65062756-3"/>
    <s v="Fundaciòn Forpe Chile"/>
    <n v="80"/>
    <n v="20"/>
    <n v="6373"/>
    <n v="0"/>
    <n v="0"/>
    <n v="8157440"/>
    <n v="1280000"/>
    <n v="0"/>
    <n v="0"/>
    <n v="0"/>
    <n v="9437440"/>
    <x v="0"/>
    <n v="0"/>
    <n v="7"/>
    <n v="7"/>
    <n v="0"/>
    <n v="0"/>
    <n v="0"/>
    <n v="0"/>
    <n v="0"/>
    <n v="0"/>
    <n v="0"/>
    <n v="7"/>
    <n v="7"/>
    <n v="7"/>
    <n v="7"/>
    <n v="7"/>
    <n v="7"/>
    <n v="7"/>
    <s v="SI"/>
    <s v="ESTEBAN VEGA TORO"/>
    <s v="contacto@forpe.cl"/>
    <n v="228347804"/>
    <s v="Vicuña Makena 1020, Renca"/>
    <s v="Capacitar al participante en la gestión eficiente de procesos logísticos en bodegas, centros de distribución y centros de transferencia, aplicando técnicas de almacenamiento, manejo de inventarios y control operativo conforme a estándares de calidad y seguridad."/>
    <s v="Este curso entrega conocimientos prácticos sobre recepción, almacenamiento, preparación de pedidos y despacho de mercancías. Aborda el diseño de layout, flujo de materiales, optimización de espacios, rotación de inventarios y buenas prácticas logísticas para mejorar la eficiencia operativa en distintos tipos de instalacione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x v="1"/>
    <n v="7.0000000000000009"/>
    <s v="SI"/>
    <n v="7"/>
    <s v="SI"/>
    <n v="7"/>
    <s v="SI"/>
    <n v="6373"/>
    <n v="6373"/>
    <s v="SI"/>
    <n v="0"/>
    <n v="0"/>
    <s v="SI"/>
    <n v="125"/>
    <n v="125"/>
    <s v="SI"/>
    <n v="0"/>
    <m/>
    <m/>
    <m/>
    <s v="Adjudica "/>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62756-3"/>
    <s v="Fundaciòn Forpe Chile"/>
    <n v="272"/>
    <n v="68"/>
    <n v="5075"/>
    <n v="250000"/>
    <n v="250000"/>
    <n v="19325600"/>
    <n v="3808000"/>
    <n v="3500000"/>
    <n v="0"/>
    <n v="3500000"/>
    <n v="30133600"/>
    <x v="0"/>
    <n v="0"/>
    <n v="7"/>
    <n v="7"/>
    <n v="0"/>
    <n v="0"/>
    <n v="0"/>
    <n v="0"/>
    <n v="0"/>
    <n v="0"/>
    <n v="0"/>
    <n v="7"/>
    <n v="7"/>
    <n v="7"/>
    <n v="7"/>
    <n v="7"/>
    <n v="6.9"/>
    <n v="7"/>
    <s v="SI"/>
    <s v="ESTEBAN VEGA TORO"/>
    <s v="contacto@forpe.cl"/>
    <n v="228347804"/>
    <s v="Vicuña Makena 1020, Renca"/>
    <s v="Capacitar al participante en la aplicación de técnicas de soldadura por Oxigás, Arco Voltaico, TIG y MIG sobre piezas metálicas, cumpliendo con normas de seguridad, calidad y procedimientos operativos del sector metalmecánico."/>
    <s v="Este curso entrega conocimientos prácticos para ejecutar soldaduras en distintos procesos y posiciones, utilizando equipos adecuados y aplicando normas de higiene, seguridad y calidad. Incluye preparación de superficies, configuración de parámetros, ejecución de cordones y registro de procedimientos técnicos."/>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x v="1"/>
    <n v="7.0000000000000009"/>
    <s v="SI"/>
    <n v="7"/>
    <s v="SI"/>
    <n v="7"/>
    <s v="SI"/>
    <n v="5075"/>
    <n v="5075"/>
    <s v="SI"/>
    <n v="0"/>
    <n v="0"/>
    <s v="SI"/>
    <n v="125"/>
    <n v="125"/>
    <s v="SI"/>
    <n v="0"/>
    <s v="Adjudica dado que presenta menor procentaje de multas ponderaadas "/>
    <m/>
    <m/>
    <s v="Adjudica "/>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928190-8"/>
    <s v="Véliz, Núñez y Cía. Ltda."/>
    <n v="120"/>
    <n v="30"/>
    <n v="5075"/>
    <n v="0"/>
    <n v="0"/>
    <n v="9135000"/>
    <n v="1800000"/>
    <n v="0"/>
    <n v="0"/>
    <n v="0"/>
    <n v="1093500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x v="1"/>
    <n v="7.0000000000000009"/>
    <s v="SI"/>
    <n v="7"/>
    <s v="SI"/>
    <n v="3"/>
    <s v="SI"/>
    <n v="5075"/>
    <n v="5075"/>
    <s v="SI"/>
    <n v="0.51724137931034486"/>
    <n v="0"/>
    <s v="NO"/>
    <n v="29"/>
    <n v="33"/>
    <s v="NO"/>
    <n v="0"/>
    <s v="No adjudica dado que presenta procentaje de multas ponderadas "/>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928190-8"/>
    <s v="Véliz, Núñez y Cía. Ltda."/>
    <n v="80"/>
    <n v="20"/>
    <n v="6373"/>
    <n v="0"/>
    <n v="0"/>
    <n v="8157440"/>
    <n v="1280000"/>
    <n v="0"/>
    <n v="0"/>
    <n v="0"/>
    <n v="943744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x v="0"/>
    <s v="NO APLICA "/>
    <s v="NO"/>
    <s v="NO APLICA"/>
    <s v="NO APLICA"/>
    <s v="NO APLICA"/>
    <s v="NO APLICA"/>
    <s v=""/>
    <s v="NO APLICA"/>
    <s v="NO"/>
    <s v="NO APLICA"/>
    <s v="NO APLICA"/>
    <s v="NO"/>
    <n v="29"/>
    <n v="125"/>
    <s v="NO"/>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928190-8"/>
    <s v="Véliz, Núñez y Cía. Ltda."/>
    <n v="160"/>
    <n v="32"/>
    <n v="6373"/>
    <n v="0"/>
    <n v="0"/>
    <n v="15295200"/>
    <n v="1920000"/>
    <n v="0"/>
    <n v="0"/>
    <n v="0"/>
    <n v="17215200"/>
    <x v="0"/>
    <n v="0"/>
    <n v="3"/>
    <n v="7"/>
    <n v="7"/>
    <n v="7"/>
    <n v="7"/>
    <n v="7"/>
    <n v="7"/>
    <n v="7"/>
    <n v="7"/>
    <n v="7"/>
    <n v="7"/>
    <n v="7"/>
    <n v="7"/>
    <n v="7"/>
    <n v="7"/>
    <n v="6.6"/>
    <s v="NO"/>
    <s v="Marianela Núñez Véliz"/>
    <s v="surorienteemprende@gmail.com"/>
    <n v="228507710"/>
    <s v="Pedro Lagos 1414, Santiago"/>
    <n v="0"/>
    <n v="0"/>
    <n v="0"/>
    <n v="0"/>
    <n v="0"/>
    <n v="0"/>
    <n v="0"/>
    <n v="0"/>
    <n v="0"/>
    <n v="0"/>
    <n v="0"/>
    <n v="0"/>
    <n v="0"/>
    <n v="0"/>
    <n v="0"/>
    <n v="0"/>
    <n v="0"/>
    <n v="0"/>
    <s v="SSH"/>
    <s v="NO"/>
    <s v="SI"/>
    <n v="0"/>
    <n v="0"/>
    <n v="0"/>
    <n v="0"/>
    <n v="0"/>
    <n v="0"/>
    <n v="0"/>
    <n v="0"/>
    <n v="0"/>
    <n v="0"/>
    <s v="SI"/>
    <n v="0"/>
    <s v="SI"/>
    <n v="0"/>
    <s v="SI"/>
    <n v="0"/>
    <n v="0.30000000000000004"/>
    <n v="0.70000000000000007"/>
    <s v="NO"/>
    <n v="7"/>
    <n v="7"/>
    <n v="7"/>
    <n v="7.0000000000000009"/>
    <n v="7.0000000000000009"/>
    <n v="6373"/>
    <n v="6373"/>
    <n v="7"/>
    <s v="APROBADO"/>
    <s v="APROBADO"/>
    <n v="6.6"/>
    <s v="APROBADO"/>
    <s v="NO"/>
    <n v="7"/>
    <x v="0"/>
    <s v="NO APLICA "/>
    <s v="NO"/>
    <s v="NO APLICA"/>
    <s v="NO APLICA"/>
    <s v="NO APLICA"/>
    <s v="NO APLICA"/>
    <s v=""/>
    <s v="NO APLICA"/>
    <s v="NO"/>
    <s v="NO APLICA"/>
    <s v="NO APLICA"/>
    <s v="NO"/>
    <n v="29"/>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928190-8"/>
    <s v="Véliz, Núñez y Cía. Ltda."/>
    <n v="272"/>
    <n v="68"/>
    <n v="5075"/>
    <n v="250000"/>
    <n v="250000"/>
    <n v="19325600"/>
    <n v="3808000"/>
    <n v="3500000"/>
    <n v="0"/>
    <n v="3500000"/>
    <n v="30133600"/>
    <x v="1"/>
    <s v="NUMERAL 6.1.2. ÍTEM 6 - ERROR EN ESTRUCTURA DE COSTOS (ÍTEM F, H, J, K, M Y N)"/>
    <n v="0"/>
    <n v="0"/>
    <n v="0"/>
    <n v="0"/>
    <n v="0"/>
    <n v="0"/>
    <n v="0"/>
    <n v="0"/>
    <n v="0"/>
    <n v="0"/>
    <n v="0"/>
    <n v="0"/>
    <n v="0"/>
    <n v="0"/>
    <n v="0"/>
    <n v="0"/>
    <s v="NO"/>
    <s v="Marianela Núñez Véliz"/>
    <s v="surorienteemprende@gmail.com"/>
    <n v="228507710"/>
    <s v="Las Margaritas 3875,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x v="2"/>
    <s v="NO APLICA "/>
    <s v="NO"/>
    <s v="NO APLICA"/>
    <s v="NO APLICA"/>
    <s v="NO APLICA"/>
    <s v="NO APLICA"/>
    <s v=""/>
    <s v="NO APLICA"/>
    <s v="NO"/>
    <s v="NO APLICA"/>
    <s v="NO APLICA"/>
    <s v="NO"/>
    <n v="29"/>
    <n v="125"/>
    <s v="NO"/>
    <n v="0"/>
    <m/>
    <m/>
    <m/>
    <m/>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ilmaiquén S/N, San Pabl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85"/>
    <n v="0"/>
    <s v="NO"/>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atricio Lynch 1866, Osorn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85"/>
    <n v="0"/>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Circunvalación 401, Fresia"/>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85"/>
    <n v="0"/>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311060-3"/>
    <s v="SOCIEDAD OTC CAPACITACIÓN LTDA"/>
    <n v="272"/>
    <n v="68"/>
    <n v="5000"/>
    <n v="250000"/>
    <n v="250000"/>
    <n v="19040000"/>
    <n v="3808000"/>
    <n v="3500000"/>
    <n v="0"/>
    <n v="3500000"/>
    <n v="29848000"/>
    <x v="0"/>
    <n v="0"/>
    <n v="3"/>
    <n v="7"/>
    <n v="0"/>
    <n v="0"/>
    <n v="0"/>
    <n v="0"/>
    <n v="0"/>
    <n v="0"/>
    <n v="0"/>
    <n v="7"/>
    <n v="7"/>
    <n v="7"/>
    <n v="7"/>
    <n v="7"/>
    <n v="7"/>
    <n v="6.6"/>
    <s v="NO"/>
    <s v="Jorge Aranguiz"/>
    <s v="jaranguiz@otc.cl"/>
    <n v="988394610"/>
    <s v="PASAJE LANCO 4862, Renca"/>
    <n v="0"/>
    <n v="0"/>
    <n v="0"/>
    <n v="0"/>
    <n v="0"/>
    <n v="0"/>
    <n v="0"/>
    <n v="0"/>
    <n v="0"/>
    <n v="0"/>
    <n v="0"/>
    <n v="0"/>
    <n v="0"/>
    <n v="0"/>
    <n v="0"/>
    <n v="0"/>
    <n v="0"/>
    <n v="0"/>
    <s v="SHMAN"/>
    <s v="SI"/>
    <s v="NO"/>
    <n v="0"/>
    <n v="1"/>
    <n v="0"/>
    <n v="0"/>
    <n v="0"/>
    <n v="0"/>
    <n v="0"/>
    <n v="0"/>
    <n v="0"/>
    <n v="0"/>
    <s v="NO"/>
    <n v="1"/>
    <s v="SI"/>
    <s v="NO APLICA"/>
    <s v="SI"/>
    <s v="NO APLICA"/>
    <s v="NO APLICA"/>
    <s v="NO APLICA"/>
    <s v="SI"/>
    <n v="0"/>
    <n v="0"/>
    <s v="NO APLICA"/>
    <s v="NO APLICA"/>
    <s v="NO APLICA"/>
    <n v="5000"/>
    <n v="5000"/>
    <s v="NO APLICA"/>
    <s v="NO APLICA"/>
    <s v="NO APLICA"/>
    <s v="NO APLICA"/>
    <s v="NO APLICA"/>
    <s v="NO"/>
    <s v="NO APLICA"/>
    <x v="2"/>
    <s v="NO APLICA "/>
    <s v="NO"/>
    <s v="NO APLICA"/>
    <s v="NO APLICA"/>
    <s v="NO APLICA"/>
    <s v="NO APLICA"/>
    <s v=""/>
    <s v="NO APLICA"/>
    <s v="NO"/>
    <s v="NO APLICA"/>
    <s v="NO APLICA"/>
    <s v="NO"/>
    <n v="29"/>
    <n v="125"/>
    <s v="NO"/>
    <n v="0"/>
    <s v="Error valor hora alumno  "/>
    <m/>
    <m/>
    <m/>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232950-6"/>
    <s v="INSTITUTO DE CALIDAD Y MEDIOAMBIENTE DE CHILE IGNACIO JAVIER CARO AGUILERA E.I.R.L"/>
    <n v="120"/>
    <n v="30"/>
    <n v="5600"/>
    <n v="0"/>
    <n v="0"/>
    <n v="10080000"/>
    <n v="1800000"/>
    <n v="0"/>
    <n v="0"/>
    <n v="0"/>
    <n v="11880000"/>
    <x v="0"/>
    <n v="0"/>
    <n v="1"/>
    <n v="7"/>
    <n v="0"/>
    <n v="0"/>
    <n v="0"/>
    <n v="0"/>
    <n v="0"/>
    <n v="0"/>
    <n v="0"/>
    <n v="7"/>
    <n v="7"/>
    <n v="7"/>
    <n v="7"/>
    <n v="7"/>
    <n v="6.3"/>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600"/>
    <n v="5075"/>
    <n v="6.3"/>
    <s v="APROBADO"/>
    <s v="APROBADO"/>
    <n v="6.4"/>
    <s v="APROBADO"/>
    <s v="NO"/>
    <n v="6.6"/>
    <x v="0"/>
    <s v="NO APLICA "/>
    <s v="NO"/>
    <s v="NO APLICA"/>
    <s v="NO APLICA"/>
    <s v="NO APLICA"/>
    <s v="NO APLICA"/>
    <s v=""/>
    <s v="NO APLICA"/>
    <s v="NO"/>
    <s v="NO APLICA"/>
    <s v="NO APLICA"/>
    <s v="NO"/>
    <n v="17"/>
    <n v="33"/>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232950-6"/>
    <s v="INSTITUTO DE CALIDAD Y MEDIOAMBIENTE DE CHILE IGNACIO JAVIER CARO AGUILERA E.I.R.L"/>
    <n v="80"/>
    <n v="20"/>
    <n v="6700"/>
    <n v="0"/>
    <n v="0"/>
    <n v="8576000"/>
    <n v="1280000"/>
    <n v="0"/>
    <n v="0"/>
    <n v="0"/>
    <n v="9856000"/>
    <x v="0"/>
    <n v="0"/>
    <n v="1"/>
    <n v="7"/>
    <n v="0"/>
    <n v="0"/>
    <n v="0"/>
    <n v="0"/>
    <n v="0"/>
    <n v="0"/>
    <n v="0"/>
    <n v="7"/>
    <n v="7"/>
    <n v="7"/>
    <n v="7"/>
    <n v="7"/>
    <n v="6.7"/>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700"/>
    <n v="6373"/>
    <n v="6.7"/>
    <s v="APROBADO"/>
    <s v="APROBADO"/>
    <n v="6.4"/>
    <s v="APROBADO"/>
    <s v="NO"/>
    <n v="7"/>
    <x v="0"/>
    <s v="NO APLICA "/>
    <s v="NO"/>
    <s v="NO APLICA"/>
    <s v="NO APLICA"/>
    <s v="NO APLICA"/>
    <s v="NO APLICA"/>
    <s v=""/>
    <s v="NO APLICA"/>
    <s v="NO"/>
    <s v="NO APLICA"/>
    <s v="NO APLICA"/>
    <s v="NO"/>
    <n v="17"/>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87730100-1"/>
    <s v="CENTRO TECNICO INDURA LIMITADA"/>
    <n v="272"/>
    <n v="68"/>
    <n v="6300"/>
    <n v="250000"/>
    <n v="250000"/>
    <n v="23990400"/>
    <n v="3808000"/>
    <n v="3500000"/>
    <n v="0"/>
    <n v="3500000"/>
    <n v="34798400"/>
    <x v="1"/>
    <s v="NUMERAL 6.1.2. ÍTEM 7 - OTEC ADJUNTA ANEXO DE PROPUESTA, SIN EMBARGO, NO ADJUNTA EL ANEXO 3 CORRESPONDIENTE AL CURSO. _x000a_NUMERAL 6.1.2. ÍTEM 11: NO PRESENTA FOTOS QUE ACREDITEN LAS CARACTERISTICAS DESCRITAS EN LA PROPUESTA, NO PRESENTA MODELO CARTA COMPROMISO DE INFRAESTRUCTURA"/>
    <n v="0"/>
    <n v="0"/>
    <n v="0"/>
    <n v="0"/>
    <n v="0"/>
    <n v="0"/>
    <n v="0"/>
    <n v="0"/>
    <n v="0"/>
    <n v="0"/>
    <n v="0"/>
    <n v="0"/>
    <n v="0"/>
    <n v="0"/>
    <n v="0"/>
    <n v="0"/>
    <s v="NO"/>
    <s v="Viviana Díaz Salazar"/>
    <s v="DIAZSAVC@airproducts.com"/>
    <n v="225303178"/>
    <s v="Por confirmar,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6300"/>
    <n v="5000"/>
    <s v="NO APLICA"/>
    <s v="NO APLICA"/>
    <s v="NO APLICA"/>
    <s v="NO APLICA"/>
    <s v="NO APLICA"/>
    <s v="NO"/>
    <s v="NO APLICA"/>
    <x v="2"/>
    <s v="NO APLICA "/>
    <s v="NO"/>
    <s v="NO APLICA"/>
    <s v="NO APLICA"/>
    <s v="NO APLICA"/>
    <s v="NO APLICA"/>
    <s v=""/>
    <s v="NO APLICA"/>
    <s v="NO"/>
    <s v="NO APLICA"/>
    <s v="NO APLICA"/>
    <s v="NO"/>
    <n v="8"/>
    <n v="125"/>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San Francisco 126,,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0"/>
    <n v="0"/>
    <s v="SI"/>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PARRAL 1398,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0"/>
    <n v="0"/>
    <s v="SI"/>
    <n v="0"/>
    <m/>
    <m/>
    <m/>
    <m/>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COLON, San Pabl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0"/>
    <n v="0"/>
    <s v="SI"/>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272762-5"/>
    <s v="Lilian Rosario Rivas Avila Capacitación en el Trabajo EIRL"/>
    <n v="160"/>
    <n v="32"/>
    <n v="6373"/>
    <n v="0"/>
    <n v="0"/>
    <n v="15295200"/>
    <n v="1920000"/>
    <n v="0"/>
    <n v="0"/>
    <n v="0"/>
    <n v="17215200"/>
    <x v="0"/>
    <n v="0"/>
    <n v="1"/>
    <n v="7"/>
    <n v="7"/>
    <n v="7"/>
    <n v="7"/>
    <n v="7"/>
    <n v="7"/>
    <n v="7"/>
    <n v="7"/>
    <n v="7"/>
    <n v="7"/>
    <n v="7"/>
    <n v="7"/>
    <n v="7"/>
    <n v="7"/>
    <n v="6.4"/>
    <s v="NO"/>
    <s v="Lilian Rosario Rivas Avila"/>
    <s v="vanguardiaotec@gmail.com"/>
    <n v="985200533"/>
    <s v="avenida padre alonso de Ovalle 1638, Santiago"/>
    <n v="0"/>
    <n v="0"/>
    <n v="0"/>
    <n v="0"/>
    <n v="0"/>
    <n v="0"/>
    <n v="0"/>
    <n v="0"/>
    <n v="0"/>
    <n v="0"/>
    <n v="0"/>
    <n v="0"/>
    <n v="0"/>
    <n v="0"/>
    <n v="0"/>
    <n v="0"/>
    <n v="0"/>
    <n v="0"/>
    <s v="SSH"/>
    <s v="NO"/>
    <s v="SI"/>
    <n v="0"/>
    <n v="0"/>
    <n v="0"/>
    <n v="0"/>
    <n v="0"/>
    <n v="0"/>
    <n v="0"/>
    <n v="0"/>
    <n v="0"/>
    <n v="0"/>
    <s v="SI"/>
    <n v="0"/>
    <s v="SI"/>
    <n v="0"/>
    <s v="SI"/>
    <n v="0"/>
    <n v="0.1"/>
    <n v="0.70000000000000007"/>
    <s v="NO"/>
    <n v="7"/>
    <n v="7"/>
    <n v="7"/>
    <n v="7.0000000000000009"/>
    <n v="7.0000000000000009"/>
    <n v="6373"/>
    <n v="6373"/>
    <n v="7"/>
    <s v="APROBADO"/>
    <s v="APROBADO"/>
    <n v="6.4"/>
    <s v="APROBADO"/>
    <s v="NO"/>
    <n v="7"/>
    <x v="0"/>
    <s v="NO APLICA "/>
    <s v="NO"/>
    <s v="NO APLICA"/>
    <s v="NO APLICA"/>
    <s v="NO APLICA"/>
    <s v="NO APLICA"/>
    <s v=""/>
    <s v="NO APLICA"/>
    <s v="NO"/>
    <s v="NO APLICA"/>
    <s v="NO APLICA"/>
    <s v="NO"/>
    <n v="11"/>
    <n v="125"/>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l Jardín S/N, Fresia,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0"/>
    <n v="0"/>
    <s v="SI"/>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Amengual 585, Osorno,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0"/>
    <n v="0"/>
    <s v="SI"/>
    <n v="0"/>
    <m/>
    <m/>
    <m/>
    <m/>
    <m/>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0"/>
    <n v="0"/>
    <s v="PUYEHUE"/>
    <s v="ESTUDIANTES DE CUARTO AÑO DE ENSEÑANZA MEDIA O DE LICEOS TÉCNICOS PROFESIONALES."/>
    <s v="PRESENCIAL"/>
    <s v="DEPENDIENTE"/>
    <s v="04. MART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ntre Lagos S/N, Puyehue, Puyehue"/>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x v="2"/>
    <s v="NO APLICA "/>
    <s v="NO"/>
    <s v="NO APLICA"/>
    <s v="NO APLICA"/>
    <s v="NO APLICA"/>
    <s v="NO APLICA"/>
    <s v=""/>
    <s v="NO APLICA"/>
    <s v="NO"/>
    <s v="NO APLICA"/>
    <s v="NO APLICA"/>
    <s v="NO"/>
    <n v="0"/>
    <n v="0"/>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773018-7"/>
    <s v="Servicio de capacitación y formación de personas TEKNÉ SpA"/>
    <n v="272"/>
    <n v="68"/>
    <n v="5075"/>
    <n v="250000"/>
    <n v="250000"/>
    <n v="19325600"/>
    <n v="3808000"/>
    <n v="3500000"/>
    <n v="0"/>
    <n v="3500000"/>
    <n v="30133600"/>
    <x v="1"/>
    <s v="NUMERAL 6.1.2. ÍTEM 1 - NO ADJUNTA ANEXO DE PROPUESTA PARA EL CURSO 14389."/>
    <n v="0"/>
    <n v="0"/>
    <n v="0"/>
    <n v="0"/>
    <n v="0"/>
    <n v="0"/>
    <n v="0"/>
    <n v="0"/>
    <n v="0"/>
    <n v="0"/>
    <n v="0"/>
    <n v="0"/>
    <n v="0"/>
    <n v="0"/>
    <n v="0"/>
    <n v="0"/>
    <s v="NO"/>
    <s v="Elizabeth Sepúlveda Moya"/>
    <s v="otec.tekne@gmail.com"/>
    <n v="995011989"/>
    <s v="LA HACIENDA 1549,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x v="2"/>
    <s v="NO APLICA "/>
    <s v="NO"/>
    <s v="NO APLICA"/>
    <s v="NO APLICA"/>
    <s v="NO APLICA"/>
    <s v="NO APLICA"/>
    <s v=""/>
    <s v="NO APLICA"/>
    <s v="NO"/>
    <s v="NO APLICA"/>
    <s v="NO APLICA"/>
    <s v="NO"/>
    <n v="10"/>
    <n v="125"/>
    <s v="NO"/>
    <n v="0"/>
    <m/>
    <m/>
    <m/>
    <m/>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014819-9"/>
    <s v="ID Capacitación Ltda."/>
    <n v="110"/>
    <n v="28"/>
    <n v="5075"/>
    <n v="0"/>
    <n v="0"/>
    <n v="8932000"/>
    <n v="1792000"/>
    <n v="0"/>
    <n v="0"/>
    <n v="0"/>
    <n v="10724000"/>
    <x v="1"/>
    <s v="NUMERAL 6.1.2. ÍTEM 11: NO PRESENTA FOTOS QUE ACREDITEN LAS CARACTERISTICAS DESCRITAS EN LA PROPUESTA"/>
    <n v="0"/>
    <n v="0"/>
    <n v="0"/>
    <n v="0"/>
    <n v="0"/>
    <n v="0"/>
    <n v="0"/>
    <n v="0"/>
    <n v="0"/>
    <n v="0"/>
    <n v="0"/>
    <n v="0"/>
    <n v="0"/>
    <n v="0"/>
    <n v="0"/>
    <n v="0"/>
    <s v="NO"/>
    <s v="Luis Alejandro Pizarro Mora"/>
    <s v="alejandro@idconsulting.cl"/>
    <n v="93454013"/>
    <s v="La Marquesita 3962,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5075"/>
    <n v="5075"/>
    <s v="NO APLICA"/>
    <s v="NO APLICA"/>
    <s v="NO APLICA"/>
    <s v="NO APLICA"/>
    <s v="NO APLICA"/>
    <s v="NO"/>
    <s v="NO APLICA"/>
    <x v="2"/>
    <s v="NO APLICA "/>
    <s v="NO"/>
    <s v="NO APLICA"/>
    <s v="NO APLICA"/>
    <s v="NO APLICA"/>
    <s v="NO APLICA"/>
    <s v=""/>
    <s v="NO APLICA"/>
    <s v="NO"/>
    <s v="NO APLICA"/>
    <s v="NO APLICA"/>
    <s v="NO"/>
    <n v="0"/>
    <n v="0"/>
    <s v="SI"/>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14819-9"/>
    <s v="ID Capacitación Ltda."/>
    <n v="80"/>
    <n v="20"/>
    <n v="6373"/>
    <n v="0"/>
    <n v="0"/>
    <n v="8157440"/>
    <n v="1280000"/>
    <n v="0"/>
    <n v="0"/>
    <n v="0"/>
    <n v="9437440"/>
    <x v="1"/>
    <s v="NUMERAL 6.1.2. ÍTEM 11: NO PRESENTA FOTOS QUE ACREDITEN LAS CARACTERISTICAS DESCRITAS EN LA PROPUESTA"/>
    <n v="0"/>
    <n v="0"/>
    <n v="0"/>
    <n v="0"/>
    <n v="0"/>
    <n v="0"/>
    <n v="0"/>
    <n v="0"/>
    <n v="0"/>
    <n v="0"/>
    <n v="0"/>
    <n v="0"/>
    <n v="0"/>
    <n v="0"/>
    <n v="0"/>
    <n v="0"/>
    <s v="NO"/>
    <s v="Luis Alejandro Pizarro Mora"/>
    <s v="alejandro@idconsulting.cl"/>
    <n v="93454013"/>
    <s v="Av. Domingo Sta. María 2704,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6373"/>
    <n v="6373"/>
    <s v="NO APLICA"/>
    <s v="NO APLICA"/>
    <s v="NO APLICA"/>
    <s v="NO APLICA"/>
    <s v="NO APLICA"/>
    <s v="NO"/>
    <s v="NO APLICA"/>
    <x v="2"/>
    <s v="NO APLICA "/>
    <s v="NO"/>
    <s v="NO APLICA"/>
    <s v="NO APLICA"/>
    <s v="NO APLICA"/>
    <s v="NO APLICA"/>
    <s v=""/>
    <s v="NO APLICA"/>
    <s v="NO"/>
    <s v="NO APLICA"/>
    <s v="NO APLICA"/>
    <s v="NO"/>
    <n v="0"/>
    <n v="0"/>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57122-3"/>
    <s v="asociación de capacitación juvenil boreal"/>
    <n v="272"/>
    <n v="68"/>
    <n v="5075"/>
    <n v="250000"/>
    <n v="250000"/>
    <n v="19325600"/>
    <n v="3808000"/>
    <n v="3500000"/>
    <n v="0"/>
    <n v="3500000"/>
    <n v="30133600"/>
    <x v="0"/>
    <n v="0"/>
    <n v="5"/>
    <n v="7"/>
    <n v="0"/>
    <n v="0"/>
    <n v="0"/>
    <n v="0"/>
    <n v="0"/>
    <n v="0"/>
    <n v="0"/>
    <n v="6"/>
    <n v="6"/>
    <n v="6"/>
    <n v="6"/>
    <n v="6"/>
    <n v="6.9"/>
    <n v="6"/>
    <s v="NO"/>
    <s v="ALEJANDRA GALLARDO"/>
    <s v="borealicitaciones@gmail.com"/>
    <n v="962274066"/>
    <s v="La Marquesita 3962, Renca"/>
    <n v="0"/>
    <n v="0"/>
    <n v="0"/>
    <n v="0"/>
    <n v="0"/>
    <n v="0"/>
    <n v="0"/>
    <n v="0"/>
    <n v="0"/>
    <n v="0"/>
    <n v="0"/>
    <n v="0"/>
    <n v="0"/>
    <n v="0"/>
    <n v="0"/>
    <n v="0"/>
    <n v="0"/>
    <n v="0"/>
    <s v="SHMAN"/>
    <s v="SI"/>
    <s v="NO"/>
    <n v="0"/>
    <n v="0"/>
    <n v="0"/>
    <n v="0"/>
    <n v="0"/>
    <n v="0"/>
    <n v="0"/>
    <n v="0"/>
    <n v="0"/>
    <n v="0"/>
    <s v="SI"/>
    <n v="0"/>
    <s v="SI"/>
    <n v="0"/>
    <s v="SI"/>
    <n v="0"/>
    <n v="0.5"/>
    <n v="0.70000000000000007"/>
    <s v="SI"/>
    <n v="0"/>
    <n v="0"/>
    <n v="0"/>
    <n v="6"/>
    <n v="6"/>
    <n v="5075"/>
    <n v="5000"/>
    <n v="6.9"/>
    <s v="APROBADO"/>
    <s v="APROBADO"/>
    <n v="6"/>
    <s v="APROBADO"/>
    <n v="0"/>
    <n v="7"/>
    <x v="0"/>
    <s v="NO APLICA "/>
    <s v="NO"/>
    <s v="NO APLICA"/>
    <s v="NO APLICA"/>
    <s v="NO APLICA"/>
    <s v="NO APLICA"/>
    <s v=""/>
    <s v="NO APLICA"/>
    <s v="NO"/>
    <s v="NO APLICA"/>
    <s v="NO APLICA"/>
    <s v="NO"/>
    <n v="62"/>
    <n v="125"/>
    <s v="NO"/>
    <n v="0"/>
    <m/>
    <m/>
    <m/>
    <m/>
    <m/>
  </r>
  <r>
    <x v="14"/>
    <m/>
    <m/>
    <m/>
    <m/>
    <m/>
    <m/>
    <m/>
    <m/>
    <m/>
    <m/>
    <m/>
    <m/>
    <m/>
    <m/>
    <m/>
    <m/>
    <m/>
    <m/>
    <m/>
    <m/>
    <m/>
    <m/>
    <m/>
    <m/>
    <m/>
    <m/>
    <m/>
    <m/>
    <m/>
    <m/>
    <m/>
    <m/>
    <m/>
    <m/>
    <m/>
    <m/>
    <m/>
    <m/>
    <m/>
    <m/>
    <m/>
    <m/>
    <m/>
    <m/>
    <m/>
    <m/>
    <x v="2"/>
    <m/>
    <m/>
    <m/>
    <m/>
    <m/>
    <m/>
    <m/>
    <m/>
    <m/>
    <m/>
    <m/>
    <m/>
    <m/>
    <m/>
    <m/>
    <m/>
    <m/>
    <m/>
    <m/>
    <m/>
    <m/>
    <m/>
    <m/>
    <m/>
    <m/>
    <m/>
    <m/>
    <m/>
    <m/>
    <m/>
    <m/>
    <m/>
    <m/>
    <m/>
    <m/>
    <m/>
    <m/>
    <m/>
    <m/>
    <m/>
    <m/>
    <m/>
    <m/>
    <m/>
    <m/>
    <m/>
    <m/>
    <m/>
    <m/>
    <m/>
    <m/>
    <m/>
    <m/>
    <m/>
    <m/>
    <m/>
    <m/>
    <m/>
    <m/>
    <m/>
    <m/>
    <m/>
    <m/>
    <m/>
    <m/>
    <m/>
    <m/>
    <m/>
    <m/>
    <m/>
    <m/>
    <m/>
    <m/>
    <m/>
    <m/>
    <m/>
    <x v="3"/>
    <m/>
    <m/>
    <m/>
    <m/>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102946-0"/>
    <s v="CAPACITACIONES INNOVA PYMES LTDA"/>
    <n v="110"/>
    <n v="28"/>
    <n v="5075"/>
    <n v="0"/>
    <n v="0"/>
    <n v="8932000"/>
    <n v="1792000"/>
    <n v="0"/>
    <n v="0"/>
    <n v="0"/>
    <n v="1072400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075"/>
    <n v="5075"/>
    <n v="7"/>
    <s v="APROBADO"/>
    <s v="APROBADO"/>
    <n v="6.4"/>
    <s v="APROBADO"/>
    <s v="NO"/>
    <n v="6.6"/>
    <s v="NO"/>
    <s v="NO APLICA "/>
    <s v="NO"/>
    <s v="NO APLICA"/>
    <s v="NO APLICA"/>
    <s v="NO APLICA"/>
    <s v="NO APLICA"/>
    <s v=""/>
    <s v="NO APLICA"/>
    <s v="NO"/>
    <s v="NO APLICA"/>
    <s v="NO APLICA"/>
    <s v="NO"/>
    <n v="2"/>
    <n v="43"/>
    <s v="NO"/>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102946-0"/>
    <s v="CAPACITACIONES INNOVA PYMES LTDA"/>
    <n v="120"/>
    <n v="30"/>
    <n v="6373"/>
    <n v="0"/>
    <n v="0"/>
    <n v="10706640"/>
    <n v="1680000"/>
    <n v="0"/>
    <n v="0"/>
    <n v="0"/>
    <n v="12386640"/>
    <x v="0"/>
    <n v="0"/>
    <n v="1"/>
    <n v="7"/>
    <n v="0"/>
    <n v="0"/>
    <n v="0"/>
    <n v="0"/>
    <n v="0"/>
    <n v="0"/>
    <n v="0"/>
    <n v="7"/>
    <n v="7"/>
    <n v="7"/>
    <n v="7"/>
    <n v="7"/>
    <n v="7"/>
    <n v="6.4"/>
    <s v="SI"/>
    <s v="ALVARO CARLOS"/>
    <s v="a.avila@innovapymes.org"/>
    <n v="342358308"/>
    <s v="Montevideo 2550, Renca"/>
    <s v="Capacitar al participante para organizar, ejecutar y controlar actividades de movilización y distribución de cargas, aplicando normas de seguridad y procedimientos administrativos en entornos portuarios o industriales."/>
    <s v="Este curso entrega conocimientos técnicos y prácticos para movilizar cargas de forma segura y eficiente, incluyendo el uso de equipos de izaje, señalética manual, documentación de faena y evaluación del rendimiento operativo del turno"/>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SI"/>
    <n v="6.4"/>
    <s v="SI"/>
    <n v="7.0000000000000009"/>
    <s v="SI"/>
    <n v="7"/>
    <s v="SI"/>
    <n v="1"/>
    <s v="SI"/>
    <n v="6373"/>
    <n v="6373"/>
    <s v="SI"/>
    <n v="0"/>
    <n v="0"/>
    <s v="SI"/>
    <n v="2"/>
    <n v="2"/>
    <s v="SI"/>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102946-0"/>
    <s v="CAPACITACIONES INNOVA PYMES LTDA"/>
    <n v="240"/>
    <n v="60"/>
    <n v="6373"/>
    <n v="0"/>
    <n v="50000"/>
    <n v="21413280"/>
    <n v="3360000"/>
    <n v="0"/>
    <n v="0"/>
    <n v="700000"/>
    <n v="2547328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NO"/>
    <n v="7"/>
    <s v="NO"/>
    <s v="NO APLICA "/>
    <s v="NO"/>
    <s v="NO APLICA"/>
    <s v="NO APLICA"/>
    <s v="NO APLICA"/>
    <s v="NO APLICA"/>
    <s v=""/>
    <s v="NO APLICA"/>
    <s v="NO"/>
    <s v="NO APLICA"/>
    <s v="NO APLICA"/>
    <s v="NO"/>
    <n v="2"/>
    <n v="67"/>
    <s v="NO"/>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102946-0"/>
    <s v="CAPACITACIONES INNOVA PYMES LTDA"/>
    <n v="80"/>
    <n v="20"/>
    <n v="6373"/>
    <n v="0"/>
    <n v="0"/>
    <n v="8157440"/>
    <n v="1280000"/>
    <n v="0"/>
    <n v="0"/>
    <n v="0"/>
    <n v="9437440"/>
    <x v="1"/>
    <s v="NUMERAL 6.1.2. ÍTEM 7 - EL OFERENTE NO PRESENTA LA ESTRUCTURA DE COSTOS PARA EL CURSO (ANEXO N° 3)."/>
    <n v="0"/>
    <n v="0"/>
    <n v="0"/>
    <n v="0"/>
    <n v="0"/>
    <n v="0"/>
    <n v="0"/>
    <n v="0"/>
    <n v="0"/>
    <n v="0"/>
    <n v="0"/>
    <n v="0"/>
    <n v="0"/>
    <n v="0"/>
    <n v="0"/>
    <n v="0"/>
    <s v="NO"/>
    <s v="ALVARO CARLOS"/>
    <s v="a.avila@innovapymes.org"/>
    <n v="342358308"/>
    <s v="Montevideo 2550,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2"/>
    <n v="125"/>
    <s v="NO"/>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460844-5"/>
    <s v="Servicios de Capacitación Caitec S.A."/>
    <n v="110"/>
    <n v="28"/>
    <n v="5075"/>
    <n v="0"/>
    <n v="0"/>
    <n v="8932000"/>
    <n v="1792000"/>
    <n v="0"/>
    <n v="0"/>
    <n v="0"/>
    <n v="1072400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5075"/>
    <n v="5075"/>
    <n v="7"/>
    <s v="APROBADO"/>
    <s v="APROBADO"/>
    <n v="6.4"/>
    <s v="APROBADO"/>
    <s v="NO"/>
    <n v="6.6"/>
    <s v="NO"/>
    <s v="NO APLICA "/>
    <s v="NO"/>
    <s v="NO APLICA"/>
    <s v="NO APLICA"/>
    <s v="NO APLICA"/>
    <s v="NO APLICA"/>
    <s v=""/>
    <s v="NO APLICA"/>
    <s v="NO"/>
    <s v="NO APLICA"/>
    <s v="NO APLICA"/>
    <s v="NO"/>
    <n v="43"/>
    <n v="43"/>
    <s v="SI"/>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460844-5"/>
    <s v="Servicios de Capacitación Caitec S.A."/>
    <n v="120"/>
    <n v="30"/>
    <n v="6373"/>
    <n v="0"/>
    <n v="0"/>
    <n v="10706640"/>
    <n v="1680000"/>
    <n v="0"/>
    <n v="0"/>
    <n v="0"/>
    <n v="12386640"/>
    <x v="1"/>
    <s v="NUMERAL 6.1.2. ÍTEM 6 - ERROR VALOR TOTAL DEL CURSO; OTEC ESTÁ CONSIDERANDO SUBSIDIO DE CUIDADO EN ANEXO 3, CUANDO NO ESTÁ CONTEMPLADO."/>
    <n v="0"/>
    <n v="0"/>
    <n v="0"/>
    <n v="0"/>
    <n v="0"/>
    <n v="0"/>
    <n v="0"/>
    <n v="0"/>
    <n v="0"/>
    <n v="0"/>
    <n v="0"/>
    <n v="0"/>
    <n v="0"/>
    <n v="0"/>
    <n v="0"/>
    <n v="0"/>
    <s v="NO"/>
    <s v="Osvaldo Sotomayor Baeza"/>
    <s v="gerencia@caitec.cl"/>
    <n v="722604254"/>
    <s v="Avenida La hacienda N° 1589,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43"/>
    <n v="2"/>
    <s v="NO"/>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460844-5"/>
    <s v="Servicios de Capacitación Caitec S.A."/>
    <n v="80"/>
    <n v="20"/>
    <n v="6373"/>
    <n v="0"/>
    <n v="0"/>
    <n v="8157440"/>
    <n v="1280000"/>
    <n v="0"/>
    <n v="0"/>
    <n v="0"/>
    <n v="943744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6373"/>
    <n v="6373"/>
    <n v="7"/>
    <s v="APROBADO"/>
    <s v="APROBADO"/>
    <n v="6.4"/>
    <s v="APROBADO"/>
    <s v="NO"/>
    <n v="7"/>
    <s v="NO"/>
    <s v="NO APLICA "/>
    <s v="NO"/>
    <s v="NO APLICA"/>
    <s v="NO APLICA"/>
    <s v="NO APLICA"/>
    <s v="NO APLICA"/>
    <s v=""/>
    <s v="NO APLICA"/>
    <s v="NO"/>
    <s v="NO APLICA"/>
    <s v="NO APLICA"/>
    <s v="NO"/>
    <n v="43"/>
    <n v="125"/>
    <s v="NO"/>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460844-5"/>
    <s v="Servicios de Capacitación Caitec S.A."/>
    <n v="272"/>
    <n v="68"/>
    <n v="5075"/>
    <n v="250000"/>
    <n v="250000"/>
    <n v="19325600"/>
    <n v="3808000"/>
    <n v="3500000"/>
    <n v="0"/>
    <n v="3500000"/>
    <n v="30133600"/>
    <x v="0"/>
    <n v="0"/>
    <n v="3"/>
    <n v="5"/>
    <n v="0"/>
    <n v="0"/>
    <n v="0"/>
    <n v="0"/>
    <n v="0"/>
    <n v="0"/>
    <n v="0"/>
    <n v="7"/>
    <n v="7"/>
    <n v="7"/>
    <n v="7"/>
    <n v="7"/>
    <n v="6.9"/>
    <n v="6.4"/>
    <s v="NO"/>
    <s v="Osvaldo Sotomayor Baeza"/>
    <s v="gerencia@caitec.cl"/>
    <n v="722604254"/>
    <s v="Avenida La hacienda N° 1589, Renca"/>
    <n v="0"/>
    <n v="0"/>
    <n v="0"/>
    <n v="0"/>
    <n v="0"/>
    <n v="0"/>
    <n v="0"/>
    <n v="0"/>
    <n v="0"/>
    <n v="0"/>
    <n v="0"/>
    <n v="0"/>
    <n v="0"/>
    <n v="0"/>
    <n v="0"/>
    <n v="0"/>
    <n v="0"/>
    <n v="0"/>
    <s v="SHMAN"/>
    <s v="SI"/>
    <s v="NO"/>
    <n v="0"/>
    <n v="0"/>
    <n v="0"/>
    <n v="0"/>
    <n v="0"/>
    <n v="0"/>
    <n v="0"/>
    <n v="0"/>
    <n v="0"/>
    <n v="0"/>
    <s v="SI"/>
    <n v="0"/>
    <s v="SI"/>
    <n v="0"/>
    <s v="SI"/>
    <n v="0"/>
    <n v="0.30000000000000004"/>
    <n v="0.5"/>
    <s v="SI"/>
    <n v="0"/>
    <n v="0"/>
    <n v="0"/>
    <n v="7.0000000000000009"/>
    <n v="7.0000000000000009"/>
    <n v="5075"/>
    <n v="5000"/>
    <n v="6.9"/>
    <s v="APROBADO"/>
    <s v="APROBADO"/>
    <n v="6.4"/>
    <s v="APROBADO"/>
    <s v="NO"/>
    <n v="7"/>
    <s v="NO"/>
    <s v="NO APLICA "/>
    <s v="NO"/>
    <s v="NO APLICA"/>
    <s v="NO APLICA"/>
    <s v="NO APLICA"/>
    <s v="NO APLICA"/>
    <s v=""/>
    <s v="NO APLICA"/>
    <s v="NO"/>
    <s v="NO APLICA"/>
    <s v="NO APLICA"/>
    <s v="NO"/>
    <n v="43"/>
    <n v="125"/>
    <s v="NO"/>
  </r>
  <r>
    <x v="5"/>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1"/>
    <n v="0"/>
    <s v="SSH"/>
    <s v="SI"/>
    <s v="NO"/>
    <n v="0"/>
    <n v="0"/>
    <n v="0"/>
    <n v="1"/>
    <n v="0"/>
    <n v="0"/>
    <n v="0"/>
    <n v="0"/>
    <n v="0"/>
    <n v="0"/>
    <s v="NO"/>
    <n v="1"/>
    <s v="SI"/>
    <s v="NO APLICA"/>
    <s v="SI"/>
    <s v="NO APLICA"/>
    <s v="NO APLICA"/>
    <s v="NO APLICA"/>
    <s v="SI"/>
    <n v="0"/>
    <n v="0"/>
    <s v="NO APLICA"/>
    <s v="NO APLICA"/>
    <s v="NO APLICA"/>
    <n v="6373"/>
    <n v="6373"/>
    <s v="NO APLICA"/>
    <s v="NO APLICA"/>
    <s v="NO APLICA"/>
    <s v="NO APLICA"/>
    <s v="NO APLICA"/>
    <s v="SI"/>
    <s v="NO APLICA"/>
    <s v="NO APLICA"/>
    <s v="NO APLICA "/>
    <s v="NO"/>
    <s v="NO APLICA"/>
    <s v="NO APLICA"/>
    <s v="NO APLICA"/>
    <s v="NO APLICA"/>
    <s v=""/>
    <s v="NO APLICA"/>
    <s v="NO"/>
    <s v="NO APLICA"/>
    <s v="NO APLICA"/>
    <s v="NO"/>
    <n v="89"/>
    <n v="89"/>
    <s v="SI"/>
  </r>
  <r>
    <x v="6"/>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s v="SI"/>
    <n v="7.0000000000000009"/>
    <s v="SI"/>
    <n v="7"/>
    <s v="SI"/>
    <n v="7"/>
    <s v="SI"/>
    <n v="6373"/>
    <n v="6373"/>
    <s v="SI"/>
    <n v="0"/>
    <n v="0"/>
    <s v="SI"/>
    <n v="89"/>
    <n v="89"/>
    <s v="SI"/>
  </r>
  <r>
    <x v="7"/>
    <s v="SOFOFA"/>
    <n v="2025"/>
    <s v="MANDATO"/>
    <s v="65181652-1"/>
    <s v="SOFOFA"/>
    <s v="70417500-0"/>
    <s v="CORPORACION DE CAPACITACION Y EMPLEO SOFOFA (LICEOS)"/>
    <s v="CURSO ESPECIAL CON SIMULADOR DE INMERSIÓN TOTAL CONDUCENTE A LICENCIA DE CONDUCTOR PROFESIONAL CLASE A-5"/>
    <s v="PF0621"/>
    <n v="0"/>
    <s v=""/>
    <n v="13"/>
    <n v="0"/>
    <s v="SANTIAGO"/>
    <s v="EMPRENDEDORES/AS INFORMALES O PERSONAS VULNERABLES PERTENECIENTES AL 80% MAS VULNERABLE"/>
    <s v="PRESENCIAL"/>
    <s v="DEPENDIENTE"/>
    <s v="01. LUNES - MAÑANA / 04. MARTES - MAÑANA / 07. MIÉRCOLES - MAÑANA / 10. JUEVES - MAÑANA / 13. VIERNES - MAÑANA"/>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57"/>
    <n v="3"/>
    <s v="65088432-9"/>
    <s v="corporación Nueva Ciaspo"/>
    <n v="225"/>
    <n v="57"/>
    <n v="7200"/>
    <n v="0"/>
    <n v="50000"/>
    <n v="24300000"/>
    <n v="3420000"/>
    <n v="0"/>
    <n v="0"/>
    <n v="750000"/>
    <n v="28470000"/>
    <x v="0"/>
    <n v="0"/>
    <n v="7"/>
    <n v="7"/>
    <n v="0"/>
    <n v="0"/>
    <n v="0"/>
    <n v="0"/>
    <n v="0"/>
    <n v="0"/>
    <n v="0"/>
    <n v="7"/>
    <n v="7"/>
    <n v="7"/>
    <n v="7"/>
    <n v="7"/>
    <n v="7"/>
    <n v="7"/>
    <s v="SI"/>
    <s v="Marcela Guerrero Rojas"/>
    <s v="mliriag@gmail.com"/>
    <n v="950110805"/>
    <s v="Dieciocho 182, Santiago"/>
    <s v="Formar conductores profesionales capacitados para operar vehículos motorizados articulados o combinados, aplicando técnicas de conducción segura, normativa vigente y procedimientos de carga y descarga mediante simulación inmersiva."/>
    <s v="Este curso entrega conocimientos teóricos y prácticos para obtener la Licencia Clase A-5, utilizando simuladores de inmersión total que recrean condiciones reales de conducción. Incluye normativa de tránsito, seguridad vial, mantenimiento preventivo y maniobras operativas en transporte de carga"/>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7200"/>
    <n v="7200"/>
    <n v="7"/>
    <s v="APROBADO"/>
    <s v="APROBADO"/>
    <n v="7"/>
    <s v="APROBADO"/>
    <s v="NO"/>
    <n v="7"/>
    <s v="SI"/>
    <n v="7.0000000000000009"/>
    <s v="SI"/>
    <n v="7"/>
    <s v="SI"/>
    <n v="7"/>
    <s v="SI"/>
    <n v="7200"/>
    <n v="7200"/>
    <s v="SI"/>
    <n v="0"/>
    <n v="0"/>
    <s v="SI"/>
    <n v="89"/>
    <n v="89"/>
    <s v="SI"/>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476826-2"/>
    <s v="AUSO CAPACITACIONES SPA"/>
    <n v="272"/>
    <n v="68"/>
    <n v="5000"/>
    <n v="250000"/>
    <n v="250000"/>
    <n v="19040000"/>
    <n v="3808000"/>
    <n v="3500000"/>
    <n v="0"/>
    <n v="3500000"/>
    <n v="29848000"/>
    <x v="0"/>
    <n v="0"/>
    <n v="1"/>
    <n v="7"/>
    <n v="0"/>
    <n v="0"/>
    <n v="0"/>
    <n v="0"/>
    <n v="0"/>
    <n v="0"/>
    <n v="0"/>
    <n v="7"/>
    <n v="7"/>
    <n v="7"/>
    <n v="7"/>
    <n v="7"/>
    <n v="7"/>
    <n v="6.4"/>
    <s v="NO"/>
    <s v="CLAUDIA NUÑEZ"/>
    <s v="CLAUDIA.NUNEZ@AUSOCAPACITACIONES.CL"/>
    <n v="984199668"/>
    <s v="DOMINGO SANTA MARÍA # 392, Renca"/>
    <n v="0"/>
    <n v="0"/>
    <n v="0"/>
    <n v="0"/>
    <n v="0"/>
    <n v="0"/>
    <n v="0"/>
    <n v="0"/>
    <n v="0"/>
    <n v="0"/>
    <n v="0"/>
    <n v="0"/>
    <n v="0"/>
    <n v="0"/>
    <n v="0"/>
    <n v="0"/>
    <n v="0"/>
    <n v="0"/>
    <s v="SHMAN"/>
    <s v="SI"/>
    <s v="NO"/>
    <n v="0"/>
    <n v="1"/>
    <n v="0"/>
    <n v="0"/>
    <n v="0"/>
    <n v="0"/>
    <n v="0"/>
    <n v="0"/>
    <n v="0"/>
    <n v="0"/>
    <s v="NO"/>
    <n v="1"/>
    <s v="NO"/>
    <s v="NO APLICA"/>
    <s v="NO"/>
    <s v="NO APLICA"/>
    <s v="NO APLICA"/>
    <s v="NO APLICA"/>
    <s v="SI"/>
    <n v="0"/>
    <n v="0"/>
    <s v="NO APLICA"/>
    <s v="NO APLICA"/>
    <s v="NO APLICA"/>
    <n v="5000"/>
    <n v="5000"/>
    <s v="NO APLICA"/>
    <s v="NO APLICA"/>
    <s v="NO APLICA"/>
    <s v="NO APLICA"/>
    <s v="NO APLICA"/>
    <s v="NO"/>
    <s v="NO APLICA"/>
    <s v="NO APLICA"/>
    <s v="NO APLICA "/>
    <s v="NO"/>
    <s v="NO APLICA"/>
    <s v="NO APLICA"/>
    <s v="NO APLICA"/>
    <s v="NO APLICA"/>
    <s v=""/>
    <s v="NO APLICA"/>
    <s v="NO"/>
    <s v="NO APLICA"/>
    <s v="NO APLICA"/>
    <s v="NO"/>
    <n v="0"/>
    <n v="0"/>
    <s v="SI"/>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n v="0"/>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606610-0"/>
    <s v="Centro de Capacitación Inforcap SPA"/>
    <n v="160"/>
    <n v="32"/>
    <n v="6373"/>
    <n v="0"/>
    <n v="0"/>
    <n v="15295200"/>
    <n v="1920000"/>
    <n v="0"/>
    <n v="0"/>
    <n v="0"/>
    <n v="17215200"/>
    <x v="0"/>
    <n v="0"/>
    <n v="7"/>
    <n v="7"/>
    <n v="7"/>
    <n v="7"/>
    <n v="7"/>
    <n v="7"/>
    <n v="7"/>
    <n v="7"/>
    <n v="7"/>
    <n v="7"/>
    <n v="7"/>
    <n v="7"/>
    <n v="7"/>
    <n v="7"/>
    <n v="7"/>
    <n v="7"/>
    <s v="NO"/>
    <s v="Pia fuentes corcoran"/>
    <s v="pfuentescorcoran@gmail.com"/>
    <n v="992196137"/>
    <s v="PROVENIR #458, COMUNA DE SANTIAGO, Santiago"/>
    <n v="0"/>
    <n v="0"/>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s v="SI"/>
    <n v="7.0000000000000009"/>
    <s v="SI"/>
    <n v="7"/>
    <s v="SI"/>
    <n v="7"/>
    <s v="SI"/>
    <n v="6373"/>
    <n v="6373"/>
    <s v="SI"/>
    <n v="0.67164179104477606"/>
    <n v="0"/>
    <s v="NO"/>
    <n v="67"/>
    <n v="125"/>
    <s v="NO"/>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606610-0"/>
    <s v="Centro de Capacitación Inforcap SPA"/>
    <n v="240"/>
    <n v="60"/>
    <n v="6373"/>
    <n v="0"/>
    <n v="50000"/>
    <n v="21413280"/>
    <n v="3360000"/>
    <n v="0"/>
    <n v="0"/>
    <n v="700000"/>
    <n v="25473280"/>
    <x v="0"/>
    <n v="0"/>
    <n v="7"/>
    <n v="7"/>
    <n v="0"/>
    <n v="0"/>
    <n v="0"/>
    <n v="0"/>
    <n v="0"/>
    <n v="0"/>
    <n v="0"/>
    <n v="7"/>
    <n v="7"/>
    <n v="7"/>
    <n v="7"/>
    <n v="7"/>
    <n v="7"/>
    <n v="7"/>
    <s v="SI"/>
    <s v="Pia fuentes corcoran"/>
    <s v="pfuentescorcoran@gmail.com"/>
    <n v="992196137"/>
    <s v="SALA DE CLASES: AVENIDA VENTISQUERO 1225, BODEGA 75, COMUNA DE RENCA TALLER: AV. PDTE. EDUARDO FREI, Renca"/>
    <s v="Capacitar al participante en la operación segura y eficiente de cargadores frontales, aplicando procedimientos técnicos, normas de seguridad y criterios de mantenimiento preventivo en contextos de construcción, minería o logística."/>
    <s v="Este curso entrega conocimientos prácticos sobre el manejo de cargadores frontales, incluyendo inspección preoperacional, técnicas de carguío, uso de controles, prevención de riesgos y mantenimiento básico del equipo, conforme a normativa vigente y condiciones operativas del entorno"/>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NO"/>
    <n v="7"/>
    <s v="SI"/>
    <n v="7.0000000000000009"/>
    <s v="SI"/>
    <n v="7"/>
    <s v="SI"/>
    <n v="7"/>
    <s v="SI"/>
    <n v="6373"/>
    <n v="6373"/>
    <s v="SI"/>
    <n v="0.67164179104477606"/>
    <n v="0.67164179104477606"/>
    <s v="SI"/>
    <n v="67"/>
    <n v="67"/>
    <s v="SI"/>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606610-0"/>
    <s v="Centro de Capacitación Inforcap SPA"/>
    <n v="272"/>
    <n v="68"/>
    <n v="5075"/>
    <n v="250000"/>
    <n v="250000"/>
    <n v="19325600"/>
    <n v="3808000"/>
    <n v="3500000"/>
    <n v="0"/>
    <n v="3500000"/>
    <n v="30133600"/>
    <x v="0"/>
    <n v="0"/>
    <n v="7"/>
    <n v="7"/>
    <n v="0"/>
    <n v="0"/>
    <n v="0"/>
    <n v="0"/>
    <n v="0"/>
    <n v="0"/>
    <n v="0"/>
    <n v="7"/>
    <n v="7"/>
    <n v="7"/>
    <n v="7"/>
    <n v="7"/>
    <n v="6.9"/>
    <n v="7"/>
    <s v="NO"/>
    <s v="Pia fuentes corcoran"/>
    <s v="pfuentescorcoran@gmail.com"/>
    <n v="992196137"/>
    <s v="&quot;SALA DE CLASES: AVENIDA VENTISQUERO 1225, BODEGA 75, COMUNA DE RENCA TALLER: AV. PDTE. EDUARDO FREI,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s v="SI"/>
    <n v="7.0000000000000009"/>
    <s v="SI"/>
    <n v="7"/>
    <s v="SI"/>
    <n v="7"/>
    <s v="SI"/>
    <n v="5075"/>
    <n v="5075"/>
    <s v="SI"/>
    <n v="0.67164179104477606"/>
    <n v="0"/>
    <s v="NO"/>
    <n v="67"/>
    <n v="125"/>
    <s v="NO"/>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302818-6"/>
    <s v="cade capacitacion y desarrollo empresarial e.i.r.l"/>
    <n v="80"/>
    <n v="20"/>
    <n v="6373"/>
    <n v="0"/>
    <n v="0"/>
    <n v="8157440"/>
    <n v="1280000"/>
    <n v="0"/>
    <n v="0"/>
    <n v="0"/>
    <n v="9437440"/>
    <x v="0"/>
    <n v="0"/>
    <n v="3"/>
    <n v="7"/>
    <n v="0"/>
    <n v="0"/>
    <n v="0"/>
    <n v="0"/>
    <n v="0"/>
    <n v="0"/>
    <n v="0"/>
    <n v="7"/>
    <n v="7"/>
    <n v="7"/>
    <n v="7"/>
    <n v="7"/>
    <n v="7"/>
    <n v="6.6"/>
    <s v="NO"/>
    <s v="ALEJANDRA HUANCHICAY"/>
    <s v="becaslaborales@cade.cl"/>
    <n v="973778527"/>
    <s v="Blanco Encalada Nº 133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23"/>
    <n v="125"/>
    <s v="NO"/>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056645-4"/>
    <s v="ISOLUTION CAPACITACION EN GESTION LILITADA"/>
    <n v="272"/>
    <n v="68"/>
    <n v="5075"/>
    <n v="250000"/>
    <n v="250000"/>
    <n v="19325600"/>
    <n v="3808000"/>
    <n v="3500000"/>
    <n v="0"/>
    <n v="3500000"/>
    <n v="30133600"/>
    <x v="0"/>
    <n v="0"/>
    <n v="7"/>
    <n v="7"/>
    <n v="0"/>
    <n v="0"/>
    <n v="0"/>
    <n v="0"/>
    <n v="0"/>
    <n v="0"/>
    <n v="0"/>
    <n v="7"/>
    <n v="7"/>
    <n v="7"/>
    <n v="7"/>
    <n v="7"/>
    <n v="6.9"/>
    <n v="7"/>
    <s v="NO"/>
    <s v="GUILLERMO"/>
    <s v="ggonzalez@isolution.cl"/>
    <n v="995163347"/>
    <s v="LOS GERANIOS #3203,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SI"/>
    <n v="7"/>
    <s v="SI"/>
    <n v="7.0000000000000009"/>
    <s v="SI"/>
    <n v="7"/>
    <s v="SI"/>
    <n v="7"/>
    <s v="SI"/>
    <n v="5075"/>
    <n v="5075"/>
    <s v="SI"/>
    <n v="0.16245487364620939"/>
    <n v="0"/>
    <s v="NO"/>
    <n v="122"/>
    <n v="125"/>
    <s v="NO"/>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PUYEHUE"/>
    <s v="ESTUDIANTES DE CUARTO AÑO DE ENSEÑANZA MEDIA O DE LICEOS TÉCNICOS PROFESIONALES."/>
    <s v="PRESENCIAL"/>
    <s v="DEPENDIENTE"/>
    <s v="04. MART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Ruta Internacional CH215, km 43 S/N – Puyehue, Puyehue"/>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n v="0"/>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Camino a Mision Quilacahuin, Liceo Quilacahuin San Pablo, Los Lagos, San Pabl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Av. René Soriano 2615, Osorno, Los Lagos, Osorn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Bernardo Ohiggins 210, DE LOS LAGOS, FRESIA, Fresia"/>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7593380-1"/>
    <s v="Centro de Investigación para el Desarrollo y Capacitación Limitada"/>
    <n v="110"/>
    <n v="28"/>
    <n v="5075"/>
    <n v="0"/>
    <n v="0"/>
    <n v="8932000"/>
    <n v="1792000"/>
    <n v="0"/>
    <n v="0"/>
    <n v="0"/>
    <n v="10724000"/>
    <x v="0"/>
    <n v="0"/>
    <n v="3"/>
    <n v="7"/>
    <n v="0"/>
    <n v="0"/>
    <n v="0"/>
    <n v="0"/>
    <n v="0"/>
    <n v="0"/>
    <n v="0"/>
    <n v="7"/>
    <n v="7"/>
    <n v="7"/>
    <n v="7"/>
    <n v="7"/>
    <n v="7"/>
    <n v="6.6"/>
    <s v="SI"/>
    <s v="EMILY RODRIGUEZ"/>
    <s v="ERODRIGUEZ@institutoasiste.cl"/>
    <n v="225962361"/>
    <s v="PASAJE VIRGINIO ARIAS 1926, Renca"/>
    <s v="Capacitar al participante para asistir en tareas de mantenimiento eléctrico de baja tensión, aplicando procedimientos técnicos, normas de seguridad y uso adecuado de herramientas, bajo supervisión especializada."/>
    <s v="Este curso entrega conocimientos básicos para apoyar labores de mantenimiento preventivo y correctivo en instalaciones eléctricas de baja tensión. Incluye identificación de componentes, uso de instrumentos de medición, aplicación de protocolos de seguridad y asistencia en inspecciones, limpieza y reparación de equipos eléctricos."/>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SI"/>
    <n v="6.6"/>
    <s v="SI"/>
    <n v="7.0000000000000009"/>
    <s v="SI"/>
    <n v="7"/>
    <s v="SI"/>
    <n v="3"/>
    <s v="SI"/>
    <n v="5075"/>
    <n v="5075"/>
    <s v="SI"/>
    <n v="0"/>
    <n v="0"/>
    <s v="SI"/>
    <n v="33"/>
    <n v="43"/>
    <s v="NO"/>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7593380-1"/>
    <s v="Centro de Investigación para el Desarrollo y Capacitación Limitada"/>
    <n v="120"/>
    <n v="30"/>
    <n v="5075"/>
    <n v="0"/>
    <n v="0"/>
    <n v="9135000"/>
    <n v="1800000"/>
    <n v="0"/>
    <n v="0"/>
    <n v="0"/>
    <n v="10935000"/>
    <x v="0"/>
    <n v="0"/>
    <n v="3"/>
    <n v="7"/>
    <n v="0"/>
    <n v="0"/>
    <n v="0"/>
    <n v="0"/>
    <n v="0"/>
    <n v="0"/>
    <n v="0"/>
    <n v="7"/>
    <n v="7"/>
    <n v="7"/>
    <n v="7"/>
    <n v="7"/>
    <n v="7"/>
    <n v="6.6"/>
    <s v="SI"/>
    <s v="EMILY RODRIGUEZ"/>
    <s v="ERODRIGUEZ@institutoasiste.cl"/>
    <n v="225962361"/>
    <s v="PASAJE VIRGINIO ARIAS 1926, Renca"/>
    <s v="Formar técnicos capacitados en el diagnóstico, mantenimiento y reparación de sistemas electromecánicos de vehículos automotrices, integrando conocimientos de mecánica, electricidad y electrónica bajo estándares de seguridad, calidad y sustentabilidad."/>
    <s v="Este curso entrega competencias para intervenir sistemas de propulsión, eléctricos, electrónicos y de confort de vehículos livianos y pesados. Incluye diagnóstico computarizado, mantenimiento preventivo y correctivo, gestión de servicio técnico y aplicación de normativas vigentes en electromovilidad y mecánica automotriz"/>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s v="SI"/>
    <n v="7.0000000000000009"/>
    <s v="SI"/>
    <n v="7"/>
    <s v="SI"/>
    <n v="3"/>
    <s v="SI"/>
    <n v="5075"/>
    <n v="5075"/>
    <s v="SI"/>
    <n v="0"/>
    <n v="0"/>
    <s v="SI"/>
    <n v="33"/>
    <n v="33"/>
    <s v="SI"/>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7593380-1"/>
    <s v="Centro de Investigación para el Desarrollo y Capacitación Limitada"/>
    <n v="240"/>
    <n v="60"/>
    <n v="6373"/>
    <n v="0"/>
    <n v="50000"/>
    <n v="21413280"/>
    <n v="3360000"/>
    <n v="0"/>
    <n v="0"/>
    <n v="700000"/>
    <n v="25473280"/>
    <x v="0"/>
    <n v="0"/>
    <n v="3"/>
    <n v="7"/>
    <n v="0"/>
    <n v="0"/>
    <n v="0"/>
    <n v="0"/>
    <n v="0"/>
    <n v="0"/>
    <n v="0"/>
    <n v="7"/>
    <n v="7"/>
    <n v="7"/>
    <n v="7"/>
    <n v="7"/>
    <n v="7"/>
    <n v="6.6"/>
    <s v="NO"/>
    <s v="EMILY RODRIGUEZ"/>
    <s v="ERODRIGUEZ@institutoasiste.cl"/>
    <n v="225962361"/>
    <s v="PASAJE VIRGINIO ARIAS 1926,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33"/>
    <n v="67"/>
    <s v="NO"/>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55298-4"/>
    <s v="Centro de Formación y Capacitación Limitada"/>
    <n v="80"/>
    <n v="20"/>
    <n v="6373"/>
    <n v="0"/>
    <n v="0"/>
    <n v="8157440"/>
    <n v="1280000"/>
    <n v="0"/>
    <n v="0"/>
    <n v="0"/>
    <n v="9437440"/>
    <x v="0"/>
    <n v="0"/>
    <n v="5"/>
    <n v="7"/>
    <n v="0"/>
    <n v="0"/>
    <n v="0"/>
    <n v="0"/>
    <n v="0"/>
    <n v="0"/>
    <n v="0"/>
    <n v="7"/>
    <n v="7"/>
    <n v="7"/>
    <n v="7"/>
    <n v="7"/>
    <n v="7"/>
    <n v="6.8"/>
    <s v="NO"/>
    <s v="José Beniscelli"/>
    <s v="jbeniscelli@cenfor.cl"/>
    <n v="986851817"/>
    <s v="Av. Miraflore 8414, Renca"/>
    <n v="0"/>
    <n v="0"/>
    <n v="0"/>
    <n v="0"/>
    <n v="0"/>
    <n v="0"/>
    <n v="0"/>
    <n v="0"/>
    <n v="0"/>
    <n v="0"/>
    <n v="0"/>
    <n v="0"/>
    <n v="0"/>
    <n v="0"/>
    <n v="0"/>
    <n v="0"/>
    <n v="0"/>
    <n v="0"/>
    <s v="SSH"/>
    <s v="SI"/>
    <s v="NO"/>
    <n v="0"/>
    <n v="0"/>
    <n v="0"/>
    <n v="0"/>
    <n v="0"/>
    <n v="0"/>
    <n v="0"/>
    <n v="0"/>
    <n v="0"/>
    <n v="0"/>
    <s v="SI"/>
    <n v="0"/>
    <s v="SI"/>
    <n v="0"/>
    <s v="SI"/>
    <n v="0"/>
    <n v="0.5"/>
    <n v="0.70000000000000007"/>
    <s v="SI"/>
    <n v="0"/>
    <n v="0"/>
    <n v="0"/>
    <n v="7.0000000000000009"/>
    <n v="7.0000000000000009"/>
    <n v="6373"/>
    <n v="6373"/>
    <n v="7"/>
    <s v="APROBADO"/>
    <s v="APROBADO"/>
    <n v="6.8"/>
    <s v="APROBADO"/>
    <s v="SI"/>
    <n v="7"/>
    <s v="NO"/>
    <s v="NO APLICA "/>
    <s v="NO"/>
    <s v="NO APLICA"/>
    <s v="NO APLICA"/>
    <s v="NO APLICA"/>
    <s v="NO APLICA"/>
    <s v=""/>
    <s v="NO APLICA"/>
    <s v="NO"/>
    <s v="NO APLICA"/>
    <s v="NO APLICA"/>
    <s v="NO"/>
    <n v="48"/>
    <n v="125"/>
    <s v="NO"/>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65062756-3"/>
    <s v="Fundaciòn Forpe Chile"/>
    <n v="160"/>
    <n v="32"/>
    <n v="6373"/>
    <n v="0"/>
    <n v="0"/>
    <n v="15295200"/>
    <n v="1920000"/>
    <n v="0"/>
    <n v="0"/>
    <n v="0"/>
    <n v="17215200"/>
    <x v="0"/>
    <n v="0"/>
    <n v="7"/>
    <n v="7"/>
    <n v="7"/>
    <n v="7"/>
    <n v="7"/>
    <n v="7"/>
    <n v="7"/>
    <n v="7"/>
    <n v="7"/>
    <n v="7"/>
    <n v="7"/>
    <n v="7"/>
    <n v="7"/>
    <n v="7"/>
    <n v="7"/>
    <n v="7"/>
    <s v="SI"/>
    <s v="ESTEBAN VEGA TORO"/>
    <s v="contacto@forpe.cl"/>
    <n v="228347804"/>
    <s v="Padre Miguel de Olivares 1324, Santiago"/>
    <s v="Capacitar al participante en la aplicación de procedimientos de control de calidad en la industria alimentaria, asegurando la inocuidad, trazabilidad y cumplimiento de estándares técnicos y normativos en cada etapa del proceso productivo."/>
    <s v="Este curso entrega herramientas para implementar controles de calidad en alimentos, desde la recepción de materias primas hasta el producto final. Incluye análisis microbiológicos, físicos y sensoriales, gestión de riesgos, buenas prácticas de manufactura y trazabilidad en procesos alimentarios."/>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s v="SI"/>
    <n v="7.0000000000000009"/>
    <s v="SI"/>
    <n v="7"/>
    <s v="SI"/>
    <n v="7"/>
    <s v="SI"/>
    <n v="6373"/>
    <n v="6373"/>
    <s v="SI"/>
    <n v="0"/>
    <n v="0"/>
    <s v="SI"/>
    <n v="125"/>
    <n v="125"/>
    <s v="SI"/>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65062756-3"/>
    <s v="Fundaciòn Forpe Chile"/>
    <n v="80"/>
    <n v="20"/>
    <n v="6373"/>
    <n v="0"/>
    <n v="0"/>
    <n v="8157440"/>
    <n v="1280000"/>
    <n v="0"/>
    <n v="0"/>
    <n v="0"/>
    <n v="9437440"/>
    <x v="0"/>
    <n v="0"/>
    <n v="7"/>
    <n v="7"/>
    <n v="0"/>
    <n v="0"/>
    <n v="0"/>
    <n v="0"/>
    <n v="0"/>
    <n v="0"/>
    <n v="0"/>
    <n v="7"/>
    <n v="7"/>
    <n v="7"/>
    <n v="7"/>
    <n v="7"/>
    <n v="7"/>
    <n v="7"/>
    <s v="SI"/>
    <s v="ESTEBAN VEGA TORO"/>
    <s v="contacto@forpe.cl"/>
    <n v="228347804"/>
    <s v="Vicuña Makena 1020, Renca"/>
    <s v="Capacitar al participante en la gestión eficiente de procesos logísticos en bodegas, centros de distribución y centros de transferencia, aplicando técnicas de almacenamiento, manejo de inventarios y control operativo conforme a estándares de calidad y seguridad."/>
    <s v="Este curso entrega conocimientos prácticos sobre recepción, almacenamiento, preparación de pedidos y despacho de mercancías. Aborda el diseño de layout, flujo de materiales, optimización de espacios, rotación de inventarios y buenas prácticas logísticas para mejorar la eficiencia operativa en distintos tipos de instalacione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s v="SI"/>
    <n v="7.0000000000000009"/>
    <s v="SI"/>
    <n v="7"/>
    <s v="SI"/>
    <n v="7"/>
    <s v="SI"/>
    <n v="6373"/>
    <n v="6373"/>
    <s v="SI"/>
    <n v="0"/>
    <n v="0"/>
    <s v="SI"/>
    <n v="125"/>
    <n v="125"/>
    <s v="SI"/>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62756-3"/>
    <s v="Fundaciòn Forpe Chile"/>
    <n v="272"/>
    <n v="68"/>
    <n v="5075"/>
    <n v="250000"/>
    <n v="250000"/>
    <n v="19325600"/>
    <n v="3808000"/>
    <n v="3500000"/>
    <n v="0"/>
    <n v="3500000"/>
    <n v="30133600"/>
    <x v="0"/>
    <n v="0"/>
    <n v="7"/>
    <n v="7"/>
    <n v="0"/>
    <n v="0"/>
    <n v="0"/>
    <n v="0"/>
    <n v="0"/>
    <n v="0"/>
    <n v="0"/>
    <n v="7"/>
    <n v="7"/>
    <n v="7"/>
    <n v="7"/>
    <n v="7"/>
    <n v="6.9"/>
    <n v="7"/>
    <s v="SI"/>
    <s v="ESTEBAN VEGA TORO"/>
    <s v="contacto@forpe.cl"/>
    <n v="228347804"/>
    <s v="Vicuña Makena 1020, Renca"/>
    <s v="Capacitar al participante en la aplicación de técnicas de soldadura por Oxigás, Arco Voltaico, TIG y MIG sobre piezas metálicas, cumpliendo con normas de seguridad, calidad y procedimientos operativos del sector metalmecánico."/>
    <s v="Este curso entrega conocimientos prácticos para ejecutar soldaduras en distintos procesos y posiciones, utilizando equipos adecuados y aplicando normas de higiene, seguridad y calidad. Incluye preparación de superficies, configuración de parámetros, ejecución de cordones y registro de procedimientos técnicos."/>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s v="SI"/>
    <n v="7.0000000000000009"/>
    <s v="SI"/>
    <n v="7"/>
    <s v="SI"/>
    <n v="7"/>
    <s v="SI"/>
    <n v="5075"/>
    <n v="5075"/>
    <s v="SI"/>
    <n v="0"/>
    <n v="0"/>
    <s v="SI"/>
    <n v="125"/>
    <n v="125"/>
    <s v="SI"/>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928190-8"/>
    <s v="Véliz, Núñez y Cía. Ltda."/>
    <n v="120"/>
    <n v="30"/>
    <n v="5075"/>
    <n v="0"/>
    <n v="0"/>
    <n v="9135000"/>
    <n v="1800000"/>
    <n v="0"/>
    <n v="0"/>
    <n v="0"/>
    <n v="1093500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s v="SI"/>
    <n v="7.0000000000000009"/>
    <s v="SI"/>
    <n v="7"/>
    <s v="SI"/>
    <n v="3"/>
    <s v="SI"/>
    <n v="5075"/>
    <n v="5075"/>
    <s v="SI"/>
    <n v="0.51724137931034486"/>
    <n v="0"/>
    <s v="NO"/>
    <n v="29"/>
    <n v="33"/>
    <s v="NO"/>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928190-8"/>
    <s v="Véliz, Núñez y Cía. Ltda."/>
    <n v="80"/>
    <n v="20"/>
    <n v="6373"/>
    <n v="0"/>
    <n v="0"/>
    <n v="8157440"/>
    <n v="1280000"/>
    <n v="0"/>
    <n v="0"/>
    <n v="0"/>
    <n v="943744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29"/>
    <n v="125"/>
    <s v="NO"/>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928190-8"/>
    <s v="Véliz, Núñez y Cía. Ltda."/>
    <n v="160"/>
    <n v="32"/>
    <n v="6373"/>
    <n v="0"/>
    <n v="0"/>
    <n v="15295200"/>
    <n v="1920000"/>
    <n v="0"/>
    <n v="0"/>
    <n v="0"/>
    <n v="17215200"/>
    <x v="0"/>
    <n v="0"/>
    <n v="3"/>
    <n v="7"/>
    <n v="7"/>
    <n v="7"/>
    <n v="7"/>
    <n v="7"/>
    <n v="7"/>
    <n v="7"/>
    <n v="7"/>
    <n v="7"/>
    <n v="7"/>
    <n v="7"/>
    <n v="7"/>
    <n v="7"/>
    <n v="7"/>
    <n v="6.6"/>
    <s v="NO"/>
    <s v="Marianela Núñez Véliz"/>
    <s v="surorienteemprende@gmail.com"/>
    <n v="228507710"/>
    <s v="Pedro Lagos 1414, Santiago"/>
    <n v="0"/>
    <n v="0"/>
    <n v="0"/>
    <n v="0"/>
    <n v="0"/>
    <n v="0"/>
    <n v="0"/>
    <n v="0"/>
    <n v="0"/>
    <n v="0"/>
    <n v="0"/>
    <n v="0"/>
    <n v="0"/>
    <n v="0"/>
    <n v="0"/>
    <n v="0"/>
    <n v="0"/>
    <n v="0"/>
    <s v="SSH"/>
    <s v="NO"/>
    <s v="SI"/>
    <n v="0"/>
    <n v="0"/>
    <n v="0"/>
    <n v="0"/>
    <n v="0"/>
    <n v="0"/>
    <n v="0"/>
    <n v="0"/>
    <n v="0"/>
    <n v="0"/>
    <s v="SI"/>
    <n v="0"/>
    <s v="SI"/>
    <n v="0"/>
    <s v="SI"/>
    <n v="0"/>
    <n v="0.30000000000000004"/>
    <n v="0.70000000000000007"/>
    <s v="NO"/>
    <n v="7"/>
    <n v="7"/>
    <n v="7"/>
    <n v="7.0000000000000009"/>
    <n v="7.0000000000000009"/>
    <n v="6373"/>
    <n v="6373"/>
    <n v="7"/>
    <s v="APROBADO"/>
    <s v="APROBADO"/>
    <n v="6.6"/>
    <s v="APROBADO"/>
    <s v="NO"/>
    <n v="7"/>
    <s v="NO"/>
    <s v="NO APLICA "/>
    <s v="NO"/>
    <s v="NO APLICA"/>
    <s v="NO APLICA"/>
    <s v="NO APLICA"/>
    <s v="NO APLICA"/>
    <s v=""/>
    <s v="NO APLICA"/>
    <s v="NO"/>
    <s v="NO APLICA"/>
    <s v="NO APLICA"/>
    <s v="NO"/>
    <n v="29"/>
    <n v="125"/>
    <s v="NO"/>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928190-8"/>
    <s v="Véliz, Núñez y Cía. Ltda."/>
    <n v="272"/>
    <n v="68"/>
    <n v="5075"/>
    <n v="250000"/>
    <n v="250000"/>
    <n v="19325600"/>
    <n v="3808000"/>
    <n v="3500000"/>
    <n v="0"/>
    <n v="3500000"/>
    <n v="30133600"/>
    <x v="1"/>
    <s v="NUMERAL 6.1.2. ÍTEM 6 - ERROR EN ESTRUCTURA DE COSTOS (ÍTEM F, H, J, K, M Y N)"/>
    <n v="0"/>
    <n v="0"/>
    <n v="0"/>
    <n v="0"/>
    <n v="0"/>
    <n v="0"/>
    <n v="0"/>
    <n v="0"/>
    <n v="0"/>
    <n v="0"/>
    <n v="0"/>
    <n v="0"/>
    <n v="0"/>
    <n v="0"/>
    <n v="0"/>
    <n v="0"/>
    <s v="NO"/>
    <s v="Marianela Núñez Véliz"/>
    <s v="surorienteemprende@gmail.com"/>
    <n v="228507710"/>
    <s v="Las Margaritas 3875,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s v="NO APLICA"/>
    <s v="NO APLICA "/>
    <s v="NO"/>
    <s v="NO APLICA"/>
    <s v="NO APLICA"/>
    <s v="NO APLICA"/>
    <s v="NO APLICA"/>
    <s v=""/>
    <s v="NO APLICA"/>
    <s v="NO"/>
    <s v="NO APLICA"/>
    <s v="NO APLICA"/>
    <s v="NO"/>
    <n v="29"/>
    <n v="125"/>
    <s v="NO"/>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ilmaiquén S/N, San Pabl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atricio Lynch 1866, Osorn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Circunvalación 401, Fresia"/>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311060-3"/>
    <s v="SOCIEDAD OTC CAPACITACIÓN LTDA"/>
    <n v="272"/>
    <n v="68"/>
    <n v="5000"/>
    <n v="250000"/>
    <n v="250000"/>
    <n v="19040000"/>
    <n v="3808000"/>
    <n v="3500000"/>
    <n v="0"/>
    <n v="3500000"/>
    <n v="29848000"/>
    <x v="0"/>
    <n v="0"/>
    <n v="3"/>
    <n v="7"/>
    <n v="0"/>
    <n v="0"/>
    <n v="0"/>
    <n v="0"/>
    <n v="0"/>
    <n v="0"/>
    <n v="0"/>
    <n v="7"/>
    <n v="7"/>
    <n v="7"/>
    <n v="7"/>
    <n v="7"/>
    <n v="7"/>
    <n v="6.6"/>
    <s v="NO"/>
    <s v="Jorge Aranguiz"/>
    <s v="jaranguiz@otc.cl"/>
    <n v="988394610"/>
    <s v="PASAJE LANCO 4862, Renca"/>
    <n v="0"/>
    <n v="0"/>
    <n v="0"/>
    <n v="0"/>
    <n v="0"/>
    <n v="0"/>
    <n v="0"/>
    <n v="0"/>
    <n v="0"/>
    <n v="0"/>
    <n v="0"/>
    <n v="0"/>
    <n v="0"/>
    <n v="0"/>
    <n v="0"/>
    <n v="0"/>
    <n v="0"/>
    <n v="0"/>
    <s v="SHMAN"/>
    <s v="SI"/>
    <s v="NO"/>
    <n v="0"/>
    <n v="1"/>
    <n v="0"/>
    <n v="0"/>
    <n v="0"/>
    <n v="0"/>
    <n v="0"/>
    <n v="0"/>
    <n v="0"/>
    <n v="0"/>
    <s v="NO"/>
    <n v="1"/>
    <s v="SI"/>
    <s v="NO APLICA"/>
    <s v="SI"/>
    <s v="NO APLICA"/>
    <s v="NO APLICA"/>
    <s v="NO APLICA"/>
    <s v="SI"/>
    <n v="0"/>
    <n v="0"/>
    <s v="NO APLICA"/>
    <s v="NO APLICA"/>
    <s v="NO APLICA"/>
    <n v="5000"/>
    <n v="5000"/>
    <s v="NO APLICA"/>
    <s v="NO APLICA"/>
    <s v="NO APLICA"/>
    <s v="NO APLICA"/>
    <s v="NO APLICA"/>
    <s v="NO"/>
    <s v="NO APLICA"/>
    <s v="NO APLICA"/>
    <s v="NO APLICA "/>
    <s v="NO"/>
    <s v="NO APLICA"/>
    <s v="NO APLICA"/>
    <s v="NO APLICA"/>
    <s v="NO APLICA"/>
    <s v=""/>
    <s v="NO APLICA"/>
    <s v="NO"/>
    <s v="NO APLICA"/>
    <s v="NO APLICA"/>
    <s v="NO"/>
    <n v="29"/>
    <n v="125"/>
    <s v="NO"/>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232950-6"/>
    <s v="INSTITUTO DE CALIDAD Y MEDIOAMBIENTE DE CHILE IGNACIO JAVIER CARO AGUILERA E.I.R.L"/>
    <n v="120"/>
    <n v="30"/>
    <n v="5600"/>
    <n v="0"/>
    <n v="0"/>
    <n v="10080000"/>
    <n v="1800000"/>
    <n v="0"/>
    <n v="0"/>
    <n v="0"/>
    <n v="11880000"/>
    <x v="0"/>
    <n v="0"/>
    <n v="1"/>
    <n v="7"/>
    <n v="0"/>
    <n v="0"/>
    <n v="0"/>
    <n v="0"/>
    <n v="0"/>
    <n v="0"/>
    <n v="0"/>
    <n v="7"/>
    <n v="7"/>
    <n v="7"/>
    <n v="7"/>
    <n v="7"/>
    <n v="6.3"/>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600"/>
    <n v="5075"/>
    <n v="6.3"/>
    <s v="APROBADO"/>
    <s v="APROBADO"/>
    <n v="6.4"/>
    <s v="APROBADO"/>
    <s v="NO"/>
    <n v="6.6"/>
    <s v="NO"/>
    <s v="NO APLICA "/>
    <s v="NO"/>
    <s v="NO APLICA"/>
    <s v="NO APLICA"/>
    <s v="NO APLICA"/>
    <s v="NO APLICA"/>
    <s v=""/>
    <s v="NO APLICA"/>
    <s v="NO"/>
    <s v="NO APLICA"/>
    <s v="NO APLICA"/>
    <s v="NO"/>
    <n v="17"/>
    <n v="33"/>
    <s v="NO"/>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232950-6"/>
    <s v="INSTITUTO DE CALIDAD Y MEDIOAMBIENTE DE CHILE IGNACIO JAVIER CARO AGUILERA E.I.R.L"/>
    <n v="80"/>
    <n v="20"/>
    <n v="6700"/>
    <n v="0"/>
    <n v="0"/>
    <n v="8576000"/>
    <n v="1280000"/>
    <n v="0"/>
    <n v="0"/>
    <n v="0"/>
    <n v="9856000"/>
    <x v="0"/>
    <n v="0"/>
    <n v="1"/>
    <n v="7"/>
    <n v="0"/>
    <n v="0"/>
    <n v="0"/>
    <n v="0"/>
    <n v="0"/>
    <n v="0"/>
    <n v="0"/>
    <n v="7"/>
    <n v="7"/>
    <n v="7"/>
    <n v="7"/>
    <n v="7"/>
    <n v="6.7"/>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700"/>
    <n v="6373"/>
    <n v="6.7"/>
    <s v="APROBADO"/>
    <s v="APROBADO"/>
    <n v="6.4"/>
    <s v="APROBADO"/>
    <s v="NO"/>
    <n v="7"/>
    <s v="NO"/>
    <s v="NO APLICA "/>
    <s v="NO"/>
    <s v="NO APLICA"/>
    <s v="NO APLICA"/>
    <s v="NO APLICA"/>
    <s v="NO APLICA"/>
    <s v=""/>
    <s v="NO APLICA"/>
    <s v="NO"/>
    <s v="NO APLICA"/>
    <s v="NO APLICA"/>
    <s v="NO"/>
    <n v="17"/>
    <n v="125"/>
    <s v="NO"/>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87730100-1"/>
    <s v="CENTRO TECNICO INDURA LIMITADA"/>
    <n v="272"/>
    <n v="68"/>
    <n v="6300"/>
    <n v="250000"/>
    <n v="250000"/>
    <n v="23990400"/>
    <n v="3808000"/>
    <n v="3500000"/>
    <n v="0"/>
    <n v="3500000"/>
    <n v="34798400"/>
    <x v="1"/>
    <s v="NUMERAL 6.1.2. ÍTEM 7 - OTEC ADJUNTA ANEXO DE PROPUESTA, SIN EMBARGO, NO ADJUNTA EL ANEXO 3 CORRESPONDIENTE AL CURSO. _x000a_NUMERAL 6.1.2. ÍTEM 11: NO PRESENTA FOTOS QUE ACREDITEN LAS CARACTERISTICAS DESCRITAS EN LA PROPUESTA, NO PRESENTA MODELO CARTA COMPROMISO DE INFRAESTRUCTURA"/>
    <n v="0"/>
    <n v="0"/>
    <n v="0"/>
    <n v="0"/>
    <n v="0"/>
    <n v="0"/>
    <n v="0"/>
    <n v="0"/>
    <n v="0"/>
    <n v="0"/>
    <n v="0"/>
    <n v="0"/>
    <n v="0"/>
    <n v="0"/>
    <n v="0"/>
    <n v="0"/>
    <s v="NO"/>
    <s v="Viviana Díaz Salazar"/>
    <s v="DIAZSAVC@airproducts.com"/>
    <n v="225303178"/>
    <s v="Por confirmar,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6300"/>
    <n v="5000"/>
    <s v="NO APLICA"/>
    <s v="NO APLICA"/>
    <s v="NO APLICA"/>
    <s v="NO APLICA"/>
    <s v="NO APLICA"/>
    <s v="NO"/>
    <s v="NO APLICA"/>
    <s v="NO APLICA"/>
    <s v="NO APLICA "/>
    <s v="NO"/>
    <s v="NO APLICA"/>
    <s v="NO APLICA"/>
    <s v="NO APLICA"/>
    <s v="NO APLICA"/>
    <s v=""/>
    <s v="NO APLICA"/>
    <s v="NO"/>
    <s v="NO APLICA"/>
    <s v="NO APLICA"/>
    <s v="NO"/>
    <n v="8"/>
    <n v="125"/>
    <s v="NO"/>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San Francisco 126,,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PARRAL 1398,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COLON, San Pabl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272762-5"/>
    <s v="Lilian Rosario Rivas Avila Capacitación en el Trabajo EIRL"/>
    <n v="160"/>
    <n v="32"/>
    <n v="6373"/>
    <n v="0"/>
    <n v="0"/>
    <n v="15295200"/>
    <n v="1920000"/>
    <n v="0"/>
    <n v="0"/>
    <n v="0"/>
    <n v="17215200"/>
    <x v="0"/>
    <n v="0"/>
    <n v="1"/>
    <n v="7"/>
    <n v="7"/>
    <n v="7"/>
    <n v="7"/>
    <n v="7"/>
    <n v="7"/>
    <n v="7"/>
    <n v="7"/>
    <n v="7"/>
    <n v="7"/>
    <n v="7"/>
    <n v="7"/>
    <n v="7"/>
    <n v="7"/>
    <n v="6.4"/>
    <s v="NO"/>
    <s v="Lilian Rosario Rivas Avila"/>
    <s v="vanguardiaotec@gmail.com"/>
    <n v="985200533"/>
    <s v="avenida padre alonso de Ovalle 1638, Santiago"/>
    <n v="0"/>
    <n v="0"/>
    <n v="0"/>
    <n v="0"/>
    <n v="0"/>
    <n v="0"/>
    <n v="0"/>
    <n v="0"/>
    <n v="0"/>
    <n v="0"/>
    <n v="0"/>
    <n v="0"/>
    <n v="0"/>
    <n v="0"/>
    <n v="0"/>
    <n v="0"/>
    <n v="0"/>
    <n v="0"/>
    <s v="SSH"/>
    <s v="NO"/>
    <s v="SI"/>
    <n v="0"/>
    <n v="0"/>
    <n v="0"/>
    <n v="0"/>
    <n v="0"/>
    <n v="0"/>
    <n v="0"/>
    <n v="0"/>
    <n v="0"/>
    <n v="0"/>
    <s v="SI"/>
    <n v="0"/>
    <s v="SI"/>
    <n v="0"/>
    <s v="SI"/>
    <n v="0"/>
    <n v="0.1"/>
    <n v="0.70000000000000007"/>
    <s v="NO"/>
    <n v="7"/>
    <n v="7"/>
    <n v="7"/>
    <n v="7.0000000000000009"/>
    <n v="7.0000000000000009"/>
    <n v="6373"/>
    <n v="6373"/>
    <n v="7"/>
    <s v="APROBADO"/>
    <s v="APROBADO"/>
    <n v="6.4"/>
    <s v="APROBADO"/>
    <s v="NO"/>
    <n v="7"/>
    <s v="NO"/>
    <s v="NO APLICA "/>
    <s v="NO"/>
    <s v="NO APLICA"/>
    <s v="NO APLICA"/>
    <s v="NO APLICA"/>
    <s v="NO APLICA"/>
    <s v=""/>
    <s v="NO APLICA"/>
    <s v="NO"/>
    <s v="NO APLICA"/>
    <s v="NO APLICA"/>
    <s v="NO"/>
    <n v="11"/>
    <n v="125"/>
    <s v="NO"/>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l Jardín S/N, Fresia,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Amengual 585, Osorno,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0"/>
    <n v="0"/>
    <s v="PUYEHUE"/>
    <s v="ESTUDIANTES DE CUARTO AÑO DE ENSEÑANZA MEDIA O DE LICEOS TÉCNICOS PROFESIONALES."/>
    <s v="PRESENCIAL"/>
    <s v="DEPENDIENTE"/>
    <s v="04. MART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ntre Lagos S/N, Puyehue, Puyehue"/>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773018-7"/>
    <s v="Servicio de capacitación y formación de personas TEKNÉ SpA"/>
    <n v="272"/>
    <n v="68"/>
    <n v="5075"/>
    <n v="250000"/>
    <n v="250000"/>
    <n v="19325600"/>
    <n v="3808000"/>
    <n v="3500000"/>
    <n v="0"/>
    <n v="3500000"/>
    <n v="30133600"/>
    <x v="1"/>
    <s v="NUMERAL 6.1.2. ÍTEM 1 - NO ADJUNTA ANEXO DE PROPUESTA PARA EL CURSO 14389."/>
    <n v="0"/>
    <n v="0"/>
    <n v="0"/>
    <n v="0"/>
    <n v="0"/>
    <n v="0"/>
    <n v="0"/>
    <n v="0"/>
    <n v="0"/>
    <n v="0"/>
    <n v="0"/>
    <n v="0"/>
    <n v="0"/>
    <n v="0"/>
    <n v="0"/>
    <n v="0"/>
    <s v="NO"/>
    <s v="Elizabeth Sepúlveda Moya"/>
    <s v="otec.tekne@gmail.com"/>
    <n v="995011989"/>
    <s v="LA HACIENDA 1549,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s v="NO APLICA"/>
    <s v="NO APLICA "/>
    <s v="NO"/>
    <s v="NO APLICA"/>
    <s v="NO APLICA"/>
    <s v="NO APLICA"/>
    <s v="NO APLICA"/>
    <s v=""/>
    <s v="NO APLICA"/>
    <s v="NO"/>
    <s v="NO APLICA"/>
    <s v="NO APLICA"/>
    <s v="NO"/>
    <n v="10"/>
    <n v="125"/>
    <s v="NO"/>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014819-9"/>
    <s v="ID Capacitación Ltda."/>
    <n v="110"/>
    <n v="28"/>
    <n v="5075"/>
    <n v="0"/>
    <n v="0"/>
    <n v="8932000"/>
    <n v="1792000"/>
    <n v="0"/>
    <n v="0"/>
    <n v="0"/>
    <n v="10724000"/>
    <x v="1"/>
    <s v="NUMERAL 6.1.2. ÍTEM 11: NO PRESENTA FOTOS QUE ACREDITEN LAS CARACTERISTICAS DESCRITAS EN LA PROPUESTA"/>
    <n v="0"/>
    <n v="0"/>
    <n v="0"/>
    <n v="0"/>
    <n v="0"/>
    <n v="0"/>
    <n v="0"/>
    <n v="0"/>
    <n v="0"/>
    <n v="0"/>
    <n v="0"/>
    <n v="0"/>
    <n v="0"/>
    <n v="0"/>
    <n v="0"/>
    <n v="0"/>
    <s v="NO"/>
    <s v="Luis Alejandro Pizarro Mora"/>
    <s v="alejandro@idconsulting.cl"/>
    <n v="93454013"/>
    <s v="La Marquesita 3962,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5075"/>
    <n v="5075"/>
    <s v="NO APLICA"/>
    <s v="NO APLICA"/>
    <s v="NO APLICA"/>
    <s v="NO APLICA"/>
    <s v="NO APLICA"/>
    <s v="NO"/>
    <s v="NO APLICA"/>
    <s v="NO APLICA"/>
    <s v="NO APLICA "/>
    <s v="NO"/>
    <s v="NO APLICA"/>
    <s v="NO APLICA"/>
    <s v="NO APLICA"/>
    <s v="NO APLICA"/>
    <s v=""/>
    <s v="NO APLICA"/>
    <s v="NO"/>
    <s v="NO APLICA"/>
    <s v="NO APLICA"/>
    <s v="NO"/>
    <n v="0"/>
    <n v="0"/>
    <s v="SI"/>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14819-9"/>
    <s v="ID Capacitación Ltda."/>
    <n v="80"/>
    <n v="20"/>
    <n v="6373"/>
    <n v="0"/>
    <n v="0"/>
    <n v="8157440"/>
    <n v="1280000"/>
    <n v="0"/>
    <n v="0"/>
    <n v="0"/>
    <n v="9437440"/>
    <x v="1"/>
    <s v="NUMERAL 6.1.2. ÍTEM 11: NO PRESENTA FOTOS QUE ACREDITEN LAS CARACTERISTICAS DESCRITAS EN LA PROPUESTA"/>
    <n v="0"/>
    <n v="0"/>
    <n v="0"/>
    <n v="0"/>
    <n v="0"/>
    <n v="0"/>
    <n v="0"/>
    <n v="0"/>
    <n v="0"/>
    <n v="0"/>
    <n v="0"/>
    <n v="0"/>
    <n v="0"/>
    <n v="0"/>
    <n v="0"/>
    <n v="0"/>
    <s v="NO"/>
    <s v="Luis Alejandro Pizarro Mora"/>
    <s v="alejandro@idconsulting.cl"/>
    <n v="93454013"/>
    <s v="Av. Domingo Sta. María 2704,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0"/>
    <n v="0"/>
    <s v="SI"/>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57122-3"/>
    <s v="asociación de capacitación juvenil boreal"/>
    <n v="272"/>
    <n v="68"/>
    <n v="5075"/>
    <n v="250000"/>
    <n v="250000"/>
    <n v="19325600"/>
    <n v="3808000"/>
    <n v="3500000"/>
    <n v="0"/>
    <n v="3500000"/>
    <n v="30133600"/>
    <x v="0"/>
    <n v="0"/>
    <n v="5"/>
    <n v="7"/>
    <n v="0"/>
    <n v="0"/>
    <n v="0"/>
    <n v="0"/>
    <n v="0"/>
    <n v="0"/>
    <n v="0"/>
    <n v="6"/>
    <n v="6"/>
    <n v="6"/>
    <n v="6"/>
    <n v="6"/>
    <n v="6.9"/>
    <n v="6"/>
    <s v="NO"/>
    <s v="ALEJANDRA GALLARDO"/>
    <s v="borealicitaciones@gmail.com"/>
    <n v="962274066"/>
    <s v="La Marquesita 3962, Renca"/>
    <n v="0"/>
    <n v="0"/>
    <n v="0"/>
    <n v="0"/>
    <n v="0"/>
    <n v="0"/>
    <n v="0"/>
    <n v="0"/>
    <n v="0"/>
    <n v="0"/>
    <n v="0"/>
    <n v="0"/>
    <n v="0"/>
    <n v="0"/>
    <n v="0"/>
    <n v="0"/>
    <n v="0"/>
    <n v="0"/>
    <s v="SHMAN"/>
    <s v="SI"/>
    <s v="NO"/>
    <n v="0"/>
    <n v="0"/>
    <n v="0"/>
    <n v="0"/>
    <n v="0"/>
    <n v="0"/>
    <n v="0"/>
    <n v="0"/>
    <n v="0"/>
    <n v="0"/>
    <s v="SI"/>
    <n v="0"/>
    <s v="SI"/>
    <n v="0"/>
    <s v="SI"/>
    <n v="0"/>
    <n v="0.5"/>
    <n v="0.70000000000000007"/>
    <s v="SI"/>
    <n v="0"/>
    <n v="0"/>
    <n v="0"/>
    <n v="6"/>
    <n v="6"/>
    <n v="5075"/>
    <n v="5000"/>
    <n v="6.9"/>
    <s v="APROBADO"/>
    <s v="APROBADO"/>
    <n v="6"/>
    <s v="APROBADO"/>
    <n v="0"/>
    <n v="7"/>
    <s v="NO"/>
    <s v="NO APLICA "/>
    <s v="NO"/>
    <s v="NO APLICA"/>
    <s v="NO APLICA"/>
    <s v="NO APLICA"/>
    <s v="NO APLICA"/>
    <s v=""/>
    <s v="NO APLICA"/>
    <s v="NO"/>
    <s v="NO APLICA"/>
    <s v="NO APLICA"/>
    <s v="NO"/>
    <n v="62"/>
    <n v="125"/>
    <s v="NO"/>
  </r>
  <r>
    <x v="14"/>
    <m/>
    <m/>
    <m/>
    <m/>
    <m/>
    <m/>
    <m/>
    <m/>
    <m/>
    <m/>
    <m/>
    <m/>
    <m/>
    <m/>
    <m/>
    <m/>
    <m/>
    <m/>
    <m/>
    <m/>
    <m/>
    <m/>
    <m/>
    <m/>
    <m/>
    <m/>
    <m/>
    <m/>
    <m/>
    <m/>
    <m/>
    <m/>
    <m/>
    <m/>
    <m/>
    <m/>
    <m/>
    <m/>
    <m/>
    <m/>
    <m/>
    <m/>
    <m/>
    <m/>
    <m/>
    <m/>
    <x v="2"/>
    <m/>
    <m/>
    <m/>
    <m/>
    <m/>
    <m/>
    <m/>
    <m/>
    <m/>
    <m/>
    <m/>
    <m/>
    <m/>
    <m/>
    <m/>
    <m/>
    <m/>
    <m/>
    <m/>
    <m/>
    <m/>
    <m/>
    <m/>
    <m/>
    <m/>
    <m/>
    <m/>
    <m/>
    <m/>
    <m/>
    <m/>
    <m/>
    <m/>
    <m/>
    <m/>
    <m/>
    <m/>
    <m/>
    <m/>
    <m/>
    <m/>
    <m/>
    <m/>
    <m/>
    <m/>
    <m/>
    <m/>
    <m/>
    <m/>
    <m/>
    <m/>
    <m/>
    <m/>
    <m/>
    <m/>
    <m/>
    <m/>
    <m/>
    <m/>
    <m/>
    <m/>
    <m/>
    <m/>
    <m/>
    <m/>
    <m/>
    <m/>
    <m/>
    <m/>
    <m/>
    <m/>
    <m/>
    <m/>
    <m/>
    <m/>
    <m/>
    <m/>
    <m/>
    <m/>
    <m/>
    <m/>
    <m/>
    <m/>
    <m/>
    <m/>
    <m/>
    <m/>
    <m/>
    <m/>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102946-0"/>
    <s v="CAPACITACIONES INNOVA PYMES LTDA"/>
    <n v="110"/>
    <n v="28"/>
    <n v="5075"/>
    <n v="0"/>
    <n v="0"/>
    <n v="8932000"/>
    <n v="1792000"/>
    <n v="0"/>
    <n v="0"/>
    <n v="0"/>
    <n v="1072400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075"/>
    <n v="5075"/>
    <n v="7"/>
    <s v="APROBADO"/>
    <s v="APROBADO"/>
    <n v="6.4"/>
    <s v="APROBADO"/>
    <s v="NO"/>
    <n v="6.6"/>
    <s v="NO"/>
    <s v="NO APLICA "/>
    <s v="NO"/>
    <s v="NO APLICA"/>
    <s v="NO APLICA"/>
    <s v="NO APLICA"/>
    <s v="NO APLICA"/>
    <s v=""/>
    <s v="NO APLICA"/>
    <s v="NO"/>
    <s v="NO APLICA"/>
    <s v="NO APLICA"/>
    <s v="NO"/>
    <n v="2"/>
    <n v="43"/>
    <s v="NO"/>
    <n v="0"/>
    <m/>
    <m/>
    <m/>
    <m/>
    <m/>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102946-0"/>
    <s v="CAPACITACIONES INNOVA PYMES LTDA"/>
    <n v="120"/>
    <n v="30"/>
    <n v="6373"/>
    <n v="0"/>
    <n v="0"/>
    <n v="10706640"/>
    <n v="1680000"/>
    <n v="0"/>
    <n v="0"/>
    <n v="0"/>
    <n v="12386640"/>
    <x v="0"/>
    <n v="0"/>
    <n v="1"/>
    <n v="7"/>
    <n v="0"/>
    <n v="0"/>
    <n v="0"/>
    <n v="0"/>
    <n v="0"/>
    <n v="0"/>
    <n v="0"/>
    <n v="7"/>
    <n v="7"/>
    <n v="7"/>
    <n v="7"/>
    <n v="7"/>
    <n v="7"/>
    <n v="6.4"/>
    <s v="SI"/>
    <s v="ALVARO CARLOS"/>
    <s v="a.avila@innovapymes.org"/>
    <n v="342358308"/>
    <s v="Montevideo 2550, Renca"/>
    <s v="Capacitar al participante para organizar, ejecutar y controlar actividades de movilización y distribución de cargas, aplicando normas de seguridad y procedimientos administrativos en entornos portuarios o industriales."/>
    <s v="Este curso entrega conocimientos técnicos y prácticos para movilizar cargas de forma segura y eficiente, incluyendo el uso de equipos de izaje, señalética manual, documentación de faena y evaluación del rendimiento operativo del turno"/>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SI"/>
    <n v="6.4"/>
    <s v="SI"/>
    <n v="7.0000000000000009"/>
    <s v="SI"/>
    <n v="7"/>
    <s v="SI"/>
    <n v="1"/>
    <s v="SI"/>
    <n v="6373"/>
    <n v="6373"/>
    <s v="SI"/>
    <n v="0"/>
    <n v="0"/>
    <s v="SI"/>
    <n v="2"/>
    <n v="2"/>
    <s v="SI"/>
    <n v="0"/>
    <m/>
    <m/>
    <m/>
    <s v="Adjudica"/>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102946-0"/>
    <s v="CAPACITACIONES INNOVA PYMES LTDA"/>
    <n v="240"/>
    <n v="60"/>
    <n v="6373"/>
    <n v="0"/>
    <n v="50000"/>
    <n v="21413280"/>
    <n v="3360000"/>
    <n v="0"/>
    <n v="0"/>
    <n v="700000"/>
    <n v="2547328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NO"/>
    <n v="7"/>
    <s v="NO"/>
    <s v="NO APLICA "/>
    <s v="NO"/>
    <s v="NO APLICA"/>
    <s v="NO APLICA"/>
    <s v="NO APLICA"/>
    <s v="NO APLICA"/>
    <s v=""/>
    <s v="NO APLICA"/>
    <s v="NO"/>
    <s v="NO APLICA"/>
    <s v="NO APLICA"/>
    <s v="NO"/>
    <n v="2"/>
    <n v="67"/>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102946-0"/>
    <s v="CAPACITACIONES INNOVA PYMES LTDA"/>
    <n v="80"/>
    <n v="20"/>
    <n v="6373"/>
    <n v="0"/>
    <n v="0"/>
    <n v="8157440"/>
    <n v="1280000"/>
    <n v="0"/>
    <n v="0"/>
    <n v="0"/>
    <n v="9437440"/>
    <x v="1"/>
    <s v="NUMERAL 6.1.2. ÍTEM 7 - EL OFERENTE NO PRESENTA LA ESTRUCTURA DE COSTOS PARA EL CURSO (ANEXO N° 3)."/>
    <n v="0"/>
    <n v="0"/>
    <n v="0"/>
    <n v="0"/>
    <n v="0"/>
    <n v="0"/>
    <n v="0"/>
    <n v="0"/>
    <n v="0"/>
    <n v="0"/>
    <n v="0"/>
    <n v="0"/>
    <n v="0"/>
    <n v="0"/>
    <n v="0"/>
    <n v="0"/>
    <s v="NO"/>
    <s v="ALVARO CARLOS"/>
    <s v="a.avila@innovapymes.org"/>
    <n v="342358308"/>
    <s v="Montevideo 2550,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2"/>
    <n v="125"/>
    <s v="NO"/>
    <n v="0"/>
    <m/>
    <m/>
    <m/>
    <m/>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460844-5"/>
    <s v="Servicios de Capacitación Caitec S.A."/>
    <n v="110"/>
    <n v="28"/>
    <n v="5075"/>
    <n v="0"/>
    <n v="0"/>
    <n v="8932000"/>
    <n v="1792000"/>
    <n v="0"/>
    <n v="0"/>
    <n v="0"/>
    <n v="1072400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5075"/>
    <n v="5075"/>
    <n v="7"/>
    <s v="APROBADO"/>
    <s v="APROBADO"/>
    <n v="6.4"/>
    <s v="APROBADO"/>
    <s v="NO"/>
    <n v="6.6"/>
    <s v="NO"/>
    <s v="NO APLICA "/>
    <s v="NO"/>
    <s v="NO APLICA"/>
    <s v="NO APLICA"/>
    <s v="NO APLICA"/>
    <s v="NO APLICA"/>
    <s v=""/>
    <s v="NO APLICA"/>
    <s v="NO"/>
    <s v="NO APLICA"/>
    <s v="NO APLICA"/>
    <s v="NO"/>
    <n v="43"/>
    <n v="43"/>
    <s v="SI"/>
    <n v="0"/>
    <m/>
    <m/>
    <m/>
    <m/>
    <m/>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460844-5"/>
    <s v="Servicios de Capacitación Caitec S.A."/>
    <n v="120"/>
    <n v="30"/>
    <n v="6373"/>
    <n v="0"/>
    <n v="0"/>
    <n v="10706640"/>
    <n v="1680000"/>
    <n v="0"/>
    <n v="0"/>
    <n v="0"/>
    <n v="12386640"/>
    <x v="1"/>
    <s v="NUMERAL 6.1.2. ÍTEM 6 - ERROR VALOR TOTAL DEL CURSO; OTEC ESTÁ CONSIDERANDO SUBSIDIO DE CUIDADO EN ANEXO 3, CUANDO NO ESTÁ CONTEMPLADO."/>
    <n v="0"/>
    <n v="0"/>
    <n v="0"/>
    <n v="0"/>
    <n v="0"/>
    <n v="0"/>
    <n v="0"/>
    <n v="0"/>
    <n v="0"/>
    <n v="0"/>
    <n v="0"/>
    <n v="0"/>
    <n v="0"/>
    <n v="0"/>
    <n v="0"/>
    <n v="0"/>
    <s v="NO"/>
    <s v="Osvaldo Sotomayor Baeza"/>
    <s v="gerencia@caitec.cl"/>
    <n v="722604254"/>
    <s v="Avenida La hacienda N° 1589,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43"/>
    <n v="2"/>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460844-5"/>
    <s v="Servicios de Capacitación Caitec S.A."/>
    <n v="80"/>
    <n v="20"/>
    <n v="6373"/>
    <n v="0"/>
    <n v="0"/>
    <n v="8157440"/>
    <n v="1280000"/>
    <n v="0"/>
    <n v="0"/>
    <n v="0"/>
    <n v="943744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6373"/>
    <n v="6373"/>
    <n v="7"/>
    <s v="APROBADO"/>
    <s v="APROBADO"/>
    <n v="6.4"/>
    <s v="APROBADO"/>
    <s v="NO"/>
    <n v="7"/>
    <s v="NO"/>
    <s v="NO APLICA "/>
    <s v="NO"/>
    <s v="NO APLICA"/>
    <s v="NO APLICA"/>
    <s v="NO APLICA"/>
    <s v="NO APLICA"/>
    <s v=""/>
    <s v="NO APLICA"/>
    <s v="NO"/>
    <s v="NO APLICA"/>
    <s v="NO APLICA"/>
    <s v="NO"/>
    <n v="43"/>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460844-5"/>
    <s v="Servicios de Capacitación Caitec S.A."/>
    <n v="272"/>
    <n v="68"/>
    <n v="5075"/>
    <n v="250000"/>
    <n v="250000"/>
    <n v="19325600"/>
    <n v="3808000"/>
    <n v="3500000"/>
    <n v="0"/>
    <n v="3500000"/>
    <n v="30133600"/>
    <x v="0"/>
    <n v="0"/>
    <n v="3"/>
    <n v="5"/>
    <n v="0"/>
    <n v="0"/>
    <n v="0"/>
    <n v="0"/>
    <n v="0"/>
    <n v="0"/>
    <n v="0"/>
    <n v="7"/>
    <n v="7"/>
    <n v="7"/>
    <n v="7"/>
    <n v="7"/>
    <n v="6.9"/>
    <n v="6.4"/>
    <s v="NO"/>
    <s v="Osvaldo Sotomayor Baeza"/>
    <s v="gerencia@caitec.cl"/>
    <n v="722604254"/>
    <s v="Avenida La hacienda N° 1589, Renca"/>
    <n v="0"/>
    <n v="0"/>
    <n v="0"/>
    <n v="0"/>
    <n v="0"/>
    <n v="0"/>
    <n v="0"/>
    <n v="0"/>
    <n v="0"/>
    <n v="0"/>
    <n v="0"/>
    <n v="0"/>
    <n v="0"/>
    <n v="0"/>
    <n v="0"/>
    <n v="0"/>
    <n v="0"/>
    <n v="0"/>
    <s v="SHMAN"/>
    <s v="SI"/>
    <s v="NO"/>
    <n v="0"/>
    <n v="0"/>
    <n v="0"/>
    <n v="0"/>
    <n v="0"/>
    <n v="0"/>
    <n v="0"/>
    <n v="0"/>
    <n v="0"/>
    <n v="0"/>
    <s v="SI"/>
    <n v="0"/>
    <s v="SI"/>
    <n v="0"/>
    <s v="SI"/>
    <n v="0"/>
    <n v="0.30000000000000004"/>
    <n v="0.5"/>
    <s v="SI"/>
    <n v="0"/>
    <n v="0"/>
    <n v="0"/>
    <n v="7.0000000000000009"/>
    <n v="7.0000000000000009"/>
    <n v="5075"/>
    <n v="5000"/>
    <n v="6.9"/>
    <s v="APROBADO"/>
    <s v="APROBADO"/>
    <n v="6.4"/>
    <s v="APROBADO"/>
    <s v="NO"/>
    <n v="7"/>
    <s v="NO"/>
    <s v="NO APLICA "/>
    <s v="NO"/>
    <s v="NO APLICA"/>
    <s v="NO APLICA"/>
    <s v="NO APLICA"/>
    <s v="NO APLICA"/>
    <s v=""/>
    <s v="NO APLICA"/>
    <s v="NO"/>
    <s v="NO APLICA"/>
    <s v="NO APLICA"/>
    <s v="NO"/>
    <n v="43"/>
    <n v="125"/>
    <s v="NO"/>
    <n v="0"/>
    <m/>
    <m/>
    <m/>
    <m/>
    <m/>
  </r>
  <r>
    <x v="5"/>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1"/>
    <n v="0"/>
    <s v="SSH"/>
    <s v="SI"/>
    <s v="NO"/>
    <n v="0"/>
    <n v="0"/>
    <n v="0"/>
    <n v="1"/>
    <n v="0"/>
    <n v="0"/>
    <n v="0"/>
    <n v="0"/>
    <n v="0"/>
    <n v="0"/>
    <s v="NO"/>
    <n v="1"/>
    <s v="SI"/>
    <s v="NO APLICA"/>
    <s v="SI"/>
    <s v="NO APLICA"/>
    <s v="NO APLICA"/>
    <s v="NO APLICA"/>
    <s v="SI"/>
    <n v="0"/>
    <n v="0"/>
    <s v="NO APLICA"/>
    <s v="NO APLICA"/>
    <s v="NO APLICA"/>
    <n v="6373"/>
    <n v="6373"/>
    <s v="NO APLICA"/>
    <s v="NO APLICA"/>
    <s v="NO APLICA"/>
    <s v="NO APLICA"/>
    <s v="NO APLICA"/>
    <s v="SI"/>
    <s v="NO APLICA"/>
    <s v="NO APLICA"/>
    <s v="NO APLICA "/>
    <s v="NO"/>
    <s v="NO APLICA"/>
    <s v="NO APLICA"/>
    <s v="NO APLICA"/>
    <s v="NO APLICA"/>
    <s v=""/>
    <s v="NO APLICA"/>
    <s v="NO"/>
    <s v="NO APLICA"/>
    <s v="NO APLICA"/>
    <s v="NO"/>
    <n v="89"/>
    <n v="89"/>
    <s v="SI"/>
    <n v="0"/>
    <m/>
    <m/>
    <m/>
    <m/>
    <m/>
  </r>
  <r>
    <x v="6"/>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s v="SI"/>
    <n v="7.0000000000000009"/>
    <s v="SI"/>
    <n v="7"/>
    <s v="SI"/>
    <n v="7"/>
    <s v="SI"/>
    <n v="6373"/>
    <n v="6373"/>
    <s v="SI"/>
    <n v="0"/>
    <n v="0"/>
    <s v="SI"/>
    <n v="89"/>
    <n v="89"/>
    <s v="SI"/>
    <n v="0"/>
    <m/>
    <m/>
    <m/>
    <m/>
    <m/>
  </r>
  <r>
    <x v="7"/>
    <s v="SOFOFA"/>
    <n v="2025"/>
    <s v="MANDATO"/>
    <s v="65181652-1"/>
    <s v="SOFOFA"/>
    <s v="70417500-0"/>
    <s v="CORPORACION DE CAPACITACION Y EMPLEO SOFOFA (LICEOS)"/>
    <s v="CURSO ESPECIAL CON SIMULADOR DE INMERSIÓN TOTAL CONDUCENTE A LICENCIA DE CONDUCTOR PROFESIONAL CLASE A-5"/>
    <s v="PF0621"/>
    <n v="0"/>
    <s v=""/>
    <n v="13"/>
    <n v="0"/>
    <s v="SANTIAGO"/>
    <s v="EMPRENDEDORES/AS INFORMALES O PERSONAS VULNERABLES PERTENECIENTES AL 80% MAS VULNERABLE"/>
    <s v="PRESENCIAL"/>
    <s v="DEPENDIENTE"/>
    <s v="01. LUNES - MAÑANA / 04. MARTES - MAÑANA / 07. MIÉRCOLES - MAÑANA / 10. JUEVES - MAÑANA / 13. VIERNES - MAÑANA"/>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57"/>
    <n v="3"/>
    <s v="65088432-9"/>
    <s v="corporación Nueva Ciaspo"/>
    <n v="225"/>
    <n v="57"/>
    <n v="7200"/>
    <n v="0"/>
    <n v="50000"/>
    <n v="24300000"/>
    <n v="3420000"/>
    <n v="0"/>
    <n v="0"/>
    <n v="750000"/>
    <n v="28470000"/>
    <x v="0"/>
    <n v="0"/>
    <n v="7"/>
    <n v="7"/>
    <n v="0"/>
    <n v="0"/>
    <n v="0"/>
    <n v="0"/>
    <n v="0"/>
    <n v="0"/>
    <n v="0"/>
    <n v="7"/>
    <n v="7"/>
    <n v="7"/>
    <n v="7"/>
    <n v="7"/>
    <n v="7"/>
    <n v="7"/>
    <s v="SI"/>
    <s v="Marcela Guerrero Rojas"/>
    <s v="mliriag@gmail.com"/>
    <n v="950110805"/>
    <s v="Dieciocho 182, Santiago"/>
    <s v="Formar conductores profesionales capacitados para operar vehículos motorizados articulados o combinados, aplicando técnicas de conducción segura, normativa vigente y procedimientos de carga y descarga mediante simulación inmersiva."/>
    <s v="Este curso entrega conocimientos teóricos y prácticos para obtener la Licencia Clase A-5, utilizando simuladores de inmersión total que recrean condiciones reales de conducción. Incluye normativa de tránsito, seguridad vial, mantenimiento preventivo y maniobras operativas en transporte de carga"/>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7200"/>
    <n v="7200"/>
    <n v="7"/>
    <s v="APROBADO"/>
    <s v="APROBADO"/>
    <n v="7"/>
    <s v="APROBADO"/>
    <s v="NO"/>
    <n v="7"/>
    <s v="SI"/>
    <n v="7.0000000000000009"/>
    <s v="SI"/>
    <n v="7"/>
    <s v="SI"/>
    <n v="7"/>
    <s v="SI"/>
    <n v="7200"/>
    <n v="7200"/>
    <s v="SI"/>
    <n v="0"/>
    <n v="0"/>
    <s v="SI"/>
    <n v="89"/>
    <n v="89"/>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476826-2"/>
    <s v="AUSO CAPACITACIONES SPA"/>
    <n v="272"/>
    <n v="68"/>
    <n v="5000"/>
    <n v="250000"/>
    <n v="250000"/>
    <n v="19040000"/>
    <n v="3808000"/>
    <n v="3500000"/>
    <n v="0"/>
    <n v="3500000"/>
    <n v="29848000"/>
    <x v="0"/>
    <n v="0"/>
    <n v="1"/>
    <n v="7"/>
    <n v="0"/>
    <n v="0"/>
    <n v="0"/>
    <n v="0"/>
    <n v="0"/>
    <n v="0"/>
    <n v="0"/>
    <n v="7"/>
    <n v="7"/>
    <n v="7"/>
    <n v="7"/>
    <n v="7"/>
    <n v="7"/>
    <n v="6.4"/>
    <s v="NO"/>
    <s v="CLAUDIA NUÑEZ"/>
    <s v="CLAUDIA.NUNEZ@AUSOCAPACITACIONES.CL"/>
    <n v="984199668"/>
    <s v="DOMINGO SANTA MARÍA # 392, Renca"/>
    <n v="0"/>
    <n v="0"/>
    <n v="0"/>
    <n v="0"/>
    <n v="0"/>
    <n v="0"/>
    <n v="0"/>
    <n v="0"/>
    <n v="0"/>
    <n v="0"/>
    <n v="0"/>
    <n v="0"/>
    <n v="0"/>
    <n v="0"/>
    <n v="0"/>
    <n v="0"/>
    <n v="0"/>
    <n v="0"/>
    <s v="SHMAN"/>
    <s v="SI"/>
    <s v="NO"/>
    <n v="0"/>
    <n v="1"/>
    <n v="0"/>
    <n v="0"/>
    <n v="0"/>
    <n v="0"/>
    <n v="0"/>
    <n v="0"/>
    <n v="0"/>
    <n v="0"/>
    <s v="NO"/>
    <n v="1"/>
    <s v="NO"/>
    <s v="NO APLICA"/>
    <s v="NO"/>
    <s v="NO APLICA"/>
    <s v="NO APLICA"/>
    <s v="NO APLICA"/>
    <s v="SI"/>
    <n v="0"/>
    <n v="0"/>
    <s v="NO APLICA"/>
    <s v="NO APLICA"/>
    <s v="NO APLICA"/>
    <n v="5000"/>
    <n v="5000"/>
    <s v="NO APLICA"/>
    <s v="NO APLICA"/>
    <s v="NO APLICA"/>
    <s v="NO APLICA"/>
    <s v="NO APLICA"/>
    <s v="NO"/>
    <s v="NO APLICA"/>
    <s v="NO APLICA"/>
    <s v="NO APLICA "/>
    <s v="NO"/>
    <s v="NO APLICA"/>
    <s v="NO APLICA"/>
    <s v="NO APLICA"/>
    <s v="NO APLICA"/>
    <s v=""/>
    <s v="NO APLICA"/>
    <s v="NO"/>
    <s v="NO APLICA"/>
    <s v="NO APLICA"/>
    <s v="NO"/>
    <n v="0"/>
    <n v="0"/>
    <s v="SI"/>
    <n v="0"/>
    <s v="Error valor hora alumno  "/>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n v="0"/>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606610-0"/>
    <s v="Centro de Capacitación Inforcap SPA"/>
    <n v="160"/>
    <n v="32"/>
    <n v="6373"/>
    <n v="0"/>
    <n v="0"/>
    <n v="15295200"/>
    <n v="1920000"/>
    <n v="0"/>
    <n v="0"/>
    <n v="0"/>
    <n v="17215200"/>
    <x v="0"/>
    <n v="0"/>
    <n v="7"/>
    <n v="7"/>
    <n v="7"/>
    <n v="7"/>
    <n v="7"/>
    <n v="7"/>
    <n v="7"/>
    <n v="7"/>
    <n v="7"/>
    <n v="7"/>
    <n v="7"/>
    <n v="7"/>
    <n v="7"/>
    <n v="7"/>
    <n v="7"/>
    <n v="7"/>
    <s v="NO"/>
    <s v="Pia fuentes corcoran"/>
    <s v="pfuentescorcoran@gmail.com"/>
    <n v="992196137"/>
    <s v="PROVENIR #458, COMUNA DE SANTIAGO, Santiago"/>
    <n v="0"/>
    <n v="0"/>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s v="SI"/>
    <n v="7.0000000000000009"/>
    <s v="SI"/>
    <n v="7"/>
    <s v="SI"/>
    <n v="7"/>
    <s v="SI"/>
    <n v="6373"/>
    <n v="6373"/>
    <s v="SI"/>
    <n v="0.67164179104477606"/>
    <n v="0"/>
    <s v="NO"/>
    <n v="67"/>
    <n v="125"/>
    <s v="NO"/>
    <n v="0"/>
    <s v="No adjudica dado que presenta procentaje de multas ponderadas "/>
    <m/>
    <m/>
    <m/>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606610-0"/>
    <s v="Centro de Capacitación Inforcap SPA"/>
    <n v="240"/>
    <n v="60"/>
    <n v="6373"/>
    <n v="0"/>
    <n v="50000"/>
    <n v="21413280"/>
    <n v="3360000"/>
    <n v="0"/>
    <n v="0"/>
    <n v="700000"/>
    <n v="25473280"/>
    <x v="0"/>
    <n v="0"/>
    <n v="7"/>
    <n v="7"/>
    <n v="0"/>
    <n v="0"/>
    <n v="0"/>
    <n v="0"/>
    <n v="0"/>
    <n v="0"/>
    <n v="0"/>
    <n v="7"/>
    <n v="7"/>
    <n v="7"/>
    <n v="7"/>
    <n v="7"/>
    <n v="7"/>
    <n v="7"/>
    <s v="SI"/>
    <s v="Pia fuentes corcoran"/>
    <s v="pfuentescorcoran@gmail.com"/>
    <n v="992196137"/>
    <s v="SALA DE CLASES: AVENIDA VENTISQUERO 1225, BODEGA 75, COMUNA DE RENCA TALLER: AV. PDTE. EDUARDO FREI, Renca"/>
    <s v="Capacitar al participante en la operación segura y eficiente de cargadores frontales, aplicando procedimientos técnicos, normas de seguridad y criterios de mantenimiento preventivo en contextos de construcción, minería o logística."/>
    <s v="Este curso entrega conocimientos prácticos sobre el manejo de cargadores frontales, incluyendo inspección preoperacional, técnicas de carguío, uso de controles, prevención de riesgos y mantenimiento básico del equipo, conforme a normativa vigente y condiciones operativas del entorno"/>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NO"/>
    <n v="7"/>
    <s v="SI"/>
    <n v="7.0000000000000009"/>
    <s v="SI"/>
    <n v="7"/>
    <s v="SI"/>
    <n v="7"/>
    <s v="SI"/>
    <n v="6373"/>
    <n v="6373"/>
    <s v="SI"/>
    <n v="0.67164179104477606"/>
    <n v="0.67164179104477606"/>
    <s v="SI"/>
    <n v="67"/>
    <n v="67"/>
    <s v="SI"/>
    <n v="0"/>
    <m/>
    <m/>
    <m/>
    <s v="Adjudica"/>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606610-0"/>
    <s v="Centro de Capacitación Inforcap SPA"/>
    <n v="272"/>
    <n v="68"/>
    <n v="5075"/>
    <n v="250000"/>
    <n v="250000"/>
    <n v="19325600"/>
    <n v="3808000"/>
    <n v="3500000"/>
    <n v="0"/>
    <n v="3500000"/>
    <n v="30133600"/>
    <x v="0"/>
    <n v="0"/>
    <n v="7"/>
    <n v="7"/>
    <n v="0"/>
    <n v="0"/>
    <n v="0"/>
    <n v="0"/>
    <n v="0"/>
    <n v="0"/>
    <n v="0"/>
    <n v="7"/>
    <n v="7"/>
    <n v="7"/>
    <n v="7"/>
    <n v="7"/>
    <n v="6.9"/>
    <n v="7"/>
    <s v="NO"/>
    <s v="Pia fuentes corcoran"/>
    <s v="pfuentescorcoran@gmail.com"/>
    <n v="992196137"/>
    <s v="&quot;SALA DE CLASES: AVENIDA VENTISQUERO 1225, BODEGA 75, COMUNA DE RENCA TALLER: AV. PDTE. EDUARDO FREI,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s v="SI"/>
    <n v="7.0000000000000009"/>
    <s v="SI"/>
    <n v="7"/>
    <s v="SI"/>
    <n v="7"/>
    <s v="SI"/>
    <n v="5075"/>
    <n v="5075"/>
    <s v="SI"/>
    <n v="0.67164179104477606"/>
    <n v="0"/>
    <s v="NO"/>
    <n v="67"/>
    <n v="125"/>
    <s v="NO"/>
    <n v="0"/>
    <s v="No adjudica dado que presenta procentaje de multas ponderadas más alto "/>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302818-6"/>
    <s v="cade capacitacion y desarrollo empresarial e.i.r.l"/>
    <n v="80"/>
    <n v="20"/>
    <n v="6373"/>
    <n v="0"/>
    <n v="0"/>
    <n v="8157440"/>
    <n v="1280000"/>
    <n v="0"/>
    <n v="0"/>
    <n v="0"/>
    <n v="9437440"/>
    <x v="0"/>
    <n v="0"/>
    <n v="3"/>
    <n v="7"/>
    <n v="0"/>
    <n v="0"/>
    <n v="0"/>
    <n v="0"/>
    <n v="0"/>
    <n v="0"/>
    <n v="0"/>
    <n v="7"/>
    <n v="7"/>
    <n v="7"/>
    <n v="7"/>
    <n v="7"/>
    <n v="7"/>
    <n v="6.6"/>
    <s v="NO"/>
    <s v="ALEJANDRA HUANCHICAY"/>
    <s v="becaslaborales@cade.cl"/>
    <n v="973778527"/>
    <s v="Blanco Encalada Nº 133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23"/>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056645-4"/>
    <s v="ISOLUTION CAPACITACION EN GESTION LILITADA"/>
    <n v="272"/>
    <n v="68"/>
    <n v="5075"/>
    <n v="250000"/>
    <n v="250000"/>
    <n v="19325600"/>
    <n v="3808000"/>
    <n v="3500000"/>
    <n v="0"/>
    <n v="3500000"/>
    <n v="30133600"/>
    <x v="0"/>
    <n v="0"/>
    <n v="7"/>
    <n v="7"/>
    <n v="0"/>
    <n v="0"/>
    <n v="0"/>
    <n v="0"/>
    <n v="0"/>
    <n v="0"/>
    <n v="0"/>
    <n v="7"/>
    <n v="7"/>
    <n v="7"/>
    <n v="7"/>
    <n v="7"/>
    <n v="6.9"/>
    <n v="7"/>
    <s v="NO"/>
    <s v="GUILLERMO"/>
    <s v="ggonzalez@isolution.cl"/>
    <n v="995163347"/>
    <s v="LOS GERANIOS #3203,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SI"/>
    <n v="7"/>
    <s v="SI"/>
    <n v="7.0000000000000009"/>
    <s v="SI"/>
    <n v="7"/>
    <s v="SI"/>
    <n v="7"/>
    <s v="SI"/>
    <n v="5075"/>
    <n v="5075"/>
    <s v="SI"/>
    <n v="0.16245487364620939"/>
    <n v="0"/>
    <s v="NO"/>
    <n v="122"/>
    <n v="125"/>
    <s v="NO"/>
    <n v="0"/>
    <s v="No adjudica dado que presenta procentaje de multas ponderadas más alto "/>
    <m/>
    <m/>
    <m/>
    <m/>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PUYEHUE"/>
    <s v="ESTUDIANTES DE CUARTO AÑO DE ENSEÑANZA MEDIA O DE LICEOS TÉCNICOS PROFESIONALES."/>
    <s v="PRESENCIAL"/>
    <s v="DEPENDIENTE"/>
    <s v="04. MART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Ruta Internacional CH215, km 43 S/N – Puyehue, Puyehue"/>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n v="0"/>
    <m/>
    <m/>
    <m/>
    <s v="Adjudica "/>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n v="0"/>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Camino a Mision Quilacahuin, Liceo Quilacahuin San Pablo, Los Lagos, San Pabl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n v="0"/>
    <m/>
    <m/>
    <m/>
    <s v="Adjudica "/>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Av. René Soriano 2615, Osorno, Los Lagos, Osorn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n v="0"/>
    <m/>
    <m/>
    <m/>
    <s v="Adjudica "/>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Bernardo Ohiggins 210, DE LOS LAGOS, FRESIA, Fresia"/>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s v="SI"/>
    <n v="7434"/>
    <n v="7434"/>
    <s v="SI"/>
    <n v="0"/>
    <n v="0"/>
    <s v="SI"/>
    <n v="0"/>
    <n v="0"/>
    <s v="SI"/>
    <n v="0"/>
    <m/>
    <m/>
    <m/>
    <s v="Adjudica "/>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7593380-1"/>
    <s v="Centro de Investigación para el Desarrollo y Capacitación Limitada"/>
    <n v="110"/>
    <n v="28"/>
    <n v="5075"/>
    <n v="0"/>
    <n v="0"/>
    <n v="8932000"/>
    <n v="1792000"/>
    <n v="0"/>
    <n v="0"/>
    <n v="0"/>
    <n v="10724000"/>
    <x v="0"/>
    <n v="0"/>
    <n v="3"/>
    <n v="7"/>
    <n v="0"/>
    <n v="0"/>
    <n v="0"/>
    <n v="0"/>
    <n v="0"/>
    <n v="0"/>
    <n v="0"/>
    <n v="7"/>
    <n v="7"/>
    <n v="7"/>
    <n v="7"/>
    <n v="7"/>
    <n v="7"/>
    <n v="6.6"/>
    <s v="SI"/>
    <s v="EMILY RODRIGUEZ"/>
    <s v="ERODRIGUEZ@institutoasiste.cl"/>
    <n v="225962361"/>
    <s v="PASAJE VIRGINIO ARIAS 1926, Renca"/>
    <s v="Capacitar al participante para asistir en tareas de mantenimiento eléctrico de baja tensión, aplicando procedimientos técnicos, normas de seguridad y uso adecuado de herramientas, bajo supervisión especializada."/>
    <s v="Este curso entrega conocimientos básicos para apoyar labores de mantenimiento preventivo y correctivo en instalaciones eléctricas de baja tensión. Incluye identificación de componentes, uso de instrumentos de medición, aplicación de protocolos de seguridad y asistencia en inspecciones, limpieza y reparación de equipos eléctricos."/>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SI"/>
    <n v="6.6"/>
    <s v="SI"/>
    <n v="7.0000000000000009"/>
    <s v="SI"/>
    <n v="7"/>
    <s v="SI"/>
    <n v="3"/>
    <s v="SI"/>
    <n v="5075"/>
    <n v="5075"/>
    <s v="SI"/>
    <n v="0"/>
    <n v="0"/>
    <s v="SI"/>
    <n v="33"/>
    <n v="43"/>
    <s v="NO"/>
    <n v="0"/>
    <m/>
    <m/>
    <m/>
    <s v="Adjudica "/>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7593380-1"/>
    <s v="Centro de Investigación para el Desarrollo y Capacitación Limitada"/>
    <n v="120"/>
    <n v="30"/>
    <n v="5075"/>
    <n v="0"/>
    <n v="0"/>
    <n v="9135000"/>
    <n v="1800000"/>
    <n v="0"/>
    <n v="0"/>
    <n v="0"/>
    <n v="10935000"/>
    <x v="0"/>
    <n v="0"/>
    <n v="3"/>
    <n v="7"/>
    <n v="0"/>
    <n v="0"/>
    <n v="0"/>
    <n v="0"/>
    <n v="0"/>
    <n v="0"/>
    <n v="0"/>
    <n v="7"/>
    <n v="7"/>
    <n v="7"/>
    <n v="7"/>
    <n v="7"/>
    <n v="7"/>
    <n v="6.6"/>
    <s v="SI"/>
    <s v="EMILY RODRIGUEZ"/>
    <s v="ERODRIGUEZ@institutoasiste.cl"/>
    <n v="225962361"/>
    <s v="PASAJE VIRGINIO ARIAS 1926, Renca"/>
    <s v="Formar técnicos capacitados en el diagnóstico, mantenimiento y reparación de sistemas electromecánicos de vehículos automotrices, integrando conocimientos de mecánica, electricidad y electrónica bajo estándares de seguridad, calidad y sustentabilidad."/>
    <s v="Este curso entrega competencias para intervenir sistemas de propulsión, eléctricos, electrónicos y de confort de vehículos livianos y pesados. Incluye diagnóstico computarizado, mantenimiento preventivo y correctivo, gestión de servicio técnico y aplicación de normativas vigentes en electromovilidad y mecánica automotriz"/>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s v="SI"/>
    <n v="7.0000000000000009"/>
    <s v="SI"/>
    <n v="7"/>
    <s v="SI"/>
    <n v="3"/>
    <s v="SI"/>
    <n v="5075"/>
    <n v="5075"/>
    <s v="SI"/>
    <n v="0"/>
    <n v="0"/>
    <s v="SI"/>
    <n v="33"/>
    <n v="33"/>
    <s v="SI"/>
    <n v="0"/>
    <s v="Adjudica dado que presenta menor procentaje de multas ponderadas "/>
    <m/>
    <m/>
    <s v="Adjudica "/>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7593380-1"/>
    <s v="Centro de Investigación para el Desarrollo y Capacitación Limitada"/>
    <n v="240"/>
    <n v="60"/>
    <n v="6373"/>
    <n v="0"/>
    <n v="50000"/>
    <n v="21413280"/>
    <n v="3360000"/>
    <n v="0"/>
    <n v="0"/>
    <n v="700000"/>
    <n v="25473280"/>
    <x v="0"/>
    <n v="0"/>
    <n v="3"/>
    <n v="7"/>
    <n v="0"/>
    <n v="0"/>
    <n v="0"/>
    <n v="0"/>
    <n v="0"/>
    <n v="0"/>
    <n v="0"/>
    <n v="7"/>
    <n v="7"/>
    <n v="7"/>
    <n v="7"/>
    <n v="7"/>
    <n v="7"/>
    <n v="6.6"/>
    <s v="NO"/>
    <s v="EMILY RODRIGUEZ"/>
    <s v="ERODRIGUEZ@institutoasiste.cl"/>
    <n v="225962361"/>
    <s v="PASAJE VIRGINIO ARIAS 1926,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33"/>
    <n v="67"/>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55298-4"/>
    <s v="Centro de Formación y Capacitación Limitada"/>
    <n v="80"/>
    <n v="20"/>
    <n v="6373"/>
    <n v="0"/>
    <n v="0"/>
    <n v="8157440"/>
    <n v="1280000"/>
    <n v="0"/>
    <n v="0"/>
    <n v="0"/>
    <n v="9437440"/>
    <x v="0"/>
    <n v="0"/>
    <n v="5"/>
    <n v="7"/>
    <n v="0"/>
    <n v="0"/>
    <n v="0"/>
    <n v="0"/>
    <n v="0"/>
    <n v="0"/>
    <n v="0"/>
    <n v="7"/>
    <n v="7"/>
    <n v="7"/>
    <n v="7"/>
    <n v="7"/>
    <n v="7"/>
    <n v="6.8"/>
    <s v="NO"/>
    <s v="José Beniscelli"/>
    <s v="jbeniscelli@cenfor.cl"/>
    <n v="986851817"/>
    <s v="Av. Miraflore 8414, Renca"/>
    <n v="0"/>
    <n v="0"/>
    <n v="0"/>
    <n v="0"/>
    <n v="0"/>
    <n v="0"/>
    <n v="0"/>
    <n v="0"/>
    <n v="0"/>
    <n v="0"/>
    <n v="0"/>
    <n v="0"/>
    <n v="0"/>
    <n v="0"/>
    <n v="0"/>
    <n v="0"/>
    <n v="0"/>
    <n v="0"/>
    <s v="SSH"/>
    <s v="SI"/>
    <s v="NO"/>
    <n v="0"/>
    <n v="0"/>
    <n v="0"/>
    <n v="0"/>
    <n v="0"/>
    <n v="0"/>
    <n v="0"/>
    <n v="0"/>
    <n v="0"/>
    <n v="0"/>
    <s v="SI"/>
    <n v="0"/>
    <s v="SI"/>
    <n v="0"/>
    <s v="SI"/>
    <n v="0"/>
    <n v="0.5"/>
    <n v="0.70000000000000007"/>
    <s v="SI"/>
    <n v="0"/>
    <n v="0"/>
    <n v="0"/>
    <n v="7.0000000000000009"/>
    <n v="7.0000000000000009"/>
    <n v="6373"/>
    <n v="6373"/>
    <n v="7"/>
    <s v="APROBADO"/>
    <s v="APROBADO"/>
    <n v="6.8"/>
    <s v="APROBADO"/>
    <s v="SI"/>
    <n v="7"/>
    <s v="NO"/>
    <s v="NO APLICA "/>
    <s v="NO"/>
    <s v="NO APLICA"/>
    <s v="NO APLICA"/>
    <s v="NO APLICA"/>
    <s v="NO APLICA"/>
    <s v=""/>
    <s v="NO APLICA"/>
    <s v="NO"/>
    <s v="NO APLICA"/>
    <s v="NO APLICA"/>
    <s v="NO"/>
    <n v="48"/>
    <n v="125"/>
    <s v="NO"/>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65062756-3"/>
    <s v="Fundaciòn Forpe Chile"/>
    <n v="160"/>
    <n v="32"/>
    <n v="6373"/>
    <n v="0"/>
    <n v="0"/>
    <n v="15295200"/>
    <n v="1920000"/>
    <n v="0"/>
    <n v="0"/>
    <n v="0"/>
    <n v="17215200"/>
    <x v="0"/>
    <n v="0"/>
    <n v="7"/>
    <n v="7"/>
    <n v="7"/>
    <n v="7"/>
    <n v="7"/>
    <n v="7"/>
    <n v="7"/>
    <n v="7"/>
    <n v="7"/>
    <n v="7"/>
    <n v="7"/>
    <n v="7"/>
    <n v="7"/>
    <n v="7"/>
    <n v="7"/>
    <n v="7"/>
    <s v="SI"/>
    <s v="ESTEBAN VEGA TORO"/>
    <s v="contacto@forpe.cl"/>
    <n v="228347804"/>
    <s v="Padre Miguel de Olivares 1324, Santiago"/>
    <s v="Capacitar al participante en la aplicación de procedimientos de control de calidad en la industria alimentaria, asegurando la inocuidad, trazabilidad y cumplimiento de estándares técnicos y normativos en cada etapa del proceso productivo."/>
    <s v="Este curso entrega herramientas para implementar controles de calidad en alimentos, desde la recepción de materias primas hasta el producto final. Incluye análisis microbiológicos, físicos y sensoriales, gestión de riesgos, buenas prácticas de manufactura y trazabilidad en procesos alimentarios."/>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s v="SI"/>
    <n v="7.0000000000000009"/>
    <s v="SI"/>
    <n v="7"/>
    <s v="SI"/>
    <n v="7"/>
    <s v="SI"/>
    <n v="6373"/>
    <n v="6373"/>
    <s v="SI"/>
    <n v="0"/>
    <n v="0"/>
    <s v="SI"/>
    <n v="125"/>
    <n v="125"/>
    <s v="SI"/>
    <n v="0"/>
    <s v="Adjudica dado que presenta menor procentaje de multas ponderaadas "/>
    <m/>
    <m/>
    <s v="Adjudica "/>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65062756-3"/>
    <s v="Fundaciòn Forpe Chile"/>
    <n v="80"/>
    <n v="20"/>
    <n v="6373"/>
    <n v="0"/>
    <n v="0"/>
    <n v="8157440"/>
    <n v="1280000"/>
    <n v="0"/>
    <n v="0"/>
    <n v="0"/>
    <n v="9437440"/>
    <x v="0"/>
    <n v="0"/>
    <n v="7"/>
    <n v="7"/>
    <n v="0"/>
    <n v="0"/>
    <n v="0"/>
    <n v="0"/>
    <n v="0"/>
    <n v="0"/>
    <n v="0"/>
    <n v="7"/>
    <n v="7"/>
    <n v="7"/>
    <n v="7"/>
    <n v="7"/>
    <n v="7"/>
    <n v="7"/>
    <s v="SI"/>
    <s v="ESTEBAN VEGA TORO"/>
    <s v="contacto@forpe.cl"/>
    <n v="228347804"/>
    <s v="Vicuña Makena 1020, Renca"/>
    <s v="Capacitar al participante en la gestión eficiente de procesos logísticos en bodegas, centros de distribución y centros de transferencia, aplicando técnicas de almacenamiento, manejo de inventarios y control operativo conforme a estándares de calidad y seguridad."/>
    <s v="Este curso entrega conocimientos prácticos sobre recepción, almacenamiento, preparación de pedidos y despacho de mercancías. Aborda el diseño de layout, flujo de materiales, optimización de espacios, rotación de inventarios y buenas prácticas logísticas para mejorar la eficiencia operativa en distintos tipos de instalacione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s v="SI"/>
    <n v="7.0000000000000009"/>
    <s v="SI"/>
    <n v="7"/>
    <s v="SI"/>
    <n v="7"/>
    <s v="SI"/>
    <n v="6373"/>
    <n v="6373"/>
    <s v="SI"/>
    <n v="0"/>
    <n v="0"/>
    <s v="SI"/>
    <n v="125"/>
    <n v="125"/>
    <s v="SI"/>
    <n v="0"/>
    <m/>
    <m/>
    <m/>
    <s v="Adjudica "/>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62756-3"/>
    <s v="Fundaciòn Forpe Chile"/>
    <n v="272"/>
    <n v="68"/>
    <n v="5075"/>
    <n v="250000"/>
    <n v="250000"/>
    <n v="19325600"/>
    <n v="3808000"/>
    <n v="3500000"/>
    <n v="0"/>
    <n v="3500000"/>
    <n v="30133600"/>
    <x v="0"/>
    <n v="0"/>
    <n v="7"/>
    <n v="7"/>
    <n v="0"/>
    <n v="0"/>
    <n v="0"/>
    <n v="0"/>
    <n v="0"/>
    <n v="0"/>
    <n v="0"/>
    <n v="7"/>
    <n v="7"/>
    <n v="7"/>
    <n v="7"/>
    <n v="7"/>
    <n v="6.9"/>
    <n v="7"/>
    <s v="SI"/>
    <s v="ESTEBAN VEGA TORO"/>
    <s v="contacto@forpe.cl"/>
    <n v="228347804"/>
    <s v="Vicuña Makena 1020, Renca"/>
    <s v="Capacitar al participante en la aplicación de técnicas de soldadura por Oxigás, Arco Voltaico, TIG y MIG sobre piezas metálicas, cumpliendo con normas de seguridad, calidad y procedimientos operativos del sector metalmecánico."/>
    <s v="Este curso entrega conocimientos prácticos para ejecutar soldaduras en distintos procesos y posiciones, utilizando equipos adecuados y aplicando normas de higiene, seguridad y calidad. Incluye preparación de superficies, configuración de parámetros, ejecución de cordones y registro de procedimientos técnicos."/>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s v="SI"/>
    <n v="7.0000000000000009"/>
    <s v="SI"/>
    <n v="7"/>
    <s v="SI"/>
    <n v="7"/>
    <s v="SI"/>
    <n v="5075"/>
    <n v="5075"/>
    <s v="SI"/>
    <n v="0"/>
    <n v="0"/>
    <s v="SI"/>
    <n v="125"/>
    <n v="125"/>
    <s v="SI"/>
    <n v="0"/>
    <s v="Adjudica dado que presenta menor procentaje de multas ponderaadas "/>
    <m/>
    <m/>
    <s v="Adjudica "/>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928190-8"/>
    <s v="Véliz, Núñez y Cía. Ltda."/>
    <n v="120"/>
    <n v="30"/>
    <n v="5075"/>
    <n v="0"/>
    <n v="0"/>
    <n v="9135000"/>
    <n v="1800000"/>
    <n v="0"/>
    <n v="0"/>
    <n v="0"/>
    <n v="1093500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s v="SI"/>
    <n v="7.0000000000000009"/>
    <s v="SI"/>
    <n v="7"/>
    <s v="SI"/>
    <n v="3"/>
    <s v="SI"/>
    <n v="5075"/>
    <n v="5075"/>
    <s v="SI"/>
    <n v="0.51724137931034486"/>
    <n v="0"/>
    <s v="NO"/>
    <n v="29"/>
    <n v="33"/>
    <s v="NO"/>
    <n v="0"/>
    <s v="No adjudica dado que presenta procentaje de multas ponderadas "/>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928190-8"/>
    <s v="Véliz, Núñez y Cía. Ltda."/>
    <n v="80"/>
    <n v="20"/>
    <n v="6373"/>
    <n v="0"/>
    <n v="0"/>
    <n v="8157440"/>
    <n v="1280000"/>
    <n v="0"/>
    <n v="0"/>
    <n v="0"/>
    <n v="943744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s v="NO APLICA"/>
    <s v=""/>
    <s v="NO APLICA"/>
    <s v="NO"/>
    <s v="NO APLICA"/>
    <s v="NO APLICA"/>
    <s v="NO"/>
    <n v="29"/>
    <n v="125"/>
    <s v="NO"/>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928190-8"/>
    <s v="Véliz, Núñez y Cía. Ltda."/>
    <n v="160"/>
    <n v="32"/>
    <n v="6373"/>
    <n v="0"/>
    <n v="0"/>
    <n v="15295200"/>
    <n v="1920000"/>
    <n v="0"/>
    <n v="0"/>
    <n v="0"/>
    <n v="17215200"/>
    <x v="0"/>
    <n v="0"/>
    <n v="3"/>
    <n v="7"/>
    <n v="7"/>
    <n v="7"/>
    <n v="7"/>
    <n v="7"/>
    <n v="7"/>
    <n v="7"/>
    <n v="7"/>
    <n v="7"/>
    <n v="7"/>
    <n v="7"/>
    <n v="7"/>
    <n v="7"/>
    <n v="7"/>
    <n v="6.6"/>
    <s v="NO"/>
    <s v="Marianela Núñez Véliz"/>
    <s v="surorienteemprende@gmail.com"/>
    <n v="228507710"/>
    <s v="Pedro Lagos 1414, Santiago"/>
    <n v="0"/>
    <n v="0"/>
    <n v="0"/>
    <n v="0"/>
    <n v="0"/>
    <n v="0"/>
    <n v="0"/>
    <n v="0"/>
    <n v="0"/>
    <n v="0"/>
    <n v="0"/>
    <n v="0"/>
    <n v="0"/>
    <n v="0"/>
    <n v="0"/>
    <n v="0"/>
    <n v="0"/>
    <n v="0"/>
    <s v="SSH"/>
    <s v="NO"/>
    <s v="SI"/>
    <n v="0"/>
    <n v="0"/>
    <n v="0"/>
    <n v="0"/>
    <n v="0"/>
    <n v="0"/>
    <n v="0"/>
    <n v="0"/>
    <n v="0"/>
    <n v="0"/>
    <s v="SI"/>
    <n v="0"/>
    <s v="SI"/>
    <n v="0"/>
    <s v="SI"/>
    <n v="0"/>
    <n v="0.30000000000000004"/>
    <n v="0.70000000000000007"/>
    <s v="NO"/>
    <n v="7"/>
    <n v="7"/>
    <n v="7"/>
    <n v="7.0000000000000009"/>
    <n v="7.0000000000000009"/>
    <n v="6373"/>
    <n v="6373"/>
    <n v="7"/>
    <s v="APROBADO"/>
    <s v="APROBADO"/>
    <n v="6.6"/>
    <s v="APROBADO"/>
    <s v="NO"/>
    <n v="7"/>
    <s v="NO"/>
    <s v="NO APLICA "/>
    <s v="NO"/>
    <s v="NO APLICA"/>
    <s v="NO APLICA"/>
    <s v="NO APLICA"/>
    <s v="NO APLICA"/>
    <s v=""/>
    <s v="NO APLICA"/>
    <s v="NO"/>
    <s v="NO APLICA"/>
    <s v="NO APLICA"/>
    <s v="NO"/>
    <n v="29"/>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928190-8"/>
    <s v="Véliz, Núñez y Cía. Ltda."/>
    <n v="272"/>
    <n v="68"/>
    <n v="5075"/>
    <n v="250000"/>
    <n v="250000"/>
    <n v="19325600"/>
    <n v="3808000"/>
    <n v="3500000"/>
    <n v="0"/>
    <n v="3500000"/>
    <n v="30133600"/>
    <x v="1"/>
    <s v="NUMERAL 6.1.2. ÍTEM 6 - ERROR EN ESTRUCTURA DE COSTOS (ÍTEM F, H, J, K, M Y N)"/>
    <n v="0"/>
    <n v="0"/>
    <n v="0"/>
    <n v="0"/>
    <n v="0"/>
    <n v="0"/>
    <n v="0"/>
    <n v="0"/>
    <n v="0"/>
    <n v="0"/>
    <n v="0"/>
    <n v="0"/>
    <n v="0"/>
    <n v="0"/>
    <n v="0"/>
    <n v="0"/>
    <s v="NO"/>
    <s v="Marianela Núñez Véliz"/>
    <s v="surorienteemprende@gmail.com"/>
    <n v="228507710"/>
    <s v="Las Margaritas 3875,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s v="NO APLICA"/>
    <s v="NO APLICA "/>
    <s v="NO"/>
    <s v="NO APLICA"/>
    <s v="NO APLICA"/>
    <s v="NO APLICA"/>
    <s v="NO APLICA"/>
    <s v=""/>
    <s v="NO APLICA"/>
    <s v="NO"/>
    <s v="NO APLICA"/>
    <s v="NO APLICA"/>
    <s v="NO"/>
    <n v="29"/>
    <n v="125"/>
    <s v="NO"/>
    <n v="0"/>
    <m/>
    <m/>
    <m/>
    <m/>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ilmaiquén S/N, San Pabl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atricio Lynch 1866, Osorn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Circunvalación 401, Fresia"/>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85"/>
    <n v="0"/>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311060-3"/>
    <s v="SOCIEDAD OTC CAPACITACIÓN LTDA"/>
    <n v="272"/>
    <n v="68"/>
    <n v="5000"/>
    <n v="250000"/>
    <n v="250000"/>
    <n v="19040000"/>
    <n v="3808000"/>
    <n v="3500000"/>
    <n v="0"/>
    <n v="3500000"/>
    <n v="29848000"/>
    <x v="0"/>
    <n v="0"/>
    <n v="3"/>
    <n v="7"/>
    <n v="0"/>
    <n v="0"/>
    <n v="0"/>
    <n v="0"/>
    <n v="0"/>
    <n v="0"/>
    <n v="0"/>
    <n v="7"/>
    <n v="7"/>
    <n v="7"/>
    <n v="7"/>
    <n v="7"/>
    <n v="7"/>
    <n v="6.6"/>
    <s v="NO"/>
    <s v="Jorge Aranguiz"/>
    <s v="jaranguiz@otc.cl"/>
    <n v="988394610"/>
    <s v="PASAJE LANCO 4862, Renca"/>
    <n v="0"/>
    <n v="0"/>
    <n v="0"/>
    <n v="0"/>
    <n v="0"/>
    <n v="0"/>
    <n v="0"/>
    <n v="0"/>
    <n v="0"/>
    <n v="0"/>
    <n v="0"/>
    <n v="0"/>
    <n v="0"/>
    <n v="0"/>
    <n v="0"/>
    <n v="0"/>
    <n v="0"/>
    <n v="0"/>
    <s v="SHMAN"/>
    <s v="SI"/>
    <s v="NO"/>
    <n v="0"/>
    <n v="1"/>
    <n v="0"/>
    <n v="0"/>
    <n v="0"/>
    <n v="0"/>
    <n v="0"/>
    <n v="0"/>
    <n v="0"/>
    <n v="0"/>
    <s v="NO"/>
    <n v="1"/>
    <s v="SI"/>
    <s v="NO APLICA"/>
    <s v="SI"/>
    <s v="NO APLICA"/>
    <s v="NO APLICA"/>
    <s v="NO APLICA"/>
    <s v="SI"/>
    <n v="0"/>
    <n v="0"/>
    <s v="NO APLICA"/>
    <s v="NO APLICA"/>
    <s v="NO APLICA"/>
    <n v="5000"/>
    <n v="5000"/>
    <s v="NO APLICA"/>
    <s v="NO APLICA"/>
    <s v="NO APLICA"/>
    <s v="NO APLICA"/>
    <s v="NO APLICA"/>
    <s v="NO"/>
    <s v="NO APLICA"/>
    <s v="NO APLICA"/>
    <s v="NO APLICA "/>
    <s v="NO"/>
    <s v="NO APLICA"/>
    <s v="NO APLICA"/>
    <s v="NO APLICA"/>
    <s v="NO APLICA"/>
    <s v=""/>
    <s v="NO APLICA"/>
    <s v="NO"/>
    <s v="NO APLICA"/>
    <s v="NO APLICA"/>
    <s v="NO"/>
    <n v="29"/>
    <n v="125"/>
    <s v="NO"/>
    <n v="0"/>
    <s v="Error valor hora alumno  "/>
    <m/>
    <m/>
    <m/>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232950-6"/>
    <s v="INSTITUTO DE CALIDAD Y MEDIOAMBIENTE DE CHILE IGNACIO JAVIER CARO AGUILERA E.I.R.L"/>
    <n v="120"/>
    <n v="30"/>
    <n v="5600"/>
    <n v="0"/>
    <n v="0"/>
    <n v="10080000"/>
    <n v="1800000"/>
    <n v="0"/>
    <n v="0"/>
    <n v="0"/>
    <n v="11880000"/>
    <x v="0"/>
    <n v="0"/>
    <n v="1"/>
    <n v="7"/>
    <n v="0"/>
    <n v="0"/>
    <n v="0"/>
    <n v="0"/>
    <n v="0"/>
    <n v="0"/>
    <n v="0"/>
    <n v="7"/>
    <n v="7"/>
    <n v="7"/>
    <n v="7"/>
    <n v="7"/>
    <n v="6.3"/>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600"/>
    <n v="5075"/>
    <n v="6.3"/>
    <s v="APROBADO"/>
    <s v="APROBADO"/>
    <n v="6.4"/>
    <s v="APROBADO"/>
    <s v="NO"/>
    <n v="6.6"/>
    <s v="NO"/>
    <s v="NO APLICA "/>
    <s v="NO"/>
    <s v="NO APLICA"/>
    <s v="NO APLICA"/>
    <s v="NO APLICA"/>
    <s v="NO APLICA"/>
    <s v=""/>
    <s v="NO APLICA"/>
    <s v="NO"/>
    <s v="NO APLICA"/>
    <s v="NO APLICA"/>
    <s v="NO"/>
    <n v="17"/>
    <n v="33"/>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232950-6"/>
    <s v="INSTITUTO DE CALIDAD Y MEDIOAMBIENTE DE CHILE IGNACIO JAVIER CARO AGUILERA E.I.R.L"/>
    <n v="80"/>
    <n v="20"/>
    <n v="6700"/>
    <n v="0"/>
    <n v="0"/>
    <n v="8576000"/>
    <n v="1280000"/>
    <n v="0"/>
    <n v="0"/>
    <n v="0"/>
    <n v="9856000"/>
    <x v="0"/>
    <n v="0"/>
    <n v="1"/>
    <n v="7"/>
    <n v="0"/>
    <n v="0"/>
    <n v="0"/>
    <n v="0"/>
    <n v="0"/>
    <n v="0"/>
    <n v="0"/>
    <n v="7"/>
    <n v="7"/>
    <n v="7"/>
    <n v="7"/>
    <n v="7"/>
    <n v="6.7"/>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700"/>
    <n v="6373"/>
    <n v="6.7"/>
    <s v="APROBADO"/>
    <s v="APROBADO"/>
    <n v="6.4"/>
    <s v="APROBADO"/>
    <s v="NO"/>
    <n v="7"/>
    <s v="NO"/>
    <s v="NO APLICA "/>
    <s v="NO"/>
    <s v="NO APLICA"/>
    <s v="NO APLICA"/>
    <s v="NO APLICA"/>
    <s v="NO APLICA"/>
    <s v=""/>
    <s v="NO APLICA"/>
    <s v="NO"/>
    <s v="NO APLICA"/>
    <s v="NO APLICA"/>
    <s v="NO"/>
    <n v="17"/>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87730100-1"/>
    <s v="CENTRO TECNICO INDURA LIMITADA"/>
    <n v="272"/>
    <n v="68"/>
    <n v="6300"/>
    <n v="250000"/>
    <n v="250000"/>
    <n v="23990400"/>
    <n v="3808000"/>
    <n v="3500000"/>
    <n v="0"/>
    <n v="3500000"/>
    <n v="34798400"/>
    <x v="1"/>
    <s v="NUMERAL 6.1.2. ÍTEM 7 - OTEC ADJUNTA ANEXO DE PROPUESTA, SIN EMBARGO, NO ADJUNTA EL ANEXO 3 CORRESPONDIENTE AL CURSO. _x000a_NUMERAL 6.1.2. ÍTEM 11: NO PRESENTA FOTOS QUE ACREDITEN LAS CARACTERISTICAS DESCRITAS EN LA PROPUESTA, NO PRESENTA MODELO CARTA COMPROMISO DE INFRAESTRUCTURA"/>
    <n v="0"/>
    <n v="0"/>
    <n v="0"/>
    <n v="0"/>
    <n v="0"/>
    <n v="0"/>
    <n v="0"/>
    <n v="0"/>
    <n v="0"/>
    <n v="0"/>
    <n v="0"/>
    <n v="0"/>
    <n v="0"/>
    <n v="0"/>
    <n v="0"/>
    <n v="0"/>
    <s v="NO"/>
    <s v="Viviana Díaz Salazar"/>
    <s v="DIAZSAVC@airproducts.com"/>
    <n v="225303178"/>
    <s v="Por confirmar,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6300"/>
    <n v="5000"/>
    <s v="NO APLICA"/>
    <s v="NO APLICA"/>
    <s v="NO APLICA"/>
    <s v="NO APLICA"/>
    <s v="NO APLICA"/>
    <s v="NO"/>
    <s v="NO APLICA"/>
    <s v="NO APLICA"/>
    <s v="NO APLICA "/>
    <s v="NO"/>
    <s v="NO APLICA"/>
    <s v="NO APLICA"/>
    <s v="NO APLICA"/>
    <s v="NO APLICA"/>
    <s v=""/>
    <s v="NO APLICA"/>
    <s v="NO"/>
    <s v="NO APLICA"/>
    <s v="NO APLICA"/>
    <s v="NO"/>
    <n v="8"/>
    <n v="125"/>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San Francisco 126,,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PARRAL 1398,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COLON, San Pabl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272762-5"/>
    <s v="Lilian Rosario Rivas Avila Capacitación en el Trabajo EIRL"/>
    <n v="160"/>
    <n v="32"/>
    <n v="6373"/>
    <n v="0"/>
    <n v="0"/>
    <n v="15295200"/>
    <n v="1920000"/>
    <n v="0"/>
    <n v="0"/>
    <n v="0"/>
    <n v="17215200"/>
    <x v="0"/>
    <n v="0"/>
    <n v="1"/>
    <n v="7"/>
    <n v="7"/>
    <n v="7"/>
    <n v="7"/>
    <n v="7"/>
    <n v="7"/>
    <n v="7"/>
    <n v="7"/>
    <n v="7"/>
    <n v="7"/>
    <n v="7"/>
    <n v="7"/>
    <n v="7"/>
    <n v="7"/>
    <n v="6.4"/>
    <s v="NO"/>
    <s v="Lilian Rosario Rivas Avila"/>
    <s v="vanguardiaotec@gmail.com"/>
    <n v="985200533"/>
    <s v="avenida padre alonso de Ovalle 1638, Santiago"/>
    <n v="0"/>
    <n v="0"/>
    <n v="0"/>
    <n v="0"/>
    <n v="0"/>
    <n v="0"/>
    <n v="0"/>
    <n v="0"/>
    <n v="0"/>
    <n v="0"/>
    <n v="0"/>
    <n v="0"/>
    <n v="0"/>
    <n v="0"/>
    <n v="0"/>
    <n v="0"/>
    <n v="0"/>
    <n v="0"/>
    <s v="SSH"/>
    <s v="NO"/>
    <s v="SI"/>
    <n v="0"/>
    <n v="0"/>
    <n v="0"/>
    <n v="0"/>
    <n v="0"/>
    <n v="0"/>
    <n v="0"/>
    <n v="0"/>
    <n v="0"/>
    <n v="0"/>
    <s v="SI"/>
    <n v="0"/>
    <s v="SI"/>
    <n v="0"/>
    <s v="SI"/>
    <n v="0"/>
    <n v="0.1"/>
    <n v="0.70000000000000007"/>
    <s v="NO"/>
    <n v="7"/>
    <n v="7"/>
    <n v="7"/>
    <n v="7.0000000000000009"/>
    <n v="7.0000000000000009"/>
    <n v="6373"/>
    <n v="6373"/>
    <n v="7"/>
    <s v="APROBADO"/>
    <s v="APROBADO"/>
    <n v="6.4"/>
    <s v="APROBADO"/>
    <s v="NO"/>
    <n v="7"/>
    <s v="NO"/>
    <s v="NO APLICA "/>
    <s v="NO"/>
    <s v="NO APLICA"/>
    <s v="NO APLICA"/>
    <s v="NO APLICA"/>
    <s v="NO APLICA"/>
    <s v=""/>
    <s v="NO APLICA"/>
    <s v="NO"/>
    <s v="NO APLICA"/>
    <s v="NO APLICA"/>
    <s v="NO"/>
    <n v="11"/>
    <n v="125"/>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l Jardín S/N, Fresia,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Amengual 585, Osorno,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0"/>
    <n v="0"/>
    <s v="PUYEHUE"/>
    <s v="ESTUDIANTES DE CUARTO AÑO DE ENSEÑANZA MEDIA O DE LICEOS TÉCNICOS PROFESIONALES."/>
    <s v="PRESENCIAL"/>
    <s v="DEPENDIENTE"/>
    <s v="04. MART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ntre Lagos S/N, Puyehue, Puyehue"/>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s v="NO APLICA"/>
    <s v=""/>
    <s v="NO APLICA"/>
    <s v="NO"/>
    <s v="NO APLICA"/>
    <s v="NO APLICA"/>
    <s v="NO"/>
    <n v="0"/>
    <n v="0"/>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773018-7"/>
    <s v="Servicio de capacitación y formación de personas TEKNÉ SpA"/>
    <n v="272"/>
    <n v="68"/>
    <n v="5075"/>
    <n v="250000"/>
    <n v="250000"/>
    <n v="19325600"/>
    <n v="3808000"/>
    <n v="3500000"/>
    <n v="0"/>
    <n v="3500000"/>
    <n v="30133600"/>
    <x v="1"/>
    <s v="NUMERAL 6.1.2. ÍTEM 1 - NO ADJUNTA ANEXO DE PROPUESTA PARA EL CURSO 14389."/>
    <n v="0"/>
    <n v="0"/>
    <n v="0"/>
    <n v="0"/>
    <n v="0"/>
    <n v="0"/>
    <n v="0"/>
    <n v="0"/>
    <n v="0"/>
    <n v="0"/>
    <n v="0"/>
    <n v="0"/>
    <n v="0"/>
    <n v="0"/>
    <n v="0"/>
    <n v="0"/>
    <s v="NO"/>
    <s v="Elizabeth Sepúlveda Moya"/>
    <s v="otec.tekne@gmail.com"/>
    <n v="995011989"/>
    <s v="LA HACIENDA 1549,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s v="NO APLICA"/>
    <s v="NO APLICA "/>
    <s v="NO"/>
    <s v="NO APLICA"/>
    <s v="NO APLICA"/>
    <s v="NO APLICA"/>
    <s v="NO APLICA"/>
    <s v=""/>
    <s v="NO APLICA"/>
    <s v="NO"/>
    <s v="NO APLICA"/>
    <s v="NO APLICA"/>
    <s v="NO"/>
    <n v="10"/>
    <n v="125"/>
    <s v="NO"/>
    <n v="0"/>
    <m/>
    <m/>
    <m/>
    <m/>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014819-9"/>
    <s v="ID Capacitación Ltda."/>
    <n v="110"/>
    <n v="28"/>
    <n v="5075"/>
    <n v="0"/>
    <n v="0"/>
    <n v="8932000"/>
    <n v="1792000"/>
    <n v="0"/>
    <n v="0"/>
    <n v="0"/>
    <n v="10724000"/>
    <x v="1"/>
    <s v="NUMERAL 6.1.2. ÍTEM 11: NO PRESENTA FOTOS QUE ACREDITEN LAS CARACTERISTICAS DESCRITAS EN LA PROPUESTA"/>
    <n v="0"/>
    <n v="0"/>
    <n v="0"/>
    <n v="0"/>
    <n v="0"/>
    <n v="0"/>
    <n v="0"/>
    <n v="0"/>
    <n v="0"/>
    <n v="0"/>
    <n v="0"/>
    <n v="0"/>
    <n v="0"/>
    <n v="0"/>
    <n v="0"/>
    <n v="0"/>
    <s v="NO"/>
    <s v="Luis Alejandro Pizarro Mora"/>
    <s v="alejandro@idconsulting.cl"/>
    <n v="93454013"/>
    <s v="La Marquesita 3962,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5075"/>
    <n v="5075"/>
    <s v="NO APLICA"/>
    <s v="NO APLICA"/>
    <s v="NO APLICA"/>
    <s v="NO APLICA"/>
    <s v="NO APLICA"/>
    <s v="NO"/>
    <s v="NO APLICA"/>
    <s v="NO APLICA"/>
    <s v="NO APLICA "/>
    <s v="NO"/>
    <s v="NO APLICA"/>
    <s v="NO APLICA"/>
    <s v="NO APLICA"/>
    <s v="NO APLICA"/>
    <s v=""/>
    <s v="NO APLICA"/>
    <s v="NO"/>
    <s v="NO APLICA"/>
    <s v="NO APLICA"/>
    <s v="NO"/>
    <n v="0"/>
    <n v="0"/>
    <s v="SI"/>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14819-9"/>
    <s v="ID Capacitación Ltda."/>
    <n v="80"/>
    <n v="20"/>
    <n v="6373"/>
    <n v="0"/>
    <n v="0"/>
    <n v="8157440"/>
    <n v="1280000"/>
    <n v="0"/>
    <n v="0"/>
    <n v="0"/>
    <n v="9437440"/>
    <x v="1"/>
    <s v="NUMERAL 6.1.2. ÍTEM 11: NO PRESENTA FOTOS QUE ACREDITEN LAS CARACTERISTICAS DESCRITAS EN LA PROPUESTA"/>
    <n v="0"/>
    <n v="0"/>
    <n v="0"/>
    <n v="0"/>
    <n v="0"/>
    <n v="0"/>
    <n v="0"/>
    <n v="0"/>
    <n v="0"/>
    <n v="0"/>
    <n v="0"/>
    <n v="0"/>
    <n v="0"/>
    <n v="0"/>
    <n v="0"/>
    <n v="0"/>
    <s v="NO"/>
    <s v="Luis Alejandro Pizarro Mora"/>
    <s v="alejandro@idconsulting.cl"/>
    <n v="93454013"/>
    <s v="Av. Domingo Sta. María 2704,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6373"/>
    <n v="6373"/>
    <s v="NO APLICA"/>
    <s v="NO APLICA"/>
    <s v="NO APLICA"/>
    <s v="NO APLICA"/>
    <s v="NO APLICA"/>
    <s v="NO"/>
    <s v="NO APLICA"/>
    <s v="NO APLICA"/>
    <s v="NO APLICA "/>
    <s v="NO"/>
    <s v="NO APLICA"/>
    <s v="NO APLICA"/>
    <s v="NO APLICA"/>
    <s v="NO APLICA"/>
    <s v=""/>
    <s v="NO APLICA"/>
    <s v="NO"/>
    <s v="NO APLICA"/>
    <s v="NO APLICA"/>
    <s v="NO"/>
    <n v="0"/>
    <n v="0"/>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57122-3"/>
    <s v="asociación de capacitación juvenil boreal"/>
    <n v="272"/>
    <n v="68"/>
    <n v="5075"/>
    <n v="250000"/>
    <n v="250000"/>
    <n v="19325600"/>
    <n v="3808000"/>
    <n v="3500000"/>
    <n v="0"/>
    <n v="3500000"/>
    <n v="30133600"/>
    <x v="0"/>
    <n v="0"/>
    <n v="5"/>
    <n v="7"/>
    <n v="0"/>
    <n v="0"/>
    <n v="0"/>
    <n v="0"/>
    <n v="0"/>
    <n v="0"/>
    <n v="0"/>
    <n v="6"/>
    <n v="6"/>
    <n v="6"/>
    <n v="6"/>
    <n v="6"/>
    <n v="6.9"/>
    <n v="6"/>
    <s v="NO"/>
    <s v="ALEJANDRA GALLARDO"/>
    <s v="borealicitaciones@gmail.com"/>
    <n v="962274066"/>
    <s v="La Marquesita 3962, Renca"/>
    <n v="0"/>
    <n v="0"/>
    <n v="0"/>
    <n v="0"/>
    <n v="0"/>
    <n v="0"/>
    <n v="0"/>
    <n v="0"/>
    <n v="0"/>
    <n v="0"/>
    <n v="0"/>
    <n v="0"/>
    <n v="0"/>
    <n v="0"/>
    <n v="0"/>
    <n v="0"/>
    <n v="0"/>
    <n v="0"/>
    <s v="SHMAN"/>
    <s v="SI"/>
    <s v="NO"/>
    <n v="0"/>
    <n v="0"/>
    <n v="0"/>
    <n v="0"/>
    <n v="0"/>
    <n v="0"/>
    <n v="0"/>
    <n v="0"/>
    <n v="0"/>
    <n v="0"/>
    <s v="SI"/>
    <n v="0"/>
    <s v="SI"/>
    <n v="0"/>
    <s v="SI"/>
    <n v="0"/>
    <n v="0.5"/>
    <n v="0.70000000000000007"/>
    <s v="SI"/>
    <n v="0"/>
    <n v="0"/>
    <n v="0"/>
    <n v="6"/>
    <n v="6"/>
    <n v="5075"/>
    <n v="5000"/>
    <n v="6.9"/>
    <s v="APROBADO"/>
    <s v="APROBADO"/>
    <n v="6"/>
    <s v="APROBADO"/>
    <n v="0"/>
    <n v="7"/>
    <s v="NO"/>
    <s v="NO APLICA "/>
    <s v="NO"/>
    <s v="NO APLICA"/>
    <s v="NO APLICA"/>
    <s v="NO APLICA"/>
    <s v="NO APLICA"/>
    <s v=""/>
    <s v="NO APLICA"/>
    <s v="NO"/>
    <s v="NO APLICA"/>
    <s v="NO APLICA"/>
    <s v="NO"/>
    <n v="62"/>
    <n v="125"/>
    <s v="NO"/>
    <n v="0"/>
    <m/>
    <m/>
    <m/>
    <m/>
    <m/>
  </r>
  <r>
    <x v="14"/>
    <m/>
    <m/>
    <m/>
    <m/>
    <m/>
    <m/>
    <m/>
    <m/>
    <m/>
    <m/>
    <m/>
    <m/>
    <m/>
    <m/>
    <m/>
    <m/>
    <m/>
    <m/>
    <m/>
    <m/>
    <m/>
    <m/>
    <m/>
    <m/>
    <m/>
    <m/>
    <m/>
    <m/>
    <m/>
    <m/>
    <m/>
    <m/>
    <m/>
    <m/>
    <m/>
    <m/>
    <m/>
    <m/>
    <m/>
    <m/>
    <m/>
    <m/>
    <m/>
    <m/>
    <m/>
    <m/>
    <x v="2"/>
    <m/>
    <m/>
    <m/>
    <m/>
    <m/>
    <m/>
    <m/>
    <m/>
    <m/>
    <m/>
    <m/>
    <m/>
    <m/>
    <m/>
    <m/>
    <m/>
    <m/>
    <m/>
    <m/>
    <m/>
    <m/>
    <m/>
    <m/>
    <m/>
    <m/>
    <m/>
    <m/>
    <m/>
    <m/>
    <m/>
    <m/>
    <m/>
    <m/>
    <m/>
    <m/>
    <m/>
    <m/>
    <m/>
    <m/>
    <m/>
    <m/>
    <m/>
    <m/>
    <m/>
    <m/>
    <m/>
    <m/>
    <m/>
    <m/>
    <m/>
    <m/>
    <m/>
    <m/>
    <m/>
    <m/>
    <m/>
    <m/>
    <m/>
    <m/>
    <m/>
    <m/>
    <m/>
    <m/>
    <m/>
    <m/>
    <m/>
    <m/>
    <m/>
    <m/>
    <m/>
    <m/>
    <m/>
    <m/>
    <m/>
    <m/>
    <m/>
    <m/>
    <m/>
    <m/>
    <m/>
    <m/>
    <m/>
    <m/>
    <m/>
    <m/>
    <m/>
    <m/>
    <m/>
    <m/>
    <m/>
    <m/>
    <m/>
    <m/>
    <m/>
    <m/>
    <m/>
    <m/>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102946-0"/>
    <s v="CAPACITACIONES INNOVA PYMES LTDA"/>
    <n v="110"/>
    <n v="28"/>
    <n v="5075"/>
    <n v="0"/>
    <n v="0"/>
    <n v="8932000"/>
    <n v="1792000"/>
    <n v="0"/>
    <n v="0"/>
    <n v="0"/>
    <n v="1072400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075"/>
    <n v="5075"/>
    <n v="7"/>
    <s v="APROBADO"/>
    <s v="APROBADO"/>
    <n v="6.4"/>
    <s v="APROBADO"/>
    <s v="NO"/>
    <n v="6.6"/>
    <s v="NO"/>
    <s v="NO APLICA "/>
    <s v="NO"/>
    <s v="NO APLICA"/>
    <s v="NO APLICA"/>
    <s v="NO APLICA"/>
    <x v="0"/>
    <s v=""/>
    <s v="NO APLICA"/>
    <s v="NO"/>
    <s v="NO APLICA"/>
    <s v="NO APLICA"/>
    <s v="NO"/>
    <n v="2"/>
    <n v="43"/>
    <s v="NO"/>
    <n v="0"/>
    <m/>
    <m/>
    <m/>
    <m/>
    <m/>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102946-0"/>
    <s v="CAPACITACIONES INNOVA PYMES LTDA"/>
    <n v="120"/>
    <n v="30"/>
    <n v="6373"/>
    <n v="0"/>
    <n v="0"/>
    <n v="10706640"/>
    <n v="1680000"/>
    <n v="0"/>
    <n v="0"/>
    <n v="0"/>
    <n v="12386640"/>
    <x v="0"/>
    <n v="0"/>
    <n v="1"/>
    <n v="7"/>
    <n v="0"/>
    <n v="0"/>
    <n v="0"/>
    <n v="0"/>
    <n v="0"/>
    <n v="0"/>
    <n v="0"/>
    <n v="7"/>
    <n v="7"/>
    <n v="7"/>
    <n v="7"/>
    <n v="7"/>
    <n v="7"/>
    <n v="6.4"/>
    <s v="SI"/>
    <s v="ALVARO CARLOS"/>
    <s v="a.avila@innovapymes.org"/>
    <n v="342358308"/>
    <s v="Montevideo 2550, Renca"/>
    <s v="Capacitar al participante para organizar, ejecutar y controlar actividades de movilización y distribución de cargas, aplicando normas de seguridad y procedimientos administrativos en entornos portuarios o industriales."/>
    <s v="Este curso entrega conocimientos técnicos y prácticos para movilizar cargas de forma segura y eficiente, incluyendo el uso de equipos de izaje, señalética manual, documentación de faena y evaluación del rendimiento operativo del turno"/>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SI"/>
    <n v="6.4"/>
    <s v="SI"/>
    <n v="7.0000000000000009"/>
    <s v="SI"/>
    <n v="7"/>
    <s v="SI"/>
    <n v="1"/>
    <x v="1"/>
    <n v="6373"/>
    <n v="6373"/>
    <s v="SI"/>
    <n v="0"/>
    <n v="0"/>
    <s v="SI"/>
    <n v="2"/>
    <n v="2"/>
    <s v="SI"/>
    <n v="0"/>
    <m/>
    <m/>
    <m/>
    <s v="Adjudica"/>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102946-0"/>
    <s v="CAPACITACIONES INNOVA PYMES LTDA"/>
    <n v="240"/>
    <n v="60"/>
    <n v="6373"/>
    <n v="0"/>
    <n v="50000"/>
    <n v="21413280"/>
    <n v="3360000"/>
    <n v="0"/>
    <n v="0"/>
    <n v="700000"/>
    <n v="25473280"/>
    <x v="0"/>
    <n v="0"/>
    <n v="1"/>
    <n v="7"/>
    <n v="0"/>
    <n v="0"/>
    <n v="0"/>
    <n v="0"/>
    <n v="0"/>
    <n v="0"/>
    <n v="0"/>
    <n v="7"/>
    <n v="7"/>
    <n v="7"/>
    <n v="7"/>
    <n v="7"/>
    <n v="7"/>
    <n v="6.4"/>
    <s v="NO"/>
    <s v="ALVARO CARLOS"/>
    <s v="a.avila@innovapymes.org"/>
    <n v="342358308"/>
    <s v="Montevideo 2550,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373"/>
    <n v="6373"/>
    <n v="7"/>
    <s v="APROBADO"/>
    <s v="APROBADO"/>
    <n v="6.4"/>
    <s v="APROBADO"/>
    <s v="NO"/>
    <n v="7"/>
    <s v="NO"/>
    <s v="NO APLICA "/>
    <s v="NO"/>
    <s v="NO APLICA"/>
    <s v="NO APLICA"/>
    <s v="NO APLICA"/>
    <x v="0"/>
    <s v=""/>
    <s v="NO APLICA"/>
    <s v="NO"/>
    <s v="NO APLICA"/>
    <s v="NO APLICA"/>
    <s v="NO"/>
    <n v="2"/>
    <n v="67"/>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102946-0"/>
    <s v="CAPACITACIONES INNOVA PYMES LTDA"/>
    <n v="80"/>
    <n v="20"/>
    <n v="6373"/>
    <n v="0"/>
    <n v="0"/>
    <n v="8157440"/>
    <n v="1280000"/>
    <n v="0"/>
    <n v="0"/>
    <n v="0"/>
    <n v="9437440"/>
    <x v="1"/>
    <s v="NUMERAL 6.1.2. ÍTEM 7 - EL OFERENTE NO PRESENTA LA ESTRUCTURA DE COSTOS PARA EL CURSO (ANEXO N° 3)."/>
    <n v="0"/>
    <n v="0"/>
    <n v="0"/>
    <n v="0"/>
    <n v="0"/>
    <n v="0"/>
    <n v="0"/>
    <n v="0"/>
    <n v="0"/>
    <n v="0"/>
    <n v="0"/>
    <n v="0"/>
    <n v="0"/>
    <n v="0"/>
    <n v="0"/>
    <n v="0"/>
    <s v="NO"/>
    <s v="ALVARO CARLOS"/>
    <s v="a.avila@innovapymes.org"/>
    <n v="342358308"/>
    <s v="Montevideo 2550,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s v="NO APLICA"/>
    <s v="NO APLICA "/>
    <s v="NO"/>
    <s v="NO APLICA"/>
    <s v="NO APLICA"/>
    <s v="NO APLICA"/>
    <x v="0"/>
    <s v=""/>
    <s v="NO APLICA"/>
    <s v="NO"/>
    <s v="NO APLICA"/>
    <s v="NO APLICA"/>
    <s v="NO"/>
    <n v="2"/>
    <n v="125"/>
    <s v="NO"/>
    <n v="0"/>
    <m/>
    <m/>
    <m/>
    <m/>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460844-5"/>
    <s v="Servicios de Capacitación Caitec S.A."/>
    <n v="110"/>
    <n v="28"/>
    <n v="5075"/>
    <n v="0"/>
    <n v="0"/>
    <n v="8932000"/>
    <n v="1792000"/>
    <n v="0"/>
    <n v="0"/>
    <n v="0"/>
    <n v="1072400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5075"/>
    <n v="5075"/>
    <n v="7"/>
    <s v="APROBADO"/>
    <s v="APROBADO"/>
    <n v="6.4"/>
    <s v="APROBADO"/>
    <s v="NO"/>
    <n v="6.6"/>
    <s v="NO"/>
    <s v="NO APLICA "/>
    <s v="NO"/>
    <s v="NO APLICA"/>
    <s v="NO APLICA"/>
    <s v="NO APLICA"/>
    <x v="0"/>
    <s v=""/>
    <s v="NO APLICA"/>
    <s v="NO"/>
    <s v="NO APLICA"/>
    <s v="NO APLICA"/>
    <s v="NO"/>
    <n v="43"/>
    <n v="43"/>
    <s v="SI"/>
    <n v="0"/>
    <m/>
    <m/>
    <m/>
    <m/>
    <m/>
  </r>
  <r>
    <x v="1"/>
    <s v="SOFOFA"/>
    <n v="2025"/>
    <s v="MANDATO"/>
    <s v="65181652-1"/>
    <s v="SOFOFA"/>
    <s v="65140022-8"/>
    <s v="FUTURO DEL TRABAJO"/>
    <s v="MOVILIZADOR DE CARGA"/>
    <s v="PF0739"/>
    <s v=""/>
    <s v=""/>
    <n v="13"/>
    <n v="0"/>
    <s v="RENCA"/>
    <s v="ESTUDIANTES DE CUARTO AÑO DE ENSEÑANZA MEDIA O DE LICEOS TÉCNICOS PROFESIONALES."/>
    <s v="PRESENCIAL"/>
    <s v="DEPENDIENTE"/>
    <s v="03. LUNES - VESPERTINO / 06. MARTES - VESPERTINO / 09. MIÉRCOLES - VESPERTINO / 12. JUEVES - VESPERTINO / 15. VIERNES - VESPERTINO"/>
    <n v="14"/>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3"/>
    <s v="76460844-5"/>
    <s v="Servicios de Capacitación Caitec S.A."/>
    <n v="120"/>
    <n v="30"/>
    <n v="6373"/>
    <n v="0"/>
    <n v="0"/>
    <n v="10706640"/>
    <n v="1680000"/>
    <n v="0"/>
    <n v="0"/>
    <n v="0"/>
    <n v="12386640"/>
    <x v="1"/>
    <s v="NUMERAL 6.1.2. ÍTEM 6 - ERROR VALOR TOTAL DEL CURSO; OTEC ESTÁ CONSIDERANDO SUBSIDIO DE CUIDADO EN ANEXO 3, CUANDO NO ESTÁ CONTEMPLADO."/>
    <n v="0"/>
    <n v="0"/>
    <n v="0"/>
    <n v="0"/>
    <n v="0"/>
    <n v="0"/>
    <n v="0"/>
    <n v="0"/>
    <n v="0"/>
    <n v="0"/>
    <n v="0"/>
    <n v="0"/>
    <n v="0"/>
    <n v="0"/>
    <n v="0"/>
    <n v="0"/>
    <s v="NO"/>
    <s v="Osvaldo Sotomayor Baeza"/>
    <s v="gerencia@caitec.cl"/>
    <n v="722604254"/>
    <s v="Avenida La hacienda N° 1589, Renca"/>
    <n v="0"/>
    <n v="0"/>
    <n v="0"/>
    <n v="0"/>
    <n v="0"/>
    <n v="0"/>
    <n v="0"/>
    <n v="0"/>
    <n v="0"/>
    <n v="0"/>
    <n v="0"/>
    <n v="0"/>
    <n v="0"/>
    <n v="0"/>
    <n v="0"/>
    <n v="0"/>
    <n v="0"/>
    <n v="0"/>
    <s v="SSH"/>
    <s v="SI"/>
    <s v="NO"/>
    <n v="0"/>
    <n v="0"/>
    <n v="0"/>
    <n v="0"/>
    <n v="0"/>
    <n v="0"/>
    <n v="0"/>
    <n v="0"/>
    <n v="0"/>
    <n v="0"/>
    <s v="NO"/>
    <n v="0"/>
    <s v="SI"/>
    <s v="NO APLICA"/>
    <s v="SI"/>
    <s v="NO APLICA"/>
    <s v="NO APLICA"/>
    <s v="NO APLICA"/>
    <s v="SI"/>
    <n v="0"/>
    <n v="0"/>
    <s v="NO APLICA"/>
    <s v="NO APLICA"/>
    <s v="NO APLICA"/>
    <n v="6373"/>
    <n v="6373"/>
    <s v="NO APLICA"/>
    <s v="NO APLICA"/>
    <s v="NO APLICA"/>
    <s v="NO APLICA"/>
    <s v="NO APLICA"/>
    <s v="NO"/>
    <s v="NO APLICA"/>
    <s v="NO APLICA"/>
    <s v="NO APLICA "/>
    <s v="NO"/>
    <s v="NO APLICA"/>
    <s v="NO APLICA"/>
    <s v="NO APLICA"/>
    <x v="0"/>
    <s v=""/>
    <s v="NO APLICA"/>
    <s v="NO"/>
    <s v="NO APLICA"/>
    <s v="NO APLICA"/>
    <s v="NO"/>
    <n v="43"/>
    <n v="2"/>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460844-5"/>
    <s v="Servicios de Capacitación Caitec S.A."/>
    <n v="80"/>
    <n v="20"/>
    <n v="6373"/>
    <n v="0"/>
    <n v="0"/>
    <n v="8157440"/>
    <n v="1280000"/>
    <n v="0"/>
    <n v="0"/>
    <n v="0"/>
    <n v="9437440"/>
    <x v="0"/>
    <n v="0"/>
    <n v="3"/>
    <n v="5"/>
    <n v="0"/>
    <n v="0"/>
    <n v="0"/>
    <n v="0"/>
    <n v="0"/>
    <n v="0"/>
    <n v="0"/>
    <n v="7"/>
    <n v="7"/>
    <n v="7"/>
    <n v="7"/>
    <n v="7"/>
    <n v="7"/>
    <n v="6.4"/>
    <s v="NO"/>
    <s v="Osvaldo Sotomayor Baeza"/>
    <s v="gerencia@caitec.cl"/>
    <n v="722604254"/>
    <s v="Avenida La hacienda N° 1589, Renca"/>
    <n v="0"/>
    <n v="0"/>
    <n v="0"/>
    <n v="0"/>
    <n v="0"/>
    <n v="0"/>
    <n v="0"/>
    <n v="0"/>
    <n v="0"/>
    <n v="0"/>
    <n v="0"/>
    <n v="0"/>
    <n v="0"/>
    <n v="0"/>
    <n v="0"/>
    <n v="0"/>
    <n v="0"/>
    <n v="0"/>
    <s v="SSH"/>
    <s v="SI"/>
    <s v="NO"/>
    <n v="0"/>
    <n v="0"/>
    <n v="0"/>
    <n v="0"/>
    <n v="0"/>
    <n v="0"/>
    <n v="0"/>
    <n v="0"/>
    <n v="0"/>
    <n v="0"/>
    <s v="SI"/>
    <n v="0"/>
    <s v="SI"/>
    <n v="0"/>
    <s v="SI"/>
    <n v="0"/>
    <n v="0.30000000000000004"/>
    <n v="0.5"/>
    <s v="SI"/>
    <n v="0"/>
    <n v="0"/>
    <n v="0"/>
    <n v="7.0000000000000009"/>
    <n v="7.0000000000000009"/>
    <n v="6373"/>
    <n v="6373"/>
    <n v="7"/>
    <s v="APROBADO"/>
    <s v="APROBADO"/>
    <n v="6.4"/>
    <s v="APROBADO"/>
    <s v="NO"/>
    <n v="7"/>
    <s v="NO"/>
    <s v="NO APLICA "/>
    <s v="NO"/>
    <s v="NO APLICA"/>
    <s v="NO APLICA"/>
    <s v="NO APLICA"/>
    <x v="0"/>
    <s v=""/>
    <s v="NO APLICA"/>
    <s v="NO"/>
    <s v="NO APLICA"/>
    <s v="NO APLICA"/>
    <s v="NO"/>
    <n v="43"/>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460844-5"/>
    <s v="Servicios de Capacitación Caitec S.A."/>
    <n v="272"/>
    <n v="68"/>
    <n v="5075"/>
    <n v="250000"/>
    <n v="250000"/>
    <n v="19325600"/>
    <n v="3808000"/>
    <n v="3500000"/>
    <n v="0"/>
    <n v="3500000"/>
    <n v="30133600"/>
    <x v="0"/>
    <n v="0"/>
    <n v="3"/>
    <n v="5"/>
    <n v="0"/>
    <n v="0"/>
    <n v="0"/>
    <n v="0"/>
    <n v="0"/>
    <n v="0"/>
    <n v="0"/>
    <n v="7"/>
    <n v="7"/>
    <n v="7"/>
    <n v="7"/>
    <n v="7"/>
    <n v="6.9"/>
    <n v="6.4"/>
    <s v="NO"/>
    <s v="Osvaldo Sotomayor Baeza"/>
    <s v="gerencia@caitec.cl"/>
    <n v="722604254"/>
    <s v="Avenida La hacienda N° 1589, Renca"/>
    <n v="0"/>
    <n v="0"/>
    <n v="0"/>
    <n v="0"/>
    <n v="0"/>
    <n v="0"/>
    <n v="0"/>
    <n v="0"/>
    <n v="0"/>
    <n v="0"/>
    <n v="0"/>
    <n v="0"/>
    <n v="0"/>
    <n v="0"/>
    <n v="0"/>
    <n v="0"/>
    <n v="0"/>
    <n v="0"/>
    <s v="SHMAN"/>
    <s v="SI"/>
    <s v="NO"/>
    <n v="0"/>
    <n v="0"/>
    <n v="0"/>
    <n v="0"/>
    <n v="0"/>
    <n v="0"/>
    <n v="0"/>
    <n v="0"/>
    <n v="0"/>
    <n v="0"/>
    <s v="SI"/>
    <n v="0"/>
    <s v="SI"/>
    <n v="0"/>
    <s v="SI"/>
    <n v="0"/>
    <n v="0.30000000000000004"/>
    <n v="0.5"/>
    <s v="SI"/>
    <n v="0"/>
    <n v="0"/>
    <n v="0"/>
    <n v="7.0000000000000009"/>
    <n v="7.0000000000000009"/>
    <n v="5075"/>
    <n v="5000"/>
    <n v="6.9"/>
    <s v="APROBADO"/>
    <s v="APROBADO"/>
    <n v="6.4"/>
    <s v="APROBADO"/>
    <s v="NO"/>
    <n v="7"/>
    <s v="NO"/>
    <s v="NO APLICA "/>
    <s v="NO"/>
    <s v="NO APLICA"/>
    <s v="NO APLICA"/>
    <s v="NO APLICA"/>
    <x v="0"/>
    <s v=""/>
    <s v="NO APLICA"/>
    <s v="NO"/>
    <s v="NO APLICA"/>
    <s v="NO APLICA"/>
    <s v="NO"/>
    <n v="43"/>
    <n v="125"/>
    <s v="NO"/>
    <n v="0"/>
    <m/>
    <m/>
    <m/>
    <m/>
    <m/>
  </r>
  <r>
    <x v="5"/>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1"/>
    <n v="0"/>
    <s v="SSH"/>
    <s v="SI"/>
    <s v="NO"/>
    <n v="0"/>
    <n v="0"/>
    <n v="0"/>
    <n v="1"/>
    <n v="0"/>
    <n v="0"/>
    <n v="0"/>
    <n v="0"/>
    <n v="0"/>
    <n v="0"/>
    <s v="NO"/>
    <n v="1"/>
    <s v="SI"/>
    <s v="NO APLICA"/>
    <s v="SI"/>
    <s v="NO APLICA"/>
    <s v="NO APLICA"/>
    <s v="NO APLICA"/>
    <s v="SI"/>
    <n v="0"/>
    <n v="0"/>
    <s v="NO APLICA"/>
    <s v="NO APLICA"/>
    <s v="NO APLICA"/>
    <n v="6373"/>
    <n v="6373"/>
    <s v="NO APLICA"/>
    <s v="NO APLICA"/>
    <s v="NO APLICA"/>
    <s v="NO APLICA"/>
    <s v="NO APLICA"/>
    <s v="SI"/>
    <s v="NO APLICA"/>
    <s v="NO APLICA"/>
    <s v="NO APLICA "/>
    <s v="NO"/>
    <s v="NO APLICA"/>
    <s v="NO APLICA"/>
    <s v="NO APLICA"/>
    <x v="0"/>
    <s v=""/>
    <s v="NO APLICA"/>
    <s v="NO"/>
    <s v="NO APLICA"/>
    <s v="NO APLICA"/>
    <s v="NO"/>
    <n v="89"/>
    <n v="89"/>
    <s v="SI"/>
    <n v="0"/>
    <m/>
    <m/>
    <m/>
    <m/>
    <m/>
  </r>
  <r>
    <x v="6"/>
    <s v="SOFOFA"/>
    <n v="2025"/>
    <s v="MANDATO"/>
    <s v="65181652-1"/>
    <s v="SOFOFA"/>
    <s v="70417500-0"/>
    <s v="CORPORACION DE CAPACITACION Y EMPLEO SOFOFA (LICEOS)"/>
    <s v="CURSO CONVENCIONAL CONDUCENTE A LICENCIA DE CONDUCIR CLASE B"/>
    <s v="PF1454"/>
    <n v="0"/>
    <s v=""/>
    <n v="13"/>
    <n v="0"/>
    <s v="SANTIAGO"/>
    <s v="ESTUDIANTES DE CUARTO AÑO DE ENSEÑANZA MEDIA O DE LICEOS TÉCNICOS PROFESIONALES."/>
    <s v="PRESENCIAL"/>
    <s v="INDEPENDIENTE"/>
    <s v="02. LUNES - TARDE / 05. MARTES - TARDE / 08. MIÉRCOLES - TARDE / 11. JUEVES - TARDE / 14. VIERNES - TARDE"/>
    <n v="18"/>
    <n v="24"/>
    <n v="0"/>
    <n v="24"/>
    <n v="4"/>
    <s v="SI"/>
    <s v="NO"/>
    <s v="NO"/>
    <n v="0"/>
    <s v="HOMBRE Y MUJERES DE 18 AÑOS, ALUMNOS DE CUARTO AÑO MEDIO DE LOS DISTINTOS LICEOS TECNICO PROFESIONALES DE LA CIUDAD DE SANTIAGO QUE SON ADMINISTRADOS POR CORPORACION SOFOFA"/>
    <s v="SI"/>
    <s v="LICENCIA DE CONDUCIR CLASE B."/>
    <s v="CERRADA"/>
    <n v="6"/>
    <n v="3"/>
    <s v="65088432-9"/>
    <s v="corporación Nueva Ciaspo"/>
    <n v="24"/>
    <n v="6"/>
    <n v="6373"/>
    <n v="0"/>
    <n v="50000"/>
    <n v="2753136"/>
    <n v="432000"/>
    <n v="0"/>
    <n v="0"/>
    <n v="900000"/>
    <n v="4085136"/>
    <x v="0"/>
    <n v="0"/>
    <n v="7"/>
    <n v="7"/>
    <n v="0"/>
    <n v="0"/>
    <n v="0"/>
    <n v="0"/>
    <n v="0"/>
    <n v="0"/>
    <n v="0"/>
    <n v="7"/>
    <n v="7"/>
    <n v="7"/>
    <n v="7"/>
    <n v="7"/>
    <n v="7"/>
    <n v="7"/>
    <s v="SI"/>
    <s v="Marcela Guerrero Rojas"/>
    <s v="mliriag@gmail.com"/>
    <n v="950110805"/>
    <s v="Dieciocho 182, Santiago"/>
    <s v="Formar conductores responsables y seguros, capaces de operar vehículos motorizados livianos bajo normativa vigente, aplicando técnicas de conducción preventiva y respetando las reglas del tránsito"/>
    <s v="Este curso entrega conocimientos teóricos, prácticos y psicométricos para obtener la Licencia Clase B, incluyendo normativa vial, señalética, mecánica básica, conducción defensiva y evaluación de habilidades psicofísica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s v="SI"/>
    <n v="7.0000000000000009"/>
    <s v="SI"/>
    <n v="7"/>
    <s v="SI"/>
    <n v="7"/>
    <x v="1"/>
    <n v="6373"/>
    <n v="6373"/>
    <s v="SI"/>
    <n v="0"/>
    <n v="0"/>
    <s v="SI"/>
    <n v="89"/>
    <n v="89"/>
    <s v="SI"/>
    <n v="0"/>
    <m/>
    <m/>
    <m/>
    <m/>
    <m/>
  </r>
  <r>
    <x v="7"/>
    <s v="SOFOFA"/>
    <n v="2025"/>
    <s v="MANDATO"/>
    <s v="65181652-1"/>
    <s v="SOFOFA"/>
    <s v="70417500-0"/>
    <s v="CORPORACION DE CAPACITACION Y EMPLEO SOFOFA (LICEOS)"/>
    <s v="CURSO ESPECIAL CON SIMULADOR DE INMERSIÓN TOTAL CONDUCENTE A LICENCIA DE CONDUCTOR PROFESIONAL CLASE A-5"/>
    <s v="PF0621"/>
    <n v="0"/>
    <s v=""/>
    <n v="13"/>
    <n v="0"/>
    <s v="SANTIAGO"/>
    <s v="EMPRENDEDORES/AS INFORMALES O PERSONAS VULNERABLES PERTENECIENTES AL 80% MAS VULNERABLE"/>
    <s v="PRESENCIAL"/>
    <s v="DEPENDIENTE"/>
    <s v="01. LUNES - MAÑANA / 04. MARTES - MAÑANA / 07. MIÉRCOLES - MAÑANA / 10. JUEVES - MAÑANA / 13. VIERNES - MAÑANA"/>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57"/>
    <n v="3"/>
    <s v="65088432-9"/>
    <s v="corporación Nueva Ciaspo"/>
    <n v="225"/>
    <n v="57"/>
    <n v="7200"/>
    <n v="0"/>
    <n v="50000"/>
    <n v="24300000"/>
    <n v="3420000"/>
    <n v="0"/>
    <n v="0"/>
    <n v="750000"/>
    <n v="28470000"/>
    <x v="0"/>
    <n v="0"/>
    <n v="7"/>
    <n v="7"/>
    <n v="0"/>
    <n v="0"/>
    <n v="0"/>
    <n v="0"/>
    <n v="0"/>
    <n v="0"/>
    <n v="0"/>
    <n v="7"/>
    <n v="7"/>
    <n v="7"/>
    <n v="7"/>
    <n v="7"/>
    <n v="7"/>
    <n v="7"/>
    <s v="SI"/>
    <s v="Marcela Guerrero Rojas"/>
    <s v="mliriag@gmail.com"/>
    <n v="950110805"/>
    <s v="Dieciocho 182, Santiago"/>
    <s v="Formar conductores profesionales capacitados para operar vehículos motorizados articulados o combinados, aplicando técnicas de conducción segura, normativa vigente y procedimientos de carga y descarga mediante simulación inmersiva."/>
    <s v="Este curso entrega conocimientos teóricos y prácticos para obtener la Licencia Clase A-5, utilizando simuladores de inmersión total que recrean condiciones reales de conducción. Incluye normativa de tránsito, seguridad vial, mantenimiento preventivo y maniobras operativas en transporte de carga"/>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7200"/>
    <n v="7200"/>
    <n v="7"/>
    <s v="APROBADO"/>
    <s v="APROBADO"/>
    <n v="7"/>
    <s v="APROBADO"/>
    <s v="NO"/>
    <n v="7"/>
    <s v="SI"/>
    <n v="7.0000000000000009"/>
    <s v="SI"/>
    <n v="7"/>
    <s v="SI"/>
    <n v="7"/>
    <x v="1"/>
    <n v="7200"/>
    <n v="7200"/>
    <s v="SI"/>
    <n v="0"/>
    <n v="0"/>
    <s v="SI"/>
    <n v="89"/>
    <n v="89"/>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476826-2"/>
    <s v="AUSO CAPACITACIONES SPA"/>
    <n v="272"/>
    <n v="68"/>
    <n v="5000"/>
    <n v="250000"/>
    <n v="250000"/>
    <n v="19040000"/>
    <n v="3808000"/>
    <n v="3500000"/>
    <n v="0"/>
    <n v="3500000"/>
    <n v="29848000"/>
    <x v="0"/>
    <n v="0"/>
    <n v="1"/>
    <n v="7"/>
    <n v="0"/>
    <n v="0"/>
    <n v="0"/>
    <n v="0"/>
    <n v="0"/>
    <n v="0"/>
    <n v="0"/>
    <n v="7"/>
    <n v="7"/>
    <n v="7"/>
    <n v="7"/>
    <n v="7"/>
    <n v="7"/>
    <n v="6.4"/>
    <s v="NO"/>
    <s v="CLAUDIA NUÑEZ"/>
    <s v="CLAUDIA.NUNEZ@AUSOCAPACITACIONES.CL"/>
    <n v="984199668"/>
    <s v="DOMINGO SANTA MARÍA # 392, Renca"/>
    <n v="0"/>
    <n v="0"/>
    <n v="0"/>
    <n v="0"/>
    <n v="0"/>
    <n v="0"/>
    <n v="0"/>
    <n v="0"/>
    <n v="0"/>
    <n v="0"/>
    <n v="0"/>
    <n v="0"/>
    <n v="0"/>
    <n v="0"/>
    <n v="0"/>
    <n v="0"/>
    <n v="0"/>
    <n v="0"/>
    <s v="SHMAN"/>
    <s v="SI"/>
    <s v="NO"/>
    <n v="0"/>
    <n v="1"/>
    <n v="0"/>
    <n v="0"/>
    <n v="0"/>
    <n v="0"/>
    <n v="0"/>
    <n v="0"/>
    <n v="0"/>
    <n v="0"/>
    <s v="NO"/>
    <n v="1"/>
    <s v="NO"/>
    <s v="NO APLICA"/>
    <s v="NO"/>
    <s v="NO APLICA"/>
    <s v="NO APLICA"/>
    <s v="NO APLICA"/>
    <s v="SI"/>
    <n v="0"/>
    <n v="0"/>
    <s v="NO APLICA"/>
    <s v="NO APLICA"/>
    <s v="NO APLICA"/>
    <n v="5000"/>
    <n v="5000"/>
    <s v="NO APLICA"/>
    <s v="NO APLICA"/>
    <s v="NO APLICA"/>
    <s v="NO APLICA"/>
    <s v="NO APLICA"/>
    <s v="NO"/>
    <s v="NO APLICA"/>
    <s v="NO APLICA"/>
    <s v="NO APLICA "/>
    <s v="NO"/>
    <s v="NO APLICA"/>
    <s v="NO APLICA"/>
    <s v="NO APLICA"/>
    <x v="0"/>
    <s v=""/>
    <s v="NO APLICA"/>
    <s v="NO"/>
    <s v="NO APLICA"/>
    <s v="NO APLICA"/>
    <s v="NO"/>
    <n v="0"/>
    <n v="0"/>
    <s v="SI"/>
    <n v="0"/>
    <s v="Error valor hora alumno  "/>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n v="0"/>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606610-0"/>
    <s v="Centro de Capacitación Inforcap SPA"/>
    <n v="160"/>
    <n v="32"/>
    <n v="6373"/>
    <n v="0"/>
    <n v="0"/>
    <n v="15295200"/>
    <n v="1920000"/>
    <n v="0"/>
    <n v="0"/>
    <n v="0"/>
    <n v="17215200"/>
    <x v="0"/>
    <n v="0"/>
    <n v="7"/>
    <n v="7"/>
    <n v="7"/>
    <n v="7"/>
    <n v="7"/>
    <n v="7"/>
    <n v="7"/>
    <n v="7"/>
    <n v="7"/>
    <n v="7"/>
    <n v="7"/>
    <n v="7"/>
    <n v="7"/>
    <n v="7"/>
    <n v="7"/>
    <n v="7"/>
    <s v="NO"/>
    <s v="Pia fuentes corcoran"/>
    <s v="pfuentescorcoran@gmail.com"/>
    <n v="992196137"/>
    <s v="PROVENIR #458, COMUNA DE SANTIAGO, Santiago"/>
    <n v="0"/>
    <n v="0"/>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s v="SI"/>
    <n v="7.0000000000000009"/>
    <s v="SI"/>
    <n v="7"/>
    <s v="SI"/>
    <n v="7"/>
    <x v="1"/>
    <n v="6373"/>
    <n v="6373"/>
    <s v="SI"/>
    <n v="0.67164179104477606"/>
    <n v="0"/>
    <s v="NO"/>
    <n v="67"/>
    <n v="125"/>
    <s v="NO"/>
    <n v="0"/>
    <s v="No adjudica dado que presenta procentaje de multas ponderadas "/>
    <m/>
    <m/>
    <m/>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6606610-0"/>
    <s v="Centro de Capacitación Inforcap SPA"/>
    <n v="240"/>
    <n v="60"/>
    <n v="6373"/>
    <n v="0"/>
    <n v="50000"/>
    <n v="21413280"/>
    <n v="3360000"/>
    <n v="0"/>
    <n v="0"/>
    <n v="700000"/>
    <n v="25473280"/>
    <x v="0"/>
    <n v="0"/>
    <n v="7"/>
    <n v="7"/>
    <n v="0"/>
    <n v="0"/>
    <n v="0"/>
    <n v="0"/>
    <n v="0"/>
    <n v="0"/>
    <n v="0"/>
    <n v="7"/>
    <n v="7"/>
    <n v="7"/>
    <n v="7"/>
    <n v="7"/>
    <n v="7"/>
    <n v="7"/>
    <s v="SI"/>
    <s v="Pia fuentes corcoran"/>
    <s v="pfuentescorcoran@gmail.com"/>
    <n v="992196137"/>
    <s v="SALA DE CLASES: AVENIDA VENTISQUERO 1225, BODEGA 75, COMUNA DE RENCA TALLER: AV. PDTE. EDUARDO FREI, Renca"/>
    <s v="Capacitar al participante en la operación segura y eficiente de cargadores frontales, aplicando procedimientos técnicos, normas de seguridad y criterios de mantenimiento preventivo en contextos de construcción, minería o logística."/>
    <s v="Este curso entrega conocimientos prácticos sobre el manejo de cargadores frontales, incluyendo inspección preoperacional, técnicas de carguío, uso de controles, prevención de riesgos y mantenimiento básico del equipo, conforme a normativa vigente y condiciones operativas del entorno"/>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NO"/>
    <n v="7"/>
    <s v="SI"/>
    <n v="7.0000000000000009"/>
    <s v="SI"/>
    <n v="7"/>
    <s v="SI"/>
    <n v="7"/>
    <x v="1"/>
    <n v="6373"/>
    <n v="6373"/>
    <s v="SI"/>
    <n v="0.67164179104477606"/>
    <n v="0.67164179104477606"/>
    <s v="SI"/>
    <n v="67"/>
    <n v="67"/>
    <s v="SI"/>
    <n v="0"/>
    <m/>
    <m/>
    <m/>
    <s v="Adjudica"/>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606610-0"/>
    <s v="Centro de Capacitación Inforcap SPA"/>
    <n v="272"/>
    <n v="68"/>
    <n v="5075"/>
    <n v="250000"/>
    <n v="250000"/>
    <n v="19325600"/>
    <n v="3808000"/>
    <n v="3500000"/>
    <n v="0"/>
    <n v="3500000"/>
    <n v="30133600"/>
    <x v="0"/>
    <n v="0"/>
    <n v="7"/>
    <n v="7"/>
    <n v="0"/>
    <n v="0"/>
    <n v="0"/>
    <n v="0"/>
    <n v="0"/>
    <n v="0"/>
    <n v="0"/>
    <n v="7"/>
    <n v="7"/>
    <n v="7"/>
    <n v="7"/>
    <n v="7"/>
    <n v="6.9"/>
    <n v="7"/>
    <s v="NO"/>
    <s v="Pia fuentes corcoran"/>
    <s v="pfuentescorcoran@gmail.com"/>
    <n v="992196137"/>
    <s v="&quot;SALA DE CLASES: AVENIDA VENTISQUERO 1225, BODEGA 75, COMUNA DE RENCA TALLER: AV. PDTE. EDUARDO FREI,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s v="SI"/>
    <n v="7.0000000000000009"/>
    <s v="SI"/>
    <n v="7"/>
    <s v="SI"/>
    <n v="7"/>
    <x v="1"/>
    <n v="5075"/>
    <n v="5075"/>
    <s v="SI"/>
    <n v="0.67164179104477606"/>
    <n v="0"/>
    <s v="NO"/>
    <n v="67"/>
    <n v="125"/>
    <s v="NO"/>
    <n v="0"/>
    <s v="No adjudica dado que presenta procentaje de multas ponderadas más alto "/>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302818-6"/>
    <s v="cade capacitacion y desarrollo empresarial e.i.r.l"/>
    <n v="80"/>
    <n v="20"/>
    <n v="6373"/>
    <n v="0"/>
    <n v="0"/>
    <n v="8157440"/>
    <n v="1280000"/>
    <n v="0"/>
    <n v="0"/>
    <n v="0"/>
    <n v="9437440"/>
    <x v="0"/>
    <n v="0"/>
    <n v="3"/>
    <n v="7"/>
    <n v="0"/>
    <n v="0"/>
    <n v="0"/>
    <n v="0"/>
    <n v="0"/>
    <n v="0"/>
    <n v="0"/>
    <n v="7"/>
    <n v="7"/>
    <n v="7"/>
    <n v="7"/>
    <n v="7"/>
    <n v="7"/>
    <n v="6.6"/>
    <s v="NO"/>
    <s v="ALEJANDRA HUANCHICAY"/>
    <s v="becaslaborales@cade.cl"/>
    <n v="973778527"/>
    <s v="Blanco Encalada Nº 133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x v="0"/>
    <s v=""/>
    <s v="NO APLICA"/>
    <s v="NO"/>
    <s v="NO APLICA"/>
    <s v="NO APLICA"/>
    <s v="NO"/>
    <n v="23"/>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056645-4"/>
    <s v="ISOLUTION CAPACITACION EN GESTION LILITADA"/>
    <n v="272"/>
    <n v="68"/>
    <n v="5075"/>
    <n v="250000"/>
    <n v="250000"/>
    <n v="19325600"/>
    <n v="3808000"/>
    <n v="3500000"/>
    <n v="0"/>
    <n v="3500000"/>
    <n v="30133600"/>
    <x v="0"/>
    <n v="0"/>
    <n v="7"/>
    <n v="7"/>
    <n v="0"/>
    <n v="0"/>
    <n v="0"/>
    <n v="0"/>
    <n v="0"/>
    <n v="0"/>
    <n v="0"/>
    <n v="7"/>
    <n v="7"/>
    <n v="7"/>
    <n v="7"/>
    <n v="7"/>
    <n v="6.9"/>
    <n v="7"/>
    <s v="NO"/>
    <s v="GUILLERMO"/>
    <s v="ggonzalez@isolution.cl"/>
    <n v="995163347"/>
    <s v="LOS GERANIOS #3203, Renca"/>
    <n v="0"/>
    <n v="0"/>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SI"/>
    <n v="7"/>
    <s v="SI"/>
    <n v="7.0000000000000009"/>
    <s v="SI"/>
    <n v="7"/>
    <s v="SI"/>
    <n v="7"/>
    <x v="1"/>
    <n v="5075"/>
    <n v="5075"/>
    <s v="SI"/>
    <n v="0.16245487364620939"/>
    <n v="0"/>
    <s v="NO"/>
    <n v="122"/>
    <n v="125"/>
    <s v="NO"/>
    <n v="0"/>
    <s v="No adjudica dado que presenta procentaje de multas ponderadas más alto "/>
    <m/>
    <m/>
    <m/>
    <m/>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PUYEHUE"/>
    <s v="ESTUDIANTES DE CUARTO AÑO DE ENSEÑANZA MEDIA O DE LICEOS TÉCNICOS PROFESIONALES."/>
    <s v="PRESENCIAL"/>
    <s v="DEPENDIENTE"/>
    <s v="04. MART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Ruta Internacional CH215, km 43 S/N – Puyehue, Puyehue"/>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x v="1"/>
    <n v="7434"/>
    <n v="7434"/>
    <s v="SI"/>
    <n v="0"/>
    <n v="0"/>
    <s v="SI"/>
    <n v="0"/>
    <n v="0"/>
    <s v="SI"/>
    <n v="0"/>
    <m/>
    <m/>
    <m/>
    <s v="Adjudica "/>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n v="0"/>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Camino a Mision Quilacahuin, Liceo Quilacahuin San Pablo, Los Lagos, San Pabl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x v="1"/>
    <n v="7434"/>
    <n v="7434"/>
    <s v="SI"/>
    <n v="0"/>
    <n v="0"/>
    <s v="SI"/>
    <n v="0"/>
    <n v="0"/>
    <s v="SI"/>
    <n v="0"/>
    <m/>
    <m/>
    <m/>
    <s v="Adjudica "/>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Av. René Soriano 2615, Osorno, Los Lagos, Osorno"/>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x v="1"/>
    <n v="7434"/>
    <n v="7434"/>
    <s v="SI"/>
    <n v="0"/>
    <n v="0"/>
    <s v="SI"/>
    <n v="0"/>
    <n v="0"/>
    <s v="SI"/>
    <n v="0"/>
    <m/>
    <m/>
    <m/>
    <s v="Adjudica "/>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212"/>
    <n v="12"/>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962968-8"/>
    <s v="Centro de Capacitación Lechero del Sur"/>
    <n v="224"/>
    <n v="28"/>
    <n v="7434"/>
    <n v="0"/>
    <n v="0"/>
    <n v="33304320"/>
    <n v="2240000"/>
    <n v="0"/>
    <n v="0"/>
    <n v="0"/>
    <n v="35544320"/>
    <x v="0"/>
    <n v="0"/>
    <n v="1"/>
    <n v="7"/>
    <n v="7"/>
    <n v="7"/>
    <n v="7"/>
    <n v="7"/>
    <n v="7"/>
    <n v="7"/>
    <n v="7"/>
    <n v="7"/>
    <n v="7"/>
    <n v="7"/>
    <n v="7"/>
    <n v="7"/>
    <n v="7"/>
    <n v="6.4"/>
    <s v="SI"/>
    <s v="SANDRA VIDAL JIMENES"/>
    <s v="CONTACTO@CCLS.CL"/>
    <n v="941070603"/>
    <s v="Bernardo Ohiggins 210, DE LOS LAGOS, FRESIA, Fresia"/>
    <s v="Fortalecer las competencias técnicas de estudiantes agropecuarios en producción lechera, mediante la integración de conocimientos especializados, prácticas sustentables y bienestar animal, para mejorar su empleabilidad en el sector lácteo."/>
    <s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
    <n v="0"/>
    <n v="0"/>
    <n v="0"/>
    <n v="0"/>
    <n v="0"/>
    <n v="0"/>
    <n v="0"/>
    <n v="0"/>
    <n v="0"/>
    <n v="0"/>
    <n v="0"/>
    <n v="0"/>
    <n v="0"/>
    <n v="0"/>
    <n v="0"/>
    <n v="0"/>
    <s v="SSH"/>
    <s v="NO"/>
    <s v="SI"/>
    <n v="0"/>
    <n v="0"/>
    <n v="0"/>
    <n v="0"/>
    <n v="0"/>
    <n v="0"/>
    <n v="0"/>
    <n v="0"/>
    <n v="0"/>
    <n v="0"/>
    <s v="SI"/>
    <n v="0"/>
    <s v="NO"/>
    <n v="0"/>
    <s v="SI"/>
    <n v="0"/>
    <n v="0.1"/>
    <n v="0.70000000000000007"/>
    <s v="NO"/>
    <n v="7"/>
    <n v="7"/>
    <n v="7"/>
    <n v="7.0000000000000009"/>
    <n v="7.0000000000000009"/>
    <n v="7434"/>
    <n v="7434"/>
    <n v="7"/>
    <s v="APROBADO"/>
    <s v="APROBADO"/>
    <n v="6.4"/>
    <s v="APROBADO"/>
    <s v="SI"/>
    <n v="6.4"/>
    <s v="SI"/>
    <n v="7.0000000000000009"/>
    <s v="SI"/>
    <n v="7"/>
    <s v="SI"/>
    <n v="1"/>
    <x v="1"/>
    <n v="7434"/>
    <n v="7434"/>
    <s v="SI"/>
    <n v="0"/>
    <n v="0"/>
    <s v="SI"/>
    <n v="0"/>
    <n v="0"/>
    <s v="SI"/>
    <n v="0"/>
    <m/>
    <m/>
    <m/>
    <s v="Adjudica "/>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7593380-1"/>
    <s v="Centro de Investigación para el Desarrollo y Capacitación Limitada"/>
    <n v="110"/>
    <n v="28"/>
    <n v="5075"/>
    <n v="0"/>
    <n v="0"/>
    <n v="8932000"/>
    <n v="1792000"/>
    <n v="0"/>
    <n v="0"/>
    <n v="0"/>
    <n v="10724000"/>
    <x v="0"/>
    <n v="0"/>
    <n v="3"/>
    <n v="7"/>
    <n v="0"/>
    <n v="0"/>
    <n v="0"/>
    <n v="0"/>
    <n v="0"/>
    <n v="0"/>
    <n v="0"/>
    <n v="7"/>
    <n v="7"/>
    <n v="7"/>
    <n v="7"/>
    <n v="7"/>
    <n v="7"/>
    <n v="6.6"/>
    <s v="SI"/>
    <s v="EMILY RODRIGUEZ"/>
    <s v="ERODRIGUEZ@institutoasiste.cl"/>
    <n v="225962361"/>
    <s v="PASAJE VIRGINIO ARIAS 1926, Renca"/>
    <s v="Capacitar al participante para asistir en tareas de mantenimiento eléctrico de baja tensión, aplicando procedimientos técnicos, normas de seguridad y uso adecuado de herramientas, bajo supervisión especializada."/>
    <s v="Este curso entrega conocimientos básicos para apoyar labores de mantenimiento preventivo y correctivo en instalaciones eléctricas de baja tensión. Incluye identificación de componentes, uso de instrumentos de medición, aplicación de protocolos de seguridad y asistencia en inspecciones, limpieza y reparación de equipos eléctricos."/>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SI"/>
    <n v="6.6"/>
    <s v="SI"/>
    <n v="7.0000000000000009"/>
    <s v="SI"/>
    <n v="7"/>
    <s v="SI"/>
    <n v="3"/>
    <x v="1"/>
    <n v="5075"/>
    <n v="5075"/>
    <s v="SI"/>
    <n v="0"/>
    <n v="0"/>
    <s v="SI"/>
    <n v="33"/>
    <n v="43"/>
    <s v="NO"/>
    <n v="0"/>
    <m/>
    <m/>
    <m/>
    <s v="Adjudica "/>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7593380-1"/>
    <s v="Centro de Investigación para el Desarrollo y Capacitación Limitada"/>
    <n v="120"/>
    <n v="30"/>
    <n v="5075"/>
    <n v="0"/>
    <n v="0"/>
    <n v="9135000"/>
    <n v="1800000"/>
    <n v="0"/>
    <n v="0"/>
    <n v="0"/>
    <n v="10935000"/>
    <x v="0"/>
    <n v="0"/>
    <n v="3"/>
    <n v="7"/>
    <n v="0"/>
    <n v="0"/>
    <n v="0"/>
    <n v="0"/>
    <n v="0"/>
    <n v="0"/>
    <n v="0"/>
    <n v="7"/>
    <n v="7"/>
    <n v="7"/>
    <n v="7"/>
    <n v="7"/>
    <n v="7"/>
    <n v="6.6"/>
    <s v="SI"/>
    <s v="EMILY RODRIGUEZ"/>
    <s v="ERODRIGUEZ@institutoasiste.cl"/>
    <n v="225962361"/>
    <s v="PASAJE VIRGINIO ARIAS 1926, Renca"/>
    <s v="Formar técnicos capacitados en el diagnóstico, mantenimiento y reparación de sistemas electromecánicos de vehículos automotrices, integrando conocimientos de mecánica, electricidad y electrónica bajo estándares de seguridad, calidad y sustentabilidad."/>
    <s v="Este curso entrega competencias para intervenir sistemas de propulsión, eléctricos, electrónicos y de confort de vehículos livianos y pesados. Incluye diagnóstico computarizado, mantenimiento preventivo y correctivo, gestión de servicio técnico y aplicación de normativas vigentes en electromovilidad y mecánica automotriz"/>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s v="SI"/>
    <n v="7.0000000000000009"/>
    <s v="SI"/>
    <n v="7"/>
    <s v="SI"/>
    <n v="3"/>
    <x v="1"/>
    <n v="5075"/>
    <n v="5075"/>
    <s v="SI"/>
    <n v="0"/>
    <n v="0"/>
    <s v="SI"/>
    <n v="33"/>
    <n v="33"/>
    <s v="SI"/>
    <n v="0"/>
    <s v="Adjudica dado que presenta menor procentaje de multas ponderadas "/>
    <m/>
    <m/>
    <s v="Adjudica "/>
    <m/>
  </r>
  <r>
    <x v="2"/>
    <s v="SOFOFA"/>
    <n v="2025"/>
    <s v="MANDATO"/>
    <s v="65181652-1"/>
    <s v="SOFOFA"/>
    <s v="65140022-8"/>
    <s v="FUTURO DEL TRABAJO"/>
    <s v="OPERACIONES DE CARGA FRONTAL"/>
    <s v="PF0795"/>
    <n v="0"/>
    <s v=""/>
    <n v="13"/>
    <n v="0"/>
    <s v="RENCA"/>
    <s v="EMPRENDEDORES/AS INFORMALES O PERSONAS VULNERABLES PERTENECIENTES AL 80% MAS VULNERABLE"/>
    <s v="PRESENCIAL"/>
    <s v="DEPENDIENTE"/>
    <s v="03. LUNES - VESPERTINO / 06. MARTES - VESPERTINO / 09. MIÉRCOLES - VESPERTINO / 12. JUEVES - VESPERTINO / 15. VIERNES - VESPERTINO"/>
    <n v="14"/>
    <n v="240"/>
    <n v="0"/>
    <n v="240"/>
    <n v="4"/>
    <s v="SI"/>
    <s v="NO"/>
    <s v="NO"/>
    <n v="0"/>
    <s v="HOMBRES Y MUJERES DE 18 AÑOS O MAS, AGRESADOS DE LA EDUCACIÓN MEDIA, QUE ESTUDIERON EN LICEOS TECNICO PROFESIONALES DE LA COMUNA DE RENCA O RESIDAN EN DICHA COMUNA, CON ESPECIALIDAD EN TEMATICAS ASOCIADAS A LOGISTICA Y QUE TENGAN EDUCACION MEDIA COMPLETA."/>
    <s v="SI"/>
    <s v="LICENCIA DE CONDUCIR CLASE D"/>
    <s v="CERRADA"/>
    <n v="60"/>
    <n v="3"/>
    <s v="77593380-1"/>
    <s v="Centro de Investigación para el Desarrollo y Capacitación Limitada"/>
    <n v="240"/>
    <n v="60"/>
    <n v="6373"/>
    <n v="0"/>
    <n v="50000"/>
    <n v="21413280"/>
    <n v="3360000"/>
    <n v="0"/>
    <n v="0"/>
    <n v="700000"/>
    <n v="25473280"/>
    <x v="0"/>
    <n v="0"/>
    <n v="3"/>
    <n v="7"/>
    <n v="0"/>
    <n v="0"/>
    <n v="0"/>
    <n v="0"/>
    <n v="0"/>
    <n v="0"/>
    <n v="0"/>
    <n v="7"/>
    <n v="7"/>
    <n v="7"/>
    <n v="7"/>
    <n v="7"/>
    <n v="7"/>
    <n v="6.6"/>
    <s v="NO"/>
    <s v="EMILY RODRIGUEZ"/>
    <s v="ERODRIGUEZ@institutoasiste.cl"/>
    <n v="225962361"/>
    <s v="PASAJE VIRGINIO ARIAS 1926,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x v="0"/>
    <s v=""/>
    <s v="NO APLICA"/>
    <s v="NO"/>
    <s v="NO APLICA"/>
    <s v="NO APLICA"/>
    <s v="NO"/>
    <n v="33"/>
    <n v="67"/>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55298-4"/>
    <s v="Centro de Formación y Capacitación Limitada"/>
    <n v="80"/>
    <n v="20"/>
    <n v="6373"/>
    <n v="0"/>
    <n v="0"/>
    <n v="8157440"/>
    <n v="1280000"/>
    <n v="0"/>
    <n v="0"/>
    <n v="0"/>
    <n v="9437440"/>
    <x v="0"/>
    <n v="0"/>
    <n v="5"/>
    <n v="7"/>
    <n v="0"/>
    <n v="0"/>
    <n v="0"/>
    <n v="0"/>
    <n v="0"/>
    <n v="0"/>
    <n v="0"/>
    <n v="7"/>
    <n v="7"/>
    <n v="7"/>
    <n v="7"/>
    <n v="7"/>
    <n v="7"/>
    <n v="6.8"/>
    <s v="NO"/>
    <s v="José Beniscelli"/>
    <s v="jbeniscelli@cenfor.cl"/>
    <n v="986851817"/>
    <s v="Av. Miraflore 8414, Renca"/>
    <n v="0"/>
    <n v="0"/>
    <n v="0"/>
    <n v="0"/>
    <n v="0"/>
    <n v="0"/>
    <n v="0"/>
    <n v="0"/>
    <n v="0"/>
    <n v="0"/>
    <n v="0"/>
    <n v="0"/>
    <n v="0"/>
    <n v="0"/>
    <n v="0"/>
    <n v="0"/>
    <n v="0"/>
    <n v="0"/>
    <s v="SSH"/>
    <s v="SI"/>
    <s v="NO"/>
    <n v="0"/>
    <n v="0"/>
    <n v="0"/>
    <n v="0"/>
    <n v="0"/>
    <n v="0"/>
    <n v="0"/>
    <n v="0"/>
    <n v="0"/>
    <n v="0"/>
    <s v="SI"/>
    <n v="0"/>
    <s v="SI"/>
    <n v="0"/>
    <s v="SI"/>
    <n v="0"/>
    <n v="0.5"/>
    <n v="0.70000000000000007"/>
    <s v="SI"/>
    <n v="0"/>
    <n v="0"/>
    <n v="0"/>
    <n v="7.0000000000000009"/>
    <n v="7.0000000000000009"/>
    <n v="6373"/>
    <n v="6373"/>
    <n v="7"/>
    <s v="APROBADO"/>
    <s v="APROBADO"/>
    <n v="6.8"/>
    <s v="APROBADO"/>
    <s v="SI"/>
    <n v="7"/>
    <s v="NO"/>
    <s v="NO APLICA "/>
    <s v="NO"/>
    <s v="NO APLICA"/>
    <s v="NO APLICA"/>
    <s v="NO APLICA"/>
    <x v="0"/>
    <s v=""/>
    <s v="NO APLICA"/>
    <s v="NO"/>
    <s v="NO APLICA"/>
    <s v="NO APLICA"/>
    <s v="NO"/>
    <n v="48"/>
    <n v="125"/>
    <s v="NO"/>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65062756-3"/>
    <s v="Fundaciòn Forpe Chile"/>
    <n v="160"/>
    <n v="32"/>
    <n v="6373"/>
    <n v="0"/>
    <n v="0"/>
    <n v="15295200"/>
    <n v="1920000"/>
    <n v="0"/>
    <n v="0"/>
    <n v="0"/>
    <n v="17215200"/>
    <x v="0"/>
    <n v="0"/>
    <n v="7"/>
    <n v="7"/>
    <n v="7"/>
    <n v="7"/>
    <n v="7"/>
    <n v="7"/>
    <n v="7"/>
    <n v="7"/>
    <n v="7"/>
    <n v="7"/>
    <n v="7"/>
    <n v="7"/>
    <n v="7"/>
    <n v="7"/>
    <n v="7"/>
    <n v="7"/>
    <s v="SI"/>
    <s v="ESTEBAN VEGA TORO"/>
    <s v="contacto@forpe.cl"/>
    <n v="228347804"/>
    <s v="Padre Miguel de Olivares 1324, Santiago"/>
    <s v="Capacitar al participante en la aplicación de procedimientos de control de calidad en la industria alimentaria, asegurando la inocuidad, trazabilidad y cumplimiento de estándares técnicos y normativos en cada etapa del proceso productivo."/>
    <s v="Este curso entrega herramientas para implementar controles de calidad en alimentos, desde la recepción de materias primas hasta el producto final. Incluye análisis microbiológicos, físicos y sensoriales, gestión de riesgos, buenas prácticas de manufactura y trazabilidad en procesos alimentarios."/>
    <n v="0"/>
    <n v="0"/>
    <n v="0"/>
    <n v="0"/>
    <n v="0"/>
    <n v="0"/>
    <n v="0"/>
    <n v="0"/>
    <n v="0"/>
    <n v="0"/>
    <n v="0"/>
    <n v="0"/>
    <n v="0"/>
    <n v="0"/>
    <n v="0"/>
    <n v="0"/>
    <s v="SSH"/>
    <s v="NO"/>
    <s v="SI"/>
    <n v="0"/>
    <n v="0"/>
    <n v="0"/>
    <n v="0"/>
    <n v="0"/>
    <n v="0"/>
    <n v="0"/>
    <n v="0"/>
    <n v="0"/>
    <n v="0"/>
    <s v="SI"/>
    <n v="0"/>
    <s v="SI"/>
    <n v="0"/>
    <s v="SI"/>
    <n v="0"/>
    <n v="0.70000000000000007"/>
    <n v="0.70000000000000007"/>
    <s v="NO"/>
    <n v="7"/>
    <n v="7"/>
    <n v="7"/>
    <n v="7.0000000000000009"/>
    <n v="7.0000000000000009"/>
    <n v="6373"/>
    <n v="6373"/>
    <n v="7"/>
    <s v="APROBADO"/>
    <s v="APROBADO"/>
    <n v="7"/>
    <s v="APROBADO"/>
    <s v="SI"/>
    <n v="7"/>
    <s v="SI"/>
    <n v="7.0000000000000009"/>
    <s v="SI"/>
    <n v="7"/>
    <s v="SI"/>
    <n v="7"/>
    <x v="1"/>
    <n v="6373"/>
    <n v="6373"/>
    <s v="SI"/>
    <n v="0"/>
    <n v="0"/>
    <s v="SI"/>
    <n v="125"/>
    <n v="125"/>
    <s v="SI"/>
    <n v="0"/>
    <s v="Adjudica dado que presenta menor procentaje de multas ponderaadas "/>
    <m/>
    <m/>
    <s v="Adjudica "/>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65062756-3"/>
    <s v="Fundaciòn Forpe Chile"/>
    <n v="80"/>
    <n v="20"/>
    <n v="6373"/>
    <n v="0"/>
    <n v="0"/>
    <n v="8157440"/>
    <n v="1280000"/>
    <n v="0"/>
    <n v="0"/>
    <n v="0"/>
    <n v="9437440"/>
    <x v="0"/>
    <n v="0"/>
    <n v="7"/>
    <n v="7"/>
    <n v="0"/>
    <n v="0"/>
    <n v="0"/>
    <n v="0"/>
    <n v="0"/>
    <n v="0"/>
    <n v="0"/>
    <n v="7"/>
    <n v="7"/>
    <n v="7"/>
    <n v="7"/>
    <n v="7"/>
    <n v="7"/>
    <n v="7"/>
    <s v="SI"/>
    <s v="ESTEBAN VEGA TORO"/>
    <s v="contacto@forpe.cl"/>
    <n v="228347804"/>
    <s v="Vicuña Makena 1020, Renca"/>
    <s v="Capacitar al participante en la gestión eficiente de procesos logísticos en bodegas, centros de distribución y centros de transferencia, aplicando técnicas de almacenamiento, manejo de inventarios y control operativo conforme a estándares de calidad y seguridad."/>
    <s v="Este curso entrega conocimientos prácticos sobre recepción, almacenamiento, preparación de pedidos y despacho de mercancías. Aborda el diseño de layout, flujo de materiales, optimización de espacios, rotación de inventarios y buenas prácticas logísticas para mejorar la eficiencia operativa en distintos tipos de instalaciones."/>
    <n v="0"/>
    <n v="0"/>
    <n v="0"/>
    <n v="0"/>
    <n v="0"/>
    <n v="0"/>
    <n v="0"/>
    <n v="0"/>
    <n v="0"/>
    <n v="0"/>
    <n v="0"/>
    <n v="0"/>
    <n v="0"/>
    <n v="0"/>
    <n v="0"/>
    <n v="0"/>
    <s v="SSH"/>
    <s v="SI"/>
    <s v="NO"/>
    <n v="0"/>
    <n v="0"/>
    <n v="0"/>
    <n v="0"/>
    <n v="0"/>
    <n v="0"/>
    <n v="0"/>
    <n v="0"/>
    <n v="0"/>
    <n v="0"/>
    <s v="SI"/>
    <n v="0"/>
    <s v="SI"/>
    <n v="0"/>
    <s v="SI"/>
    <n v="0"/>
    <n v="0.70000000000000007"/>
    <n v="0.70000000000000007"/>
    <s v="SI"/>
    <n v="0"/>
    <n v="0"/>
    <n v="0"/>
    <n v="7.0000000000000009"/>
    <n v="7.0000000000000009"/>
    <n v="6373"/>
    <n v="6373"/>
    <n v="7"/>
    <s v="APROBADO"/>
    <s v="APROBADO"/>
    <n v="7"/>
    <s v="APROBADO"/>
    <s v="SI"/>
    <n v="7"/>
    <s v="SI"/>
    <n v="7.0000000000000009"/>
    <s v="SI"/>
    <n v="7"/>
    <s v="SI"/>
    <n v="7"/>
    <x v="1"/>
    <n v="6373"/>
    <n v="6373"/>
    <s v="SI"/>
    <n v="0"/>
    <n v="0"/>
    <s v="SI"/>
    <n v="125"/>
    <n v="125"/>
    <s v="SI"/>
    <n v="0"/>
    <m/>
    <m/>
    <m/>
    <s v="Adjudica "/>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62756-3"/>
    <s v="Fundaciòn Forpe Chile"/>
    <n v="272"/>
    <n v="68"/>
    <n v="5075"/>
    <n v="250000"/>
    <n v="250000"/>
    <n v="19325600"/>
    <n v="3808000"/>
    <n v="3500000"/>
    <n v="0"/>
    <n v="3500000"/>
    <n v="30133600"/>
    <x v="0"/>
    <n v="0"/>
    <n v="7"/>
    <n v="7"/>
    <n v="0"/>
    <n v="0"/>
    <n v="0"/>
    <n v="0"/>
    <n v="0"/>
    <n v="0"/>
    <n v="0"/>
    <n v="7"/>
    <n v="7"/>
    <n v="7"/>
    <n v="7"/>
    <n v="7"/>
    <n v="6.9"/>
    <n v="7"/>
    <s v="SI"/>
    <s v="ESTEBAN VEGA TORO"/>
    <s v="contacto@forpe.cl"/>
    <n v="228347804"/>
    <s v="Vicuña Makena 1020, Renca"/>
    <s v="Capacitar al participante en la aplicación de técnicas de soldadura por Oxigás, Arco Voltaico, TIG y MIG sobre piezas metálicas, cumpliendo con normas de seguridad, calidad y procedimientos operativos del sector metalmecánico."/>
    <s v="Este curso entrega conocimientos prácticos para ejecutar soldaduras en distintos procesos y posiciones, utilizando equipos adecuados y aplicando normas de higiene, seguridad y calidad. Incluye preparación de superficies, configuración de parámetros, ejecución de cordones y registro de procedimientos técnicos."/>
    <n v="0"/>
    <n v="0"/>
    <n v="0"/>
    <n v="0"/>
    <n v="0"/>
    <n v="0"/>
    <n v="0"/>
    <n v="0"/>
    <n v="0"/>
    <n v="0"/>
    <n v="0"/>
    <n v="0"/>
    <n v="0"/>
    <n v="0"/>
    <n v="0"/>
    <n v="0"/>
    <s v="SHMAN"/>
    <s v="SI"/>
    <s v="NO"/>
    <n v="0"/>
    <n v="0"/>
    <n v="0"/>
    <n v="0"/>
    <n v="0"/>
    <n v="0"/>
    <n v="0"/>
    <n v="0"/>
    <n v="0"/>
    <n v="0"/>
    <s v="SI"/>
    <n v="0"/>
    <s v="SI"/>
    <n v="0"/>
    <s v="SI"/>
    <n v="0"/>
    <n v="0.70000000000000007"/>
    <n v="0.70000000000000007"/>
    <s v="SI"/>
    <n v="0"/>
    <n v="0"/>
    <n v="0"/>
    <n v="7.0000000000000009"/>
    <n v="7.0000000000000009"/>
    <n v="5075"/>
    <n v="5000"/>
    <n v="6.9"/>
    <s v="APROBADO"/>
    <s v="APROBADO"/>
    <n v="7"/>
    <s v="APROBADO"/>
    <s v="NO"/>
    <n v="7"/>
    <s v="SI"/>
    <n v="7.0000000000000009"/>
    <s v="SI"/>
    <n v="7"/>
    <s v="SI"/>
    <n v="7"/>
    <x v="1"/>
    <n v="5075"/>
    <n v="5075"/>
    <s v="SI"/>
    <n v="0"/>
    <n v="0"/>
    <s v="SI"/>
    <n v="125"/>
    <n v="125"/>
    <s v="SI"/>
    <n v="0"/>
    <s v="Adjudica dado que presenta menor procentaje de multas ponderaadas "/>
    <m/>
    <m/>
    <s v="Adjudica "/>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928190-8"/>
    <s v="Véliz, Núñez y Cía. Ltda."/>
    <n v="120"/>
    <n v="30"/>
    <n v="5075"/>
    <n v="0"/>
    <n v="0"/>
    <n v="9135000"/>
    <n v="1800000"/>
    <n v="0"/>
    <n v="0"/>
    <n v="0"/>
    <n v="1093500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5075"/>
    <n v="5075"/>
    <n v="7"/>
    <s v="APROBADO"/>
    <s v="APROBADO"/>
    <n v="6.6"/>
    <s v="APROBADO"/>
    <s v="NO"/>
    <n v="6.6"/>
    <s v="SI"/>
    <n v="7.0000000000000009"/>
    <s v="SI"/>
    <n v="7"/>
    <s v="SI"/>
    <n v="3"/>
    <x v="1"/>
    <n v="5075"/>
    <n v="5075"/>
    <s v="SI"/>
    <n v="0.51724137931034486"/>
    <n v="0"/>
    <s v="NO"/>
    <n v="29"/>
    <n v="33"/>
    <s v="NO"/>
    <n v="0"/>
    <s v="No adjudica dado que presenta procentaje de multas ponderadas "/>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928190-8"/>
    <s v="Véliz, Núñez y Cía. Ltda."/>
    <n v="80"/>
    <n v="20"/>
    <n v="6373"/>
    <n v="0"/>
    <n v="0"/>
    <n v="8157440"/>
    <n v="1280000"/>
    <n v="0"/>
    <n v="0"/>
    <n v="0"/>
    <n v="9437440"/>
    <x v="0"/>
    <n v="0"/>
    <n v="3"/>
    <n v="7"/>
    <n v="0"/>
    <n v="0"/>
    <n v="0"/>
    <n v="0"/>
    <n v="0"/>
    <n v="0"/>
    <n v="0"/>
    <n v="7"/>
    <n v="7"/>
    <n v="7"/>
    <n v="7"/>
    <n v="7"/>
    <n v="7"/>
    <n v="6.6"/>
    <s v="NO"/>
    <s v="Marianela Núñez Véliz"/>
    <s v="surorienteemprende@gmail.com"/>
    <n v="228507710"/>
    <s v="Las Margaritas 3875, Renca"/>
    <n v="0"/>
    <n v="0"/>
    <n v="0"/>
    <n v="0"/>
    <n v="0"/>
    <n v="0"/>
    <n v="0"/>
    <n v="0"/>
    <n v="0"/>
    <n v="0"/>
    <n v="0"/>
    <n v="0"/>
    <n v="0"/>
    <n v="0"/>
    <n v="0"/>
    <n v="0"/>
    <n v="0"/>
    <n v="0"/>
    <s v="SSH"/>
    <s v="SI"/>
    <s v="NO"/>
    <n v="0"/>
    <n v="0"/>
    <n v="0"/>
    <n v="0"/>
    <n v="0"/>
    <n v="0"/>
    <n v="0"/>
    <n v="0"/>
    <n v="0"/>
    <n v="0"/>
    <s v="SI"/>
    <n v="0"/>
    <s v="SI"/>
    <n v="0"/>
    <s v="SI"/>
    <n v="0"/>
    <n v="0.30000000000000004"/>
    <n v="0.70000000000000007"/>
    <s v="SI"/>
    <n v="0"/>
    <n v="0"/>
    <n v="0"/>
    <n v="7.0000000000000009"/>
    <n v="7.0000000000000009"/>
    <n v="6373"/>
    <n v="6373"/>
    <n v="7"/>
    <s v="APROBADO"/>
    <s v="APROBADO"/>
    <n v="6.6"/>
    <s v="APROBADO"/>
    <s v="NO"/>
    <n v="7"/>
    <s v="NO"/>
    <s v="NO APLICA "/>
    <s v="NO"/>
    <s v="NO APLICA"/>
    <s v="NO APLICA"/>
    <s v="NO APLICA"/>
    <x v="0"/>
    <s v=""/>
    <s v="NO APLICA"/>
    <s v="NO"/>
    <s v="NO APLICA"/>
    <s v="NO APLICA"/>
    <s v="NO"/>
    <n v="29"/>
    <n v="125"/>
    <s v="NO"/>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928190-8"/>
    <s v="Véliz, Núñez y Cía. Ltda."/>
    <n v="160"/>
    <n v="32"/>
    <n v="6373"/>
    <n v="0"/>
    <n v="0"/>
    <n v="15295200"/>
    <n v="1920000"/>
    <n v="0"/>
    <n v="0"/>
    <n v="0"/>
    <n v="17215200"/>
    <x v="0"/>
    <n v="0"/>
    <n v="3"/>
    <n v="7"/>
    <n v="7"/>
    <n v="7"/>
    <n v="7"/>
    <n v="7"/>
    <n v="7"/>
    <n v="7"/>
    <n v="7"/>
    <n v="7"/>
    <n v="7"/>
    <n v="7"/>
    <n v="7"/>
    <n v="7"/>
    <n v="7"/>
    <n v="6.6"/>
    <s v="NO"/>
    <s v="Marianela Núñez Véliz"/>
    <s v="surorienteemprende@gmail.com"/>
    <n v="228507710"/>
    <s v="Pedro Lagos 1414, Santiago"/>
    <n v="0"/>
    <n v="0"/>
    <n v="0"/>
    <n v="0"/>
    <n v="0"/>
    <n v="0"/>
    <n v="0"/>
    <n v="0"/>
    <n v="0"/>
    <n v="0"/>
    <n v="0"/>
    <n v="0"/>
    <n v="0"/>
    <n v="0"/>
    <n v="0"/>
    <n v="0"/>
    <n v="0"/>
    <n v="0"/>
    <s v="SSH"/>
    <s v="NO"/>
    <s v="SI"/>
    <n v="0"/>
    <n v="0"/>
    <n v="0"/>
    <n v="0"/>
    <n v="0"/>
    <n v="0"/>
    <n v="0"/>
    <n v="0"/>
    <n v="0"/>
    <n v="0"/>
    <s v="SI"/>
    <n v="0"/>
    <s v="SI"/>
    <n v="0"/>
    <s v="SI"/>
    <n v="0"/>
    <n v="0.30000000000000004"/>
    <n v="0.70000000000000007"/>
    <s v="NO"/>
    <n v="7"/>
    <n v="7"/>
    <n v="7"/>
    <n v="7.0000000000000009"/>
    <n v="7.0000000000000009"/>
    <n v="6373"/>
    <n v="6373"/>
    <n v="7"/>
    <s v="APROBADO"/>
    <s v="APROBADO"/>
    <n v="6.6"/>
    <s v="APROBADO"/>
    <s v="NO"/>
    <n v="7"/>
    <s v="NO"/>
    <s v="NO APLICA "/>
    <s v="NO"/>
    <s v="NO APLICA"/>
    <s v="NO APLICA"/>
    <s v="NO APLICA"/>
    <x v="0"/>
    <s v=""/>
    <s v="NO APLICA"/>
    <s v="NO"/>
    <s v="NO APLICA"/>
    <s v="NO APLICA"/>
    <s v="NO"/>
    <n v="29"/>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928190-8"/>
    <s v="Véliz, Núñez y Cía. Ltda."/>
    <n v="272"/>
    <n v="68"/>
    <n v="5075"/>
    <n v="250000"/>
    <n v="250000"/>
    <n v="19325600"/>
    <n v="3808000"/>
    <n v="3500000"/>
    <n v="0"/>
    <n v="3500000"/>
    <n v="30133600"/>
    <x v="1"/>
    <s v="NUMERAL 6.1.2. ÍTEM 6 - ERROR EN ESTRUCTURA DE COSTOS (ÍTEM F, H, J, K, M Y N)"/>
    <n v="0"/>
    <n v="0"/>
    <n v="0"/>
    <n v="0"/>
    <n v="0"/>
    <n v="0"/>
    <n v="0"/>
    <n v="0"/>
    <n v="0"/>
    <n v="0"/>
    <n v="0"/>
    <n v="0"/>
    <n v="0"/>
    <n v="0"/>
    <n v="0"/>
    <n v="0"/>
    <s v="NO"/>
    <s v="Marianela Núñez Véliz"/>
    <s v="surorienteemprende@gmail.com"/>
    <n v="228507710"/>
    <s v="Las Margaritas 3875,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s v="NO APLICA"/>
    <s v="NO APLICA "/>
    <s v="NO"/>
    <s v="NO APLICA"/>
    <s v="NO APLICA"/>
    <s v="NO APLICA"/>
    <x v="0"/>
    <s v=""/>
    <s v="NO APLICA"/>
    <s v="NO"/>
    <s v="NO APLICA"/>
    <s v="NO APLICA"/>
    <s v="NO"/>
    <n v="29"/>
    <n v="125"/>
    <s v="NO"/>
    <n v="0"/>
    <m/>
    <m/>
    <m/>
    <m/>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ilmaiquén S/N, San Pabl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85"/>
    <n v="0"/>
    <s v="NO"/>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Patricio Lynch 1866, Osorno"/>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85"/>
    <n v="0"/>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6715240-K"/>
    <s v="CAPACITACION INTEGRAL LTDA"/>
    <n v="224"/>
    <n v="28"/>
    <n v="6373"/>
    <n v="0"/>
    <n v="0"/>
    <n v="28551040"/>
    <n v="2240000"/>
    <n v="0"/>
    <n v="0"/>
    <n v="0"/>
    <n v="30791040"/>
    <x v="1"/>
    <s v="NUMERAL 6.1.2. ÍTEM 1 - NO DESARROLLA METODOLOGÍA PARA EL MODULO 10 DEL CURSO_x000a_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Juan Landaeta"/>
    <s v="jlandaeta@capchile.cl"/>
    <n v="989200476"/>
    <s v="Circunvalación 401, Fresia"/>
    <n v="0"/>
    <n v="0"/>
    <n v="0"/>
    <n v="0"/>
    <n v="0"/>
    <n v="0"/>
    <n v="0"/>
    <n v="0"/>
    <n v="0"/>
    <n v="0"/>
    <n v="0"/>
    <n v="0"/>
    <n v="0"/>
    <n v="0"/>
    <n v="0"/>
    <n v="0"/>
    <n v="0"/>
    <n v="0"/>
    <s v="SSH"/>
    <s v="NO"/>
    <s v="NO"/>
    <n v="0"/>
    <n v="0"/>
    <n v="0"/>
    <n v="0"/>
    <n v="0"/>
    <n v="0"/>
    <n v="0"/>
    <n v="0"/>
    <n v="0"/>
    <n v="0"/>
    <s v="NO"/>
    <n v="0"/>
    <s v="SI"/>
    <s v="NO APLICA"/>
    <s v="SI"/>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85"/>
    <n v="0"/>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7311060-3"/>
    <s v="SOCIEDAD OTC CAPACITACIÓN LTDA"/>
    <n v="272"/>
    <n v="68"/>
    <n v="5000"/>
    <n v="250000"/>
    <n v="250000"/>
    <n v="19040000"/>
    <n v="3808000"/>
    <n v="3500000"/>
    <n v="0"/>
    <n v="3500000"/>
    <n v="29848000"/>
    <x v="0"/>
    <n v="0"/>
    <n v="3"/>
    <n v="7"/>
    <n v="0"/>
    <n v="0"/>
    <n v="0"/>
    <n v="0"/>
    <n v="0"/>
    <n v="0"/>
    <n v="0"/>
    <n v="7"/>
    <n v="7"/>
    <n v="7"/>
    <n v="7"/>
    <n v="7"/>
    <n v="7"/>
    <n v="6.6"/>
    <s v="NO"/>
    <s v="Jorge Aranguiz"/>
    <s v="jaranguiz@otc.cl"/>
    <n v="988394610"/>
    <s v="PASAJE LANCO 4862, Renca"/>
    <n v="0"/>
    <n v="0"/>
    <n v="0"/>
    <n v="0"/>
    <n v="0"/>
    <n v="0"/>
    <n v="0"/>
    <n v="0"/>
    <n v="0"/>
    <n v="0"/>
    <n v="0"/>
    <n v="0"/>
    <n v="0"/>
    <n v="0"/>
    <n v="0"/>
    <n v="0"/>
    <n v="0"/>
    <n v="0"/>
    <s v="SHMAN"/>
    <s v="SI"/>
    <s v="NO"/>
    <n v="0"/>
    <n v="1"/>
    <n v="0"/>
    <n v="0"/>
    <n v="0"/>
    <n v="0"/>
    <n v="0"/>
    <n v="0"/>
    <n v="0"/>
    <n v="0"/>
    <s v="NO"/>
    <n v="1"/>
    <s v="SI"/>
    <s v="NO APLICA"/>
    <s v="SI"/>
    <s v="NO APLICA"/>
    <s v="NO APLICA"/>
    <s v="NO APLICA"/>
    <s v="SI"/>
    <n v="0"/>
    <n v="0"/>
    <s v="NO APLICA"/>
    <s v="NO APLICA"/>
    <s v="NO APLICA"/>
    <n v="5000"/>
    <n v="5000"/>
    <s v="NO APLICA"/>
    <s v="NO APLICA"/>
    <s v="NO APLICA"/>
    <s v="NO APLICA"/>
    <s v="NO APLICA"/>
    <s v="NO"/>
    <s v="NO APLICA"/>
    <s v="NO APLICA"/>
    <s v="NO APLICA "/>
    <s v="NO"/>
    <s v="NO APLICA"/>
    <s v="NO APLICA"/>
    <s v="NO APLICA"/>
    <x v="0"/>
    <s v=""/>
    <s v="NO APLICA"/>
    <s v="NO"/>
    <s v="NO APLICA"/>
    <s v="NO APLICA"/>
    <s v="NO"/>
    <n v="29"/>
    <n v="125"/>
    <s v="NO"/>
    <n v="0"/>
    <s v="Error valor hora alumno  "/>
    <m/>
    <m/>
    <m/>
    <m/>
  </r>
  <r>
    <x v="13"/>
    <s v="SOFOFA"/>
    <n v="2025"/>
    <s v="MANDATO"/>
    <s v="65181652-1"/>
    <s v="SOFOFA"/>
    <s v="65140022-8"/>
    <s v="FUTURO DEL TRABAJO"/>
    <s v="MECÁNICA AUTOMOTRIZ ELECTROMECÁNICA"/>
    <s v="PF0585"/>
    <n v="0"/>
    <s v=""/>
    <n v="13"/>
    <n v="0"/>
    <s v="RENCA"/>
    <s v="ESTUDIANTES DE CUARTO AÑO DE ENSEÑANZA MEDIA O DE LICEOS TÉCNICOS PROFESIONALES."/>
    <s v="PRESENCIAL"/>
    <s v="DEPENDIENTE"/>
    <s v="03. LUNES - VESPERTINO / 06. MARTES - VESPERTINO / 09. MIÉRCOLES - VESPERTINO / 12. JUEVES - VESPERTINO / 15. VIERNES - VESPERTINO"/>
    <n v="15"/>
    <n v="120"/>
    <n v="0"/>
    <n v="12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30"/>
    <n v="2"/>
    <s v="76232950-6"/>
    <s v="INSTITUTO DE CALIDAD Y MEDIOAMBIENTE DE CHILE IGNACIO JAVIER CARO AGUILERA E.I.R.L"/>
    <n v="120"/>
    <n v="30"/>
    <n v="5600"/>
    <n v="0"/>
    <n v="0"/>
    <n v="10080000"/>
    <n v="1800000"/>
    <n v="0"/>
    <n v="0"/>
    <n v="0"/>
    <n v="11880000"/>
    <x v="0"/>
    <n v="0"/>
    <n v="1"/>
    <n v="7"/>
    <n v="0"/>
    <n v="0"/>
    <n v="0"/>
    <n v="0"/>
    <n v="0"/>
    <n v="0"/>
    <n v="0"/>
    <n v="7"/>
    <n v="7"/>
    <n v="7"/>
    <n v="7"/>
    <n v="7"/>
    <n v="6.3"/>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5600"/>
    <n v="5075"/>
    <n v="6.3"/>
    <s v="APROBADO"/>
    <s v="APROBADO"/>
    <n v="6.4"/>
    <s v="APROBADO"/>
    <s v="NO"/>
    <n v="6.6"/>
    <s v="NO"/>
    <s v="NO APLICA "/>
    <s v="NO"/>
    <s v="NO APLICA"/>
    <s v="NO APLICA"/>
    <s v="NO APLICA"/>
    <x v="0"/>
    <s v=""/>
    <s v="NO APLICA"/>
    <s v="NO"/>
    <s v="NO APLICA"/>
    <s v="NO APLICA"/>
    <s v="NO"/>
    <n v="17"/>
    <n v="33"/>
    <s v="NO"/>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232950-6"/>
    <s v="INSTITUTO DE CALIDAD Y MEDIOAMBIENTE DE CHILE IGNACIO JAVIER CARO AGUILERA E.I.R.L"/>
    <n v="80"/>
    <n v="20"/>
    <n v="6700"/>
    <n v="0"/>
    <n v="0"/>
    <n v="8576000"/>
    <n v="1280000"/>
    <n v="0"/>
    <n v="0"/>
    <n v="0"/>
    <n v="9856000"/>
    <x v="0"/>
    <n v="0"/>
    <n v="1"/>
    <n v="7"/>
    <n v="0"/>
    <n v="0"/>
    <n v="0"/>
    <n v="0"/>
    <n v="0"/>
    <n v="0"/>
    <n v="0"/>
    <n v="7"/>
    <n v="7"/>
    <n v="7"/>
    <n v="7"/>
    <n v="7"/>
    <n v="6.7"/>
    <n v="6.4"/>
    <s v="NO"/>
    <s v="JUDITH TORO"/>
    <s v="judith.toro@icmchile.cl"/>
    <n v="946133009"/>
    <s v="La Marquesita 3962, Renca"/>
    <n v="0"/>
    <n v="0"/>
    <n v="0"/>
    <n v="0"/>
    <n v="0"/>
    <n v="0"/>
    <n v="0"/>
    <n v="0"/>
    <n v="0"/>
    <n v="0"/>
    <n v="0"/>
    <n v="0"/>
    <n v="0"/>
    <n v="0"/>
    <n v="0"/>
    <n v="0"/>
    <n v="0"/>
    <n v="0"/>
    <s v="SSH"/>
    <s v="SI"/>
    <s v="NO"/>
    <n v="0"/>
    <n v="0"/>
    <n v="0"/>
    <n v="0"/>
    <n v="0"/>
    <n v="0"/>
    <n v="0"/>
    <n v="0"/>
    <n v="0"/>
    <n v="0"/>
    <s v="SI"/>
    <n v="0"/>
    <s v="SI"/>
    <n v="0"/>
    <s v="SI"/>
    <n v="0"/>
    <n v="0.1"/>
    <n v="0.70000000000000007"/>
    <s v="SI"/>
    <n v="0"/>
    <n v="0"/>
    <n v="0"/>
    <n v="7.0000000000000009"/>
    <n v="7.0000000000000009"/>
    <n v="6700"/>
    <n v="6373"/>
    <n v="6.7"/>
    <s v="APROBADO"/>
    <s v="APROBADO"/>
    <n v="6.4"/>
    <s v="APROBADO"/>
    <s v="NO"/>
    <n v="7"/>
    <s v="NO"/>
    <s v="NO APLICA "/>
    <s v="NO"/>
    <s v="NO APLICA"/>
    <s v="NO APLICA"/>
    <s v="NO APLICA"/>
    <x v="0"/>
    <s v=""/>
    <s v="NO APLICA"/>
    <s v="NO"/>
    <s v="NO APLICA"/>
    <s v="NO APLICA"/>
    <s v="NO"/>
    <n v="17"/>
    <n v="125"/>
    <s v="NO"/>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87730100-1"/>
    <s v="CENTRO TECNICO INDURA LIMITADA"/>
    <n v="272"/>
    <n v="68"/>
    <n v="6300"/>
    <n v="250000"/>
    <n v="250000"/>
    <n v="23990400"/>
    <n v="3808000"/>
    <n v="3500000"/>
    <n v="0"/>
    <n v="3500000"/>
    <n v="34798400"/>
    <x v="1"/>
    <s v="NUMERAL 6.1.2. ÍTEM 7 - OTEC ADJUNTA ANEXO DE PROPUESTA, SIN EMBARGO, NO ADJUNTA EL ANEXO 3 CORRESPONDIENTE AL CURSO. _x000a_NUMERAL 6.1.2. ÍTEM 11: NO PRESENTA FOTOS QUE ACREDITEN LAS CARACTERISTICAS DESCRITAS EN LA PROPUESTA, NO PRESENTA MODELO CARTA COMPROMISO DE INFRAESTRUCTURA"/>
    <n v="0"/>
    <n v="0"/>
    <n v="0"/>
    <n v="0"/>
    <n v="0"/>
    <n v="0"/>
    <n v="0"/>
    <n v="0"/>
    <n v="0"/>
    <n v="0"/>
    <n v="0"/>
    <n v="0"/>
    <n v="0"/>
    <n v="0"/>
    <n v="0"/>
    <n v="0"/>
    <s v="NO"/>
    <s v="Viviana Díaz Salazar"/>
    <s v="DIAZSAVC@airproducts.com"/>
    <n v="225303178"/>
    <s v="Por confirmar,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6300"/>
    <n v="5000"/>
    <s v="NO APLICA"/>
    <s v="NO APLICA"/>
    <s v="NO APLICA"/>
    <s v="NO APLICA"/>
    <s v="NO APLICA"/>
    <s v="NO"/>
    <s v="NO APLICA"/>
    <s v="NO APLICA"/>
    <s v="NO APLICA "/>
    <s v="NO"/>
    <s v="NO APLICA"/>
    <s v="NO APLICA"/>
    <s v="NO APLICA"/>
    <x v="0"/>
    <s v=""/>
    <s v="NO APLICA"/>
    <s v="NO"/>
    <s v="NO APLICA"/>
    <s v="NO APLICA"/>
    <s v="NO"/>
    <n v="8"/>
    <n v="125"/>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San Francisco 126,,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0"/>
    <n v="0"/>
    <s v="SI"/>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PARRAL 1398,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0"/>
    <n v="0"/>
    <s v="SI"/>
    <n v="0"/>
    <m/>
    <m/>
    <m/>
    <m/>
    <m/>
  </r>
  <r>
    <x v="10"/>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SAN PABL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703557-6"/>
    <s v="NAEDU LTD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EDUARDO VASQUEZ"/>
    <s v="naedultda@gmail.com"/>
    <n v="992269593"/>
    <s v="COLON, San Pabl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0"/>
    <n v="0"/>
    <s v="SI"/>
    <n v="0"/>
    <m/>
    <m/>
    <m/>
    <m/>
    <m/>
  </r>
  <r>
    <x v="8"/>
    <s v="SOFOFA"/>
    <n v="2025"/>
    <s v="MANDATO"/>
    <s v="65181652-1"/>
    <s v="SOFOFA"/>
    <s v="70417500-0"/>
    <s v="CORPORACION DE CAPACITACION Y EMPLEO SOFOFA (LICEOS)"/>
    <s v="CONTROL DE CALIDAD EN LA INDUSTRIA ALIMENTARIA"/>
    <s v="SIN PLAN FORMATIVO"/>
    <n v="0"/>
    <s v=""/>
    <n v="13"/>
    <n v="0"/>
    <s v="SANTIAGO"/>
    <s v="ESTUDIANTES DE CUARTO AÑO DE ENSEÑANZA MEDIA O DE LICEOS TÉCNICOS PROFESIONALES."/>
    <s v="PRESENCIAL"/>
    <s v="DEPENDIENTE"/>
    <s v="02. LUNES - TARDE / 05. MARTES - TARDE / 08. MIÉRCOLES - TARDE / 11. JUEVES - TARDE / 14. VIERNES - TARDE"/>
    <n v="15"/>
    <n v="0"/>
    <n v="0"/>
    <n v="160"/>
    <n v="5"/>
    <s v="SI"/>
    <s v="NO"/>
    <s v="NO"/>
    <s v="- Aplicar normas del Reglamento Sanitario de los Alimentos (RSA) y la Ley 20.606 sobre_x000a_etiquetado nutricional._x000a_- Reconocer y aplicar Buenas Prácticas de Manufactura (BPM) en procesos productivos_x000a_alimentarios._x000a_- Implementar principios del sistema HACCP para el control de peligros alimentarios._x000a_- Manejar herramientas e instrumentos de medición para evaluación sensorial,_x000a_fisicoquímica y microbiológica básica._x000a_- Interpretar y registrar resultados de control de calidad, reportando no conformidades_x000a_según protocolos establecidos._x000a_- Aplicar criterios de auditoría y trazabilidad conforme a estándares ISO 22000 y BRC Food."/>
    <s v="HOMBRES Y MUJERES, ESTUDIANTES DE CUARTO AÑO MEDIO DE LICEOS TECNICO PROFESIONAL DE LA COMUNA DE SANTIAGOL, CON ENSEÑANZA MEDIA COMPLETA PREFERENTEMENTE"/>
    <s v="NO"/>
    <n v="0"/>
    <s v="CERRADA"/>
    <n v="32"/>
    <n v="3"/>
    <s v="76272762-5"/>
    <s v="Lilian Rosario Rivas Avila Capacitación en el Trabajo EIRL"/>
    <n v="160"/>
    <n v="32"/>
    <n v="6373"/>
    <n v="0"/>
    <n v="0"/>
    <n v="15295200"/>
    <n v="1920000"/>
    <n v="0"/>
    <n v="0"/>
    <n v="0"/>
    <n v="17215200"/>
    <x v="0"/>
    <n v="0"/>
    <n v="1"/>
    <n v="7"/>
    <n v="7"/>
    <n v="7"/>
    <n v="7"/>
    <n v="7"/>
    <n v="7"/>
    <n v="7"/>
    <n v="7"/>
    <n v="7"/>
    <n v="7"/>
    <n v="7"/>
    <n v="7"/>
    <n v="7"/>
    <n v="7"/>
    <n v="6.4"/>
    <s v="NO"/>
    <s v="Lilian Rosario Rivas Avila"/>
    <s v="vanguardiaotec@gmail.com"/>
    <n v="985200533"/>
    <s v="avenida padre alonso de Ovalle 1638, Santiago"/>
    <n v="0"/>
    <n v="0"/>
    <n v="0"/>
    <n v="0"/>
    <n v="0"/>
    <n v="0"/>
    <n v="0"/>
    <n v="0"/>
    <n v="0"/>
    <n v="0"/>
    <n v="0"/>
    <n v="0"/>
    <n v="0"/>
    <n v="0"/>
    <n v="0"/>
    <n v="0"/>
    <n v="0"/>
    <n v="0"/>
    <s v="SSH"/>
    <s v="NO"/>
    <s v="SI"/>
    <n v="0"/>
    <n v="0"/>
    <n v="0"/>
    <n v="0"/>
    <n v="0"/>
    <n v="0"/>
    <n v="0"/>
    <n v="0"/>
    <n v="0"/>
    <n v="0"/>
    <s v="SI"/>
    <n v="0"/>
    <s v="SI"/>
    <n v="0"/>
    <s v="SI"/>
    <n v="0"/>
    <n v="0.1"/>
    <n v="0.70000000000000007"/>
    <s v="NO"/>
    <n v="7"/>
    <n v="7"/>
    <n v="7"/>
    <n v="7.0000000000000009"/>
    <n v="7.0000000000000009"/>
    <n v="6373"/>
    <n v="6373"/>
    <n v="7"/>
    <s v="APROBADO"/>
    <s v="APROBADO"/>
    <n v="6.4"/>
    <s v="APROBADO"/>
    <s v="NO"/>
    <n v="7"/>
    <s v="NO"/>
    <s v="NO APLICA "/>
    <s v="NO"/>
    <s v="NO APLICA"/>
    <s v="NO APLICA"/>
    <s v="NO APLICA"/>
    <x v="0"/>
    <s v=""/>
    <s v="NO APLICA"/>
    <s v="NO"/>
    <s v="NO APLICA"/>
    <s v="NO APLICA"/>
    <s v="NO"/>
    <n v="11"/>
    <n v="125"/>
    <s v="NO"/>
    <n v="0"/>
    <m/>
    <m/>
    <m/>
    <m/>
    <m/>
  </r>
  <r>
    <x v="12"/>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FRESIA"/>
    <s v="ESTUDIANTES DE CUARTO AÑO DE ENSEÑANZA MEDIA O DE LICEOS TÉCNICOS PROFESIONALES."/>
    <s v="PRESENCIAL"/>
    <s v="DEPENDIENTE"/>
    <s v="10. JUEV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CARLOS IBÁÑEZ DEL CAMPO DE FRESIA.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l Jardín S/N, Fresia, Fresia"/>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0"/>
    <n v="0"/>
    <s v="SI"/>
    <n v="0"/>
    <m/>
    <m/>
    <m/>
    <m/>
    <m/>
  </r>
  <r>
    <x v="11"/>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10"/>
    <n v="0"/>
    <s v="OSORNO"/>
    <s v="ESTUDIANTES DE CUARTO AÑO DE ENSEÑANZA MEDIA O DE LICEOS TÉCNICOS PROFESIONALES."/>
    <s v="PRESENCIAL"/>
    <s v="DEPENDIENTE"/>
    <s v="07. MIÉRCOL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ADOLFO MATTHEI EN OSORNO.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Amengual 585, Osorno, Osorno"/>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0"/>
    <n v="0"/>
    <s v="SI"/>
    <n v="0"/>
    <m/>
    <m/>
    <m/>
    <m/>
    <m/>
  </r>
  <r>
    <x v="9"/>
    <s v="SOFOFA"/>
    <n v="2025"/>
    <s v="MANDATO"/>
    <s v="65181652-1"/>
    <s v="SOFOFA"/>
    <s v="53333861-5"/>
    <s v="FUNDACIÓN DE BENEFICENCIA PÚBLICA, CIENTÍFICA Y EDUCACIONAL TRES HOJAS"/>
    <s v="INTEGRACIÓN DE COMPETENCIAS ESPECIALIZADAS DE PRODUCCIÓN LECHERA, EN LA FORMACIÓN DE TÉCNICOS AGROPECUARIOS."/>
    <s v="SIN PLAN FORMATIVO"/>
    <s v="APRESTO LABORAL PARA EL TRABAJO"/>
    <s v="PF0916"/>
    <n v="0"/>
    <n v="0"/>
    <s v="PUYEHUE"/>
    <s v="ESTUDIANTES DE CUARTO AÑO DE ENSEÑANZA MEDIA O DE LICEOS TÉCNICOS PROFESIONALES."/>
    <s v="PRESENCIAL"/>
    <s v="DEPENDIENTE"/>
    <s v="04. MARTES - MAÑANA"/>
    <n v="20"/>
    <n v="0"/>
    <n v="0"/>
    <n v="224"/>
    <n v="8"/>
    <s v="SI"/>
    <s v="NO"/>
    <s v="NO"/>
    <s v="1.- EL ALUMNO SERÁ CAPAZ DE APLICAR LOS PROCEDIMIENTOS DE MANEJO DE BIENESTAR ANIMAL EN PLANTELES DE PRODUCCIÓN PECUARIA. APRENDIZAJES ESPECÍFICOS MÓDULO 1:_x000a_A) IDENTIFICAR LAS NORMATIVAS NACIONALES E INTERNACIONALES DE BIENESTAR ANIMAL_x000a_B) RECONOCER LOS INDICADORES DE EVALUACIÓN DE BIENESTAR ANIMAL._x000a_C) APLICAR LOS PROCEDIMIENTOS DE BIENESTAR ANIMAL EN PLANTELES DE PRODUCCIÓN PECUARIA._x000a_D) APLICAR PROCEDIMIENTOS DE EVALUACIÓN DE BIENESTAR ANIMAL EN PLANTELES DE PRODUCCIÓN PECUARIA._x000a__x000a_2.- EL PARTICIPANTE SERÁ CAPAZ DE APLICAR TÉCNICAS PREDIALES ORIENTADAS AL PASTOREO EFICIENTE DE BOVINOS. APRENDIZAJES ESPECÍFICOS MÓDULO 2:_x000a_A) IDENTIFICAR ASPECTOS GENERALES DE SUELOS Y PRADERAS_x000a_B) RECONOCER LA ANATOMÍA Y FISIOLOGÍA VEGETAL DE LAS PRINCIPALES PLANTAS FORRAJERAS_x000a_C) ANALIZAR LAS CARACTERÍSTICAS DE LA MATERIA SECA Y SU CONSUMO_x000a_D) APLICAR LOS INDICADORES DE CALIDAD DE PRADERA_x000a_E) APLICAR MÉTODOS DE MEDICIÓN DE MATERIA SECA_x000a_F) APLICAR LOS PROCEDIMIENTOS DE PLANIFICACIÓN DE LABORES DE PASTOREO_x000a__x000a_3.- EL PARTICIPANTE SERÁ CAPAZ DE APLICAR PROCEDIMIENTOS ORIENTADOS A PREVENIR LA MASTITIS DURANTE EL PROCESO DE RUTINA DE ORDEÑO Y MEJORAR LA CALIDAD DE LECHE A TRAVÉS DE LA RUTINA DE ORDEÑA._x000a_APRENDIZAJES ESPECÍFICOS MÓDULO 3:_x000a_A) IDENTIFICAR ESTRUCTURAS CLAVE DE LA GLÁNDULA MAMARIA_x000a_B) RECONOCER FACTORES QUE PREDISPONEN LA APARICIÓN DE INFECCIONES INTRAMAMARIAS_x000a_C) APLICAR PROCEDIMIENTOS DE PREVENCIÓN DE LAS INFECCIONES INTRAMAMARIAS_x000a_D) APLICAR TRATAMIENTO DE LAS DIFERENTES PATOLOGÍAS DE LA GLÁNDULA MAMARIA_x000a_E) APLICAR HERRAMIENTAS DE DIAGNÓSTICO DE SALUD MAMARIA_x000a_F) CUANTIFICAR LOS PRINCIPALES INDICADORES DE SALUD MAMARIA_x000a__x000a__x000a_4.- EL PARTICIPANTE SERÁ CAPAZ DE APLICAR TÉCNICAS DE MANEJO REPRODUCTIVO EN VACAS LECHERAS_x000a_APRENDIZAJES ESPECÍFICOS MÓDULO 4:_x000a_A) IDENTIFICAR LAS PRINCIPALES ESTRUCTURAS DEL APARATO REPRODUCTOR DE LA HEMBRA Y MACHO BOVINO_x000a_B) RECONOCER EL CICLO ESTRAL DE LA HEMBRA BOVINA Y SUS MÉTODOS DE CONTROL HORMONAL_x000a_C) APLICAR MANEJOS REPRODUCTIVOS EN HEMBRAS BOVINAS_x000a_D) MEDIR ÍNDICES REPRODUCTIVOS EN HEMBRAS BOVINAS_x000a__x000a_5.- EL PARTICIPANTE SERÁ CAPAZ DE APLICAR PROCEDIMIENTOS DE ATENCIÓN DE PARTOS DE ACUERDO A PROTOCOLOS DE MANEJO DE PARTOS EN HEMBRAS BOVINAS. APRENDIZAJES ESPECÍFICOS MÓDULO 5:_x000a_A) IDENTIFICAR LA IMPORTANCIA DEL PREPARTO Y MANEJOS A REALIZAR EN ESTE PERIODO._x000a_B) RECONOCER EL DESARROLLO NORMAL DEL PARTO EN UNA HEMBRA BOVINA._x000a_C) ANALIZAR LA PRESENTACIÓN DE UN PARTO DISTÓCICO Y REALIZAR MANIOBRAS CORRECTIVAS OPORTUNAS._x000a__x000a_6.- EL PARTICIPANTE SERÁ CAPAZ DE APLICAR PROCEDIMIENTOS DE MANEJO DEL TERNERO RECIÉN NACIDO DE ACUERDO A PROTOCOLOS DE CRIANZA DE TERNEROS. APRENDIZAJES ESPECÍFICOS MÓDULO 6:_x000a_A) IDENTIFICAR LOS PROCEDIMIENTOS DE ATENCIÓN DE TERNEROS RECIÉN NACIDOS._x000a_B) RECONOCER LA FUNCIÓN DEL CALOSTRO EN TERNEROS RECIÉN NACIDO._x000a_C) ANALIZAR LA CALIDAD DEL CALOSTRO E INMUNIDAD TRANSFERIDA AL TERNERO._x000a_D) EJECUTAR MANEJOS COMPLEMENTARIOS EN TERNEROS RECIÉN NACIDOS._x000a__x000a_7.- EL PARTICIPANTE SERÁ CAPAZ DE APLICAR TÉCNICAS DE ALIMENTACIÓN DE TERNEROS Y ANALIZAR LA INFRAESTRUCTURA NECESARIA PARA LA CRIANZA ARTIFICIAL DE TERNEROS. APRENDIZAJES ESPECÍFICOS MÓDULO 7:_x000a_A) EL PARTICIPANTE SERÁ CAPAZ DE CONOCER LOS PRINCIPALES REQUERIMIENTOS DE ALIMENTACIÓN DE UN TERNERO DURANTE LA ETAPA DE CRIANZA EN UN SISTEMA PRODUCTIVO LECHERO._x000a_B) EL PARTICIPANTE SERÁ CAPAZ DE OPERAR LAS PRINCIPALES ESTRATEGIAS PARA LA CORRECTA PREPARACIÓN DE UN SUSTITUTO LÁCTEO Y CORRECTA LIMPIEZA DE LOS UTENSILIOS UTILIZADOS EN LA ALIMENTACIÓN DE TERNEROS_x000a_C) EL PARTICIPANTE SERÁ CAPAZ DE APLICAR LOS ALIMENTOS LÍQUIDOS Y SÓLIDOS EN LA CRIANZA DE TERNEROS DE LECHERÍA_x000a_D) EL PARTICIPANTE SERÁ CAPAZ DE EVALUAR LOS PRINCIPALES CRITERIOS PARA EL DESTETE DE UN TERNERO DE LECHERÍA_x000a_8.- EL PARTICIPANTE SERÁ CAPAZ DE APLICAR TÉCNICAS DE AGRICULTURA REGENERATIVA ORIENTADAS A PRODUCTORES LECHEROS. APRENDIZAJES ESPECÍFICOS MÓDULO 8:_x000a_A) RECONOCER LOS CONCEPTOS GENERALES DE LA AGRICULTURA REGENERATIVA_x000a_B) APLICAR LOS CINCO PILARES DE LA AGRICULTURA REGENERATIVA_x000a_C) APLICAR ESTRATEGIAS ECONÓMICAS DE LA PRODUCCIÓN LECHERA_x000a__x000a_9.- PREVENCIÓN Y TRATAMIENTO DE PRINCIPALES ENFERMEDADES EN BOVINOS DE CARNE Y LECHE, NIVEL INICIAL. APRENDIZAJES ESPECÍFICOS MÓDULO 9:_x000a_A) RECONOCER ANIMAL SANO Y ANIMAL ENFERMO._x000a_B) TOMAR CONSTANTES FISIOLÓGICAS DEL BOVINO._x000a_C) INTRODUCCIÓN A LA MASTITIS: CAUSA, IDENTIFICACIÓN, PREVENCIÓN, TRATAMIENTO, REGISTRO._x000a_D) HIPOCALCEMIA: CAUSA, IDENTIFICACIÓN, PREVENCIÓN, TRATAMIENTO, REGISTRO._x000a_E) HIPOMAGNESEMIA: CAUSA, IDENTIFICACIÓN, PREVENCIÓN, TRATAMIENTO, REGISTRO._x000a_F) METRITIS: CAUSA, IDENTIFICACIÓN, PREVENCIÓN, TRATAMIE"/>
    <s v="JÓVENES DE IV° MEDIO DE LICEO BICENTENARIO PEOPLE HELP PEOPLE PILMAIQUÉN (PUYEHUE). ENTRE LOS REQUISITOS QUE DEBEN TENER LOS OTEC PARA PODER POSTULAR:_x000a_1 - Sala de simulación de partos con modelo a escala real de hembra bovina para partos distócicos._x000a_2 - Acceso a predios lecheros y salas de ordeña._x000a_3 - Acceso a predios que implementen agricultura regenerativa"/>
    <s v="NO"/>
    <n v="0"/>
    <s v="CERRADA"/>
    <n v="28"/>
    <n v="3"/>
    <s v="77153644-1"/>
    <s v="CAPACITACIONES SINAPSIS SPA"/>
    <n v="224"/>
    <n v="28"/>
    <n v="6373"/>
    <n v="0"/>
    <n v="0"/>
    <n v="28551040"/>
    <n v="2240000"/>
    <n v="0"/>
    <n v="0"/>
    <n v="0"/>
    <n v="30791040"/>
    <x v="1"/>
    <s v="NUMERAL 6.1.2. ÍTEM 2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
    <n v="0"/>
    <n v="0"/>
    <n v="0"/>
    <n v="0"/>
    <n v="0"/>
    <n v="0"/>
    <n v="0"/>
    <n v="0"/>
    <n v="0"/>
    <n v="0"/>
    <n v="0"/>
    <n v="0"/>
    <n v="0"/>
    <n v="0"/>
    <n v="0"/>
    <n v="0"/>
    <s v="NO"/>
    <s v="CAROLINA ANDREA GONZALEZ MIRANDA"/>
    <s v="c.gonzalez.miranda8@gmail.com"/>
    <n v="979296762"/>
    <s v="Entre Lagos S/N, Puyehue, Puyehue"/>
    <n v="0"/>
    <n v="0"/>
    <n v="0"/>
    <n v="0"/>
    <n v="0"/>
    <n v="0"/>
    <n v="0"/>
    <n v="0"/>
    <n v="0"/>
    <n v="0"/>
    <n v="0"/>
    <n v="0"/>
    <n v="0"/>
    <n v="0"/>
    <n v="0"/>
    <n v="0"/>
    <n v="0"/>
    <n v="0"/>
    <s v="SSH"/>
    <s v="NO"/>
    <s v="NO"/>
    <n v="0"/>
    <n v="0"/>
    <n v="0"/>
    <n v="0"/>
    <n v="0"/>
    <n v="0"/>
    <n v="0"/>
    <n v="0"/>
    <n v="0"/>
    <n v="0"/>
    <s v="NO"/>
    <n v="0"/>
    <s v="NO"/>
    <s v="NO APLICA"/>
    <s v="NO"/>
    <s v="NO APLICA"/>
    <s v="NO APLICA"/>
    <s v="NO APLICA"/>
    <s v="NO"/>
    <n v="0"/>
    <n v="0"/>
    <s v="NO APLICA"/>
    <s v="NO APLICA"/>
    <s v="NO APLICA"/>
    <n v="6373"/>
    <n v="7434"/>
    <s v="NO APLICA"/>
    <s v="NO APLICA"/>
    <s v="NO APLICA"/>
    <s v="NO APLICA"/>
    <s v="NO APLICA"/>
    <s v="NO"/>
    <s v="NO APLICA"/>
    <s v="NO APLICA"/>
    <s v="NO APLICA "/>
    <s v="NO"/>
    <s v="NO APLICA"/>
    <s v="NO APLICA"/>
    <s v="NO APLICA"/>
    <x v="0"/>
    <s v=""/>
    <s v="NO APLICA"/>
    <s v="NO"/>
    <s v="NO APLICA"/>
    <s v="NO APLICA"/>
    <s v="NO"/>
    <n v="0"/>
    <n v="0"/>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76773018-7"/>
    <s v="Servicio de capacitación y formación de personas TEKNÉ SpA"/>
    <n v="272"/>
    <n v="68"/>
    <n v="5075"/>
    <n v="250000"/>
    <n v="250000"/>
    <n v="19325600"/>
    <n v="3808000"/>
    <n v="3500000"/>
    <n v="0"/>
    <n v="3500000"/>
    <n v="30133600"/>
    <x v="1"/>
    <s v="NUMERAL 6.1.2. ÍTEM 1 - NO ADJUNTA ANEXO DE PROPUESTA PARA EL CURSO 14389."/>
    <n v="0"/>
    <n v="0"/>
    <n v="0"/>
    <n v="0"/>
    <n v="0"/>
    <n v="0"/>
    <n v="0"/>
    <n v="0"/>
    <n v="0"/>
    <n v="0"/>
    <n v="0"/>
    <n v="0"/>
    <n v="0"/>
    <n v="0"/>
    <n v="0"/>
    <n v="0"/>
    <s v="NO"/>
    <s v="Elizabeth Sepúlveda Moya"/>
    <s v="otec.tekne@gmail.com"/>
    <n v="995011989"/>
    <s v="LA HACIENDA 1549, Renca"/>
    <n v="0"/>
    <n v="0"/>
    <n v="0"/>
    <n v="0"/>
    <n v="0"/>
    <n v="0"/>
    <n v="0"/>
    <n v="0"/>
    <n v="0"/>
    <n v="0"/>
    <n v="0"/>
    <n v="0"/>
    <n v="0"/>
    <n v="0"/>
    <n v="0"/>
    <n v="0"/>
    <n v="0"/>
    <n v="0"/>
    <s v="SHMAN"/>
    <s v="SI"/>
    <s v="NO"/>
    <n v="0"/>
    <n v="0"/>
    <n v="0"/>
    <n v="0"/>
    <n v="0"/>
    <n v="0"/>
    <n v="0"/>
    <n v="0"/>
    <n v="0"/>
    <n v="0"/>
    <s v="NO"/>
    <n v="0"/>
    <s v="SI"/>
    <s v="NO APLICA"/>
    <s v="SI"/>
    <s v="NO APLICA"/>
    <s v="NO APLICA"/>
    <s v="NO APLICA"/>
    <s v="SI"/>
    <n v="0"/>
    <n v="0"/>
    <s v="NO APLICA"/>
    <s v="NO APLICA"/>
    <s v="NO APLICA"/>
    <n v="5075"/>
    <n v="5000"/>
    <s v="NO APLICA"/>
    <s v="NO APLICA"/>
    <s v="NO APLICA"/>
    <s v="NO APLICA"/>
    <s v="NO APLICA"/>
    <s v="NO"/>
    <s v="NO APLICA"/>
    <s v="NO APLICA"/>
    <s v="NO APLICA "/>
    <s v="NO"/>
    <s v="NO APLICA"/>
    <s v="NO APLICA"/>
    <s v="NO APLICA"/>
    <x v="0"/>
    <s v=""/>
    <s v="NO APLICA"/>
    <s v="NO"/>
    <s v="NO APLICA"/>
    <s v="NO APLICA"/>
    <s v="NO"/>
    <n v="10"/>
    <n v="125"/>
    <s v="NO"/>
    <n v="0"/>
    <m/>
    <m/>
    <m/>
    <m/>
    <m/>
  </r>
  <r>
    <x v="0"/>
    <s v="SOFOFA"/>
    <n v="2025"/>
    <s v="MANDATO"/>
    <s v="65181652-1"/>
    <s v="SOFOFA"/>
    <s v="65140022-8"/>
    <s v="FUTURO DEL TRABAJO"/>
    <s v="ASISTENCIA EN EL MANTENIMIENTO ELÉCTRICO DE BAJA TENSIÓN"/>
    <s v="PF0638"/>
    <s v=""/>
    <s v=""/>
    <n v="13"/>
    <n v="0"/>
    <s v="RENCA"/>
    <s v="ESTUDIANTES DE CUARTO AÑO DE ENSEÑANZA MEDIA O DE LICEOS TÉCNICOS PROFESIONALES."/>
    <s v="PRESENCIAL"/>
    <s v="DEPENDIENTE"/>
    <s v="03. LUNES - VESPERTINO / 06. MARTES - VESPERTINO / 09. MIÉRCOLES - VESPERTINO / 12. JUEVES - VESPERTINO / 15. VIERNES - VESPERTINO"/>
    <n v="16"/>
    <n v="110"/>
    <n v="0"/>
    <n v="11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8"/>
    <n v="2"/>
    <s v="76014819-9"/>
    <s v="ID Capacitación Ltda."/>
    <n v="110"/>
    <n v="28"/>
    <n v="5075"/>
    <n v="0"/>
    <n v="0"/>
    <n v="8932000"/>
    <n v="1792000"/>
    <n v="0"/>
    <n v="0"/>
    <n v="0"/>
    <n v="10724000"/>
    <x v="1"/>
    <s v="NUMERAL 6.1.2. ÍTEM 11: NO PRESENTA FOTOS QUE ACREDITEN LAS CARACTERISTICAS DESCRITAS EN LA PROPUESTA"/>
    <n v="0"/>
    <n v="0"/>
    <n v="0"/>
    <n v="0"/>
    <n v="0"/>
    <n v="0"/>
    <n v="0"/>
    <n v="0"/>
    <n v="0"/>
    <n v="0"/>
    <n v="0"/>
    <n v="0"/>
    <n v="0"/>
    <n v="0"/>
    <n v="0"/>
    <n v="0"/>
    <s v="NO"/>
    <s v="Luis Alejandro Pizarro Mora"/>
    <s v="alejandro@idconsulting.cl"/>
    <n v="93454013"/>
    <s v="La Marquesita 3962,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5075"/>
    <n v="5075"/>
    <s v="NO APLICA"/>
    <s v="NO APLICA"/>
    <s v="NO APLICA"/>
    <s v="NO APLICA"/>
    <s v="NO APLICA"/>
    <s v="NO"/>
    <s v="NO APLICA"/>
    <s v="NO APLICA"/>
    <s v="NO APLICA "/>
    <s v="NO"/>
    <s v="NO APLICA"/>
    <s v="NO APLICA"/>
    <s v="NO APLICA"/>
    <x v="0"/>
    <s v=""/>
    <s v="NO APLICA"/>
    <s v="NO"/>
    <s v="NO APLICA"/>
    <s v="NO APLICA"/>
    <s v="NO"/>
    <n v="0"/>
    <n v="0"/>
    <s v="SI"/>
    <n v="0"/>
    <m/>
    <m/>
    <m/>
    <m/>
    <m/>
  </r>
  <r>
    <x v="3"/>
    <s v="SOFOFA"/>
    <n v="2025"/>
    <s v="MANDATO"/>
    <s v="65181652-1"/>
    <s v="SOFOFA"/>
    <s v="65140022-8"/>
    <s v="FUTURO DEL TRABAJO"/>
    <s v="PROCESOS LOGÍSTICOS EN BODEGAS, CENTROS DE DISTRIBUCIÓN Y CENTROS DE TRANSFERENCIA"/>
    <s v="PF1444"/>
    <n v="0"/>
    <s v=""/>
    <n v="13"/>
    <n v="0"/>
    <s v="RENCA"/>
    <s v="ESTUDIANTES DE CUARTO AÑO DE ENSEÑANZA MEDIA O DE LICEOS TÉCNICOS PROFESIONALES."/>
    <s v="PRESENCIAL"/>
    <s v="DEPENDIENTE"/>
    <s v="03. LUNES - VESPERTINO / 06. MARTES - VESPERTINO / 09. MIÉRCOLES - VESPERTINO / 12. JUEVES - VESPERTINO / 15. VIERNES - VESPERTINO"/>
    <n v="16"/>
    <n v="80"/>
    <n v="0"/>
    <n v="80"/>
    <n v="4"/>
    <s v="SI"/>
    <s v="NO"/>
    <s v="NO"/>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s v="NO"/>
    <n v="0"/>
    <s v="CERRADA"/>
    <n v="20"/>
    <n v="3"/>
    <s v="76014819-9"/>
    <s v="ID Capacitación Ltda."/>
    <n v="80"/>
    <n v="20"/>
    <n v="6373"/>
    <n v="0"/>
    <n v="0"/>
    <n v="8157440"/>
    <n v="1280000"/>
    <n v="0"/>
    <n v="0"/>
    <n v="0"/>
    <n v="9437440"/>
    <x v="1"/>
    <s v="NUMERAL 6.1.2. ÍTEM 11: NO PRESENTA FOTOS QUE ACREDITEN LAS CARACTERISTICAS DESCRITAS EN LA PROPUESTA"/>
    <n v="0"/>
    <n v="0"/>
    <n v="0"/>
    <n v="0"/>
    <n v="0"/>
    <n v="0"/>
    <n v="0"/>
    <n v="0"/>
    <n v="0"/>
    <n v="0"/>
    <n v="0"/>
    <n v="0"/>
    <n v="0"/>
    <n v="0"/>
    <n v="0"/>
    <n v="0"/>
    <s v="NO"/>
    <s v="Luis Alejandro Pizarro Mora"/>
    <s v="alejandro@idconsulting.cl"/>
    <n v="93454013"/>
    <s v="Av. Domingo Sta. María 2704, Renca"/>
    <n v="0"/>
    <n v="0"/>
    <n v="0"/>
    <n v="0"/>
    <n v="0"/>
    <n v="0"/>
    <n v="0"/>
    <n v="0"/>
    <n v="0"/>
    <n v="0"/>
    <n v="0"/>
    <n v="0"/>
    <n v="0"/>
    <n v="0"/>
    <n v="0"/>
    <n v="0"/>
    <n v="0"/>
    <n v="0"/>
    <s v="SSH"/>
    <s v="SI"/>
    <s v="NO"/>
    <n v="0"/>
    <n v="0"/>
    <n v="0"/>
    <n v="0"/>
    <n v="0"/>
    <n v="0"/>
    <n v="0"/>
    <n v="0"/>
    <n v="0"/>
    <n v="0"/>
    <s v="NO"/>
    <n v="0"/>
    <s v="NO"/>
    <s v="NO APLICA"/>
    <s v="NO"/>
    <s v="NO APLICA"/>
    <s v="NO APLICA"/>
    <s v="NO APLICA"/>
    <s v="SI"/>
    <n v="0"/>
    <n v="0"/>
    <s v="NO APLICA"/>
    <s v="NO APLICA"/>
    <s v="NO APLICA"/>
    <n v="6373"/>
    <n v="6373"/>
    <s v="NO APLICA"/>
    <s v="NO APLICA"/>
    <s v="NO APLICA"/>
    <s v="NO APLICA"/>
    <s v="NO APLICA"/>
    <s v="NO"/>
    <s v="NO APLICA"/>
    <s v="NO APLICA"/>
    <s v="NO APLICA "/>
    <s v="NO"/>
    <s v="NO APLICA"/>
    <s v="NO APLICA"/>
    <s v="NO APLICA"/>
    <x v="0"/>
    <s v=""/>
    <s v="NO APLICA"/>
    <s v="NO"/>
    <s v="NO APLICA"/>
    <s v="NO APLICA"/>
    <s v="NO"/>
    <n v="0"/>
    <n v="0"/>
    <s v="SI"/>
    <n v="0"/>
    <m/>
    <m/>
    <m/>
    <m/>
    <m/>
  </r>
  <r>
    <x v="4"/>
    <s v="SOFOFA"/>
    <n v="2025"/>
    <s v="MANDATO"/>
    <s v="65181652-1"/>
    <s v="SOFOFA"/>
    <s v="65140022-8"/>
    <s v="FUTURO DEL TRABAJO"/>
    <s v="TÉCNICAS DE SOLDADURA POR OXIGÁS, ARCO VOLTAICO, TIG Y MIG"/>
    <s v="PF0622"/>
    <s v="TÉCNICAS PARA EL EMPRENDIMIENTO"/>
    <s v="PF0921"/>
    <n v="13"/>
    <n v="0"/>
    <s v="RENCA"/>
    <s v="ESTUDIANTES DE CUARTO AÑO DE ENSEÑANZA MEDIA O DE LICEOS TÉCNICOS PROFESIONALES."/>
    <s v="PRESENCIAL"/>
    <s v="INDEPENDIENTE"/>
    <s v="03. LUNES - VESPERTINO / 06. MARTES - VESPERTINO / 09. MIÉRCOLES - VESPERTINO / 12. JUEVES - VESPERTINO / 15. VIERNES - VESPERTINO"/>
    <n v="14"/>
    <n v="260"/>
    <n v="12"/>
    <n v="272"/>
    <n v="4"/>
    <s v="SI"/>
    <s v="NO"/>
    <s v="SI"/>
    <n v="0"/>
    <s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
    <s v="SI"/>
    <s v="CERTIFICACIÓN COMO SOLDADOR."/>
    <s v="CERRADA"/>
    <n v="68"/>
    <n v="2"/>
    <s v="65057122-3"/>
    <s v="asociación de capacitación juvenil boreal"/>
    <n v="272"/>
    <n v="68"/>
    <n v="5075"/>
    <n v="250000"/>
    <n v="250000"/>
    <n v="19325600"/>
    <n v="3808000"/>
    <n v="3500000"/>
    <n v="0"/>
    <n v="3500000"/>
    <n v="30133600"/>
    <x v="0"/>
    <n v="0"/>
    <n v="5"/>
    <n v="7"/>
    <n v="0"/>
    <n v="0"/>
    <n v="0"/>
    <n v="0"/>
    <n v="0"/>
    <n v="0"/>
    <n v="0"/>
    <n v="6"/>
    <n v="6"/>
    <n v="6"/>
    <n v="6"/>
    <n v="6"/>
    <n v="6.9"/>
    <n v="6"/>
    <s v="NO"/>
    <s v="ALEJANDRA GALLARDO"/>
    <s v="borealicitaciones@gmail.com"/>
    <n v="962274066"/>
    <s v="La Marquesita 3962, Renca"/>
    <n v="0"/>
    <n v="0"/>
    <n v="0"/>
    <n v="0"/>
    <n v="0"/>
    <n v="0"/>
    <n v="0"/>
    <n v="0"/>
    <n v="0"/>
    <n v="0"/>
    <n v="0"/>
    <n v="0"/>
    <n v="0"/>
    <n v="0"/>
    <n v="0"/>
    <n v="0"/>
    <n v="0"/>
    <n v="0"/>
    <s v="SHMAN"/>
    <s v="SI"/>
    <s v="NO"/>
    <n v="0"/>
    <n v="0"/>
    <n v="0"/>
    <n v="0"/>
    <n v="0"/>
    <n v="0"/>
    <n v="0"/>
    <n v="0"/>
    <n v="0"/>
    <n v="0"/>
    <s v="SI"/>
    <n v="0"/>
    <s v="SI"/>
    <n v="0"/>
    <s v="SI"/>
    <n v="0"/>
    <n v="0.5"/>
    <n v="0.70000000000000007"/>
    <s v="SI"/>
    <n v="0"/>
    <n v="0"/>
    <n v="0"/>
    <n v="6"/>
    <n v="6"/>
    <n v="5075"/>
    <n v="5000"/>
    <n v="6.9"/>
    <s v="APROBADO"/>
    <s v="APROBADO"/>
    <n v="6"/>
    <s v="APROBADO"/>
    <n v="0"/>
    <n v="7"/>
    <s v="NO"/>
    <s v="NO APLICA "/>
    <s v="NO"/>
    <s v="NO APLICA"/>
    <s v="NO APLICA"/>
    <s v="NO APLICA"/>
    <x v="0"/>
    <s v=""/>
    <s v="NO APLICA"/>
    <s v="NO"/>
    <s v="NO APLICA"/>
    <s v="NO APLICA"/>
    <s v="NO"/>
    <n v="62"/>
    <n v="125"/>
    <s v="NO"/>
    <n v="0"/>
    <m/>
    <m/>
    <m/>
    <m/>
    <m/>
  </r>
  <r>
    <x v="14"/>
    <m/>
    <m/>
    <m/>
    <m/>
    <m/>
    <m/>
    <m/>
    <m/>
    <m/>
    <m/>
    <m/>
    <m/>
    <m/>
    <m/>
    <m/>
    <m/>
    <m/>
    <m/>
    <m/>
    <m/>
    <m/>
    <m/>
    <m/>
    <m/>
    <m/>
    <m/>
    <m/>
    <m/>
    <m/>
    <m/>
    <m/>
    <m/>
    <m/>
    <m/>
    <m/>
    <m/>
    <m/>
    <m/>
    <m/>
    <m/>
    <m/>
    <m/>
    <m/>
    <m/>
    <m/>
    <m/>
    <x v="2"/>
    <m/>
    <m/>
    <m/>
    <m/>
    <m/>
    <m/>
    <m/>
    <m/>
    <m/>
    <m/>
    <m/>
    <m/>
    <m/>
    <m/>
    <m/>
    <m/>
    <m/>
    <m/>
    <m/>
    <m/>
    <m/>
    <m/>
    <m/>
    <m/>
    <m/>
    <m/>
    <m/>
    <m/>
    <m/>
    <m/>
    <m/>
    <m/>
    <m/>
    <m/>
    <m/>
    <m/>
    <m/>
    <m/>
    <m/>
    <m/>
    <m/>
    <m/>
    <m/>
    <m/>
    <m/>
    <m/>
    <m/>
    <m/>
    <m/>
    <m/>
    <m/>
    <m/>
    <m/>
    <m/>
    <m/>
    <m/>
    <m/>
    <m/>
    <m/>
    <m/>
    <m/>
    <m/>
    <m/>
    <m/>
    <m/>
    <m/>
    <m/>
    <m/>
    <m/>
    <m/>
    <m/>
    <m/>
    <m/>
    <m/>
    <m/>
    <m/>
    <m/>
    <m/>
    <m/>
    <m/>
    <m/>
    <m/>
    <x v="2"/>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22F7908-FAF0-4F48-92B7-92C20A064A26}" name="TablaDinámica6"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G4:H18" firstHeaderRow="1" firstDataRow="1" firstDataCol="1" rowPageCount="2" colPageCount="1"/>
  <pivotFields count="146">
    <pivotField axis="axisRow" showAll="0">
      <items count="16">
        <item x="0"/>
        <item x="1"/>
        <item x="2"/>
        <item x="3"/>
        <item x="4"/>
        <item x="5"/>
        <item x="6"/>
        <item x="7"/>
        <item x="8"/>
        <item x="9"/>
        <item x="10"/>
        <item x="11"/>
        <item x="12"/>
        <item x="13"/>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dataField="1" showAll="0"/>
    <pivotField numFmtId="3" showAll="0"/>
    <pivotField numFmtId="3" showAll="0"/>
    <pivotField showAll="0"/>
    <pivotField showAll="0"/>
    <pivotField showAll="0"/>
    <pivotField showAll="0"/>
    <pivotField showAll="0"/>
    <pivotField showAll="0"/>
    <pivotField showAll="0"/>
    <pivotField axis="axisPage" showAll="0">
      <items count="5">
        <item x="0"/>
        <item x="1"/>
        <item x="2"/>
        <item x="3"/>
        <item t="default"/>
      </items>
    </pivotField>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4">
    <i>
      <x/>
    </i>
    <i>
      <x v="1"/>
    </i>
    <i>
      <x v="2"/>
    </i>
    <i>
      <x v="3"/>
    </i>
    <i>
      <x v="4"/>
    </i>
    <i>
      <x v="6"/>
    </i>
    <i>
      <x v="7"/>
    </i>
    <i>
      <x v="8"/>
    </i>
    <i>
      <x v="9"/>
    </i>
    <i>
      <x v="10"/>
    </i>
    <i>
      <x v="11"/>
    </i>
    <i>
      <x v="12"/>
    </i>
    <i>
      <x v="13"/>
    </i>
    <i t="grand">
      <x/>
    </i>
  </rowItems>
  <colItems count="1">
    <i/>
  </colItems>
  <pageFields count="2">
    <pageField fld="47" item="1" hier="-1"/>
    <pageField fld="124" item="1" hier="-1"/>
  </pageFields>
  <dataFields count="1">
    <dataField name="Máx. de NOTA EVALUACIÓN TÉCNICA" fld="114" subtotal="max" baseField="0" baseItem="0" numFmtId="168"/>
  </dataFields>
  <formats count="4">
    <format dxfId="17">
      <pivotArea outline="0" collapsedLevelsAreSubtotals="1" fieldPosition="0"/>
    </format>
    <format dxfId="16">
      <pivotArea dataOnly="0" labelOnly="1" outline="0" axis="axisValues" fieldPosition="0"/>
    </format>
    <format dxfId="15">
      <pivotArea dataOnly="0" labelOnly="1" outline="0" axis="axisValues" fieldPosition="0"/>
    </format>
    <format dxfId="1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D91AD82-F743-4125-9F02-E1976B548E62}" name="TablaDinámica4"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18" firstHeaderRow="1" firstDataRow="1" firstDataCol="1" rowPageCount="1" colPageCount="1"/>
  <pivotFields count="140">
    <pivotField axis="axisRow" showAll="0">
      <items count="163">
        <item m="1" x="140"/>
        <item m="1" x="138"/>
        <item m="1" x="141"/>
        <item m="1" x="139"/>
        <item m="1" x="64"/>
        <item m="1" x="142"/>
        <item m="1" x="143"/>
        <item m="1" x="91"/>
        <item m="1" x="65"/>
        <item m="1" x="155"/>
        <item m="1" x="107"/>
        <item m="1" x="106"/>
        <item m="1" x="115"/>
        <item m="1" x="124"/>
        <item m="1" x="125"/>
        <item m="1" x="118"/>
        <item m="1" x="90"/>
        <item m="1" x="161"/>
        <item m="1" x="77"/>
        <item m="1" x="119"/>
        <item m="1" x="102"/>
        <item m="1" x="128"/>
        <item m="1" x="157"/>
        <item m="1" x="80"/>
        <item m="1" x="120"/>
        <item m="1" x="104"/>
        <item m="1" x="126"/>
        <item m="1" x="103"/>
        <item m="1" x="159"/>
        <item m="1" x="109"/>
        <item m="1" x="160"/>
        <item m="1" x="145"/>
        <item m="1" x="158"/>
        <item m="1" x="123"/>
        <item m="1" x="113"/>
        <item m="1" x="122"/>
        <item m="1" x="86"/>
        <item m="1" x="144"/>
        <item m="1" x="146"/>
        <item m="1" x="112"/>
        <item m="1" x="114"/>
        <item m="1" x="116"/>
        <item m="1" x="117"/>
        <item m="1" x="108"/>
        <item m="1" x="110"/>
        <item m="1" x="111"/>
        <item m="1" x="147"/>
        <item m="1" x="156"/>
        <item m="1" x="153"/>
        <item m="1" x="148"/>
        <item m="1" x="149"/>
        <item m="1" x="150"/>
        <item m="1" x="151"/>
        <item m="1" x="135"/>
        <item m="1" x="62"/>
        <item m="1" x="136"/>
        <item m="1" x="67"/>
        <item m="1" x="134"/>
        <item m="1" x="137"/>
        <item m="1" x="70"/>
        <item m="1" x="68"/>
        <item m="1" x="66"/>
        <item m="1" x="152"/>
        <item m="1" x="69"/>
        <item m="1" x="133"/>
        <item m="1" x="71"/>
        <item m="1" x="72"/>
        <item m="1" x="63"/>
        <item m="1" x="130"/>
        <item m="1" x="129"/>
        <item m="1" x="127"/>
        <item m="1" x="121"/>
        <item m="1" x="131"/>
        <item m="1" x="132"/>
        <item m="1" x="79"/>
        <item m="1" x="78"/>
        <item m="1" x="73"/>
        <item m="1" x="74"/>
        <item m="1" x="75"/>
        <item m="1" x="76"/>
        <item m="1" x="89"/>
        <item m="1" x="154"/>
        <item m="1" x="99"/>
        <item m="1" x="100"/>
        <item m="1" x="101"/>
        <item m="1" x="82"/>
        <item m="1" x="88"/>
        <item m="1" x="85"/>
        <item m="1" x="87"/>
        <item m="1" x="83"/>
        <item m="1" x="81"/>
        <item m="1" x="84"/>
        <item m="1" x="105"/>
        <item m="1" x="92"/>
        <item m="1" x="93"/>
        <item m="1" x="94"/>
        <item m="1" x="95"/>
        <item m="1" x="96"/>
        <item m="1" x="97"/>
        <item m="1" x="98"/>
        <item m="1" x="59"/>
        <item m="1" x="60"/>
        <item m="1" x="61"/>
        <item m="1" x="15"/>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16"/>
        <item x="0"/>
        <item x="1"/>
        <item x="2"/>
        <item x="3"/>
        <item x="4"/>
        <item x="5"/>
        <item x="6"/>
        <item x="7"/>
        <item x="8"/>
        <item x="9"/>
        <item x="10"/>
        <item x="11"/>
        <item x="12"/>
        <item x="13"/>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multipleItemSelectionAllowed="1" showAll="0">
      <items count="5">
        <item h="1" m="1" x="3"/>
        <item x="0"/>
        <item h="1"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showAll="0"/>
    <pivotField dataField="1" numFmtId="3" showAll="0"/>
    <pivotField numFmtId="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s>
  <rowFields count="1">
    <field x="0"/>
  </rowFields>
  <rowItems count="15">
    <i>
      <x v="147"/>
    </i>
    <i>
      <x v="148"/>
    </i>
    <i>
      <x v="149"/>
    </i>
    <i>
      <x v="150"/>
    </i>
    <i>
      <x v="151"/>
    </i>
    <i>
      <x v="152"/>
    </i>
    <i>
      <x v="153"/>
    </i>
    <i>
      <x v="154"/>
    </i>
    <i>
      <x v="155"/>
    </i>
    <i>
      <x v="156"/>
    </i>
    <i>
      <x v="157"/>
    </i>
    <i>
      <x v="158"/>
    </i>
    <i>
      <x v="159"/>
    </i>
    <i>
      <x v="160"/>
    </i>
    <i t="grand">
      <x/>
    </i>
  </rowItems>
  <colItems count="1">
    <i/>
  </colItems>
  <pageFields count="1">
    <pageField fld="47" hier="-1"/>
  </pageFields>
  <dataFields count="1">
    <dataField name="Mín. de VHA DEL CURSO A CONSIDERAR EN EVA EC" fld="115" subtotal="min" baseField="0" baseItem="49"/>
  </dataFields>
  <formats count="2">
    <format dxfId="19">
      <pivotArea dataOnly="0" labelOnly="1" outline="0" axis="axisValues" fieldPosition="0"/>
    </format>
    <format dxfId="1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50B6D20-A6D2-4D26-B7DC-DC08B87F6F63}" name="TablaDinámica7" cacheId="5"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V4:W18" firstHeaderRow="1" firstDataRow="1" firstDataCol="1" rowPageCount="2" colPageCount="1"/>
  <pivotFields count="146">
    <pivotField axis="axisRow" showAll="0">
      <items count="16">
        <item x="14"/>
        <item x="0"/>
        <item x="1"/>
        <item x="2"/>
        <item x="3"/>
        <item x="4"/>
        <item x="5"/>
        <item x="6"/>
        <item x="7"/>
        <item x="8"/>
        <item x="9"/>
        <item x="10"/>
        <item x="11"/>
        <item x="12"/>
        <item x="1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axis="axisPage"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1"/>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4">
    <i>
      <x v="1"/>
    </i>
    <i>
      <x v="2"/>
    </i>
    <i>
      <x v="3"/>
    </i>
    <i>
      <x v="4"/>
    </i>
    <i>
      <x v="5"/>
    </i>
    <i>
      <x v="7"/>
    </i>
    <i>
      <x v="8"/>
    </i>
    <i>
      <x v="9"/>
    </i>
    <i>
      <x v="10"/>
    </i>
    <i>
      <x v="11"/>
    </i>
    <i>
      <x v="12"/>
    </i>
    <i>
      <x v="13"/>
    </i>
    <i>
      <x v="14"/>
    </i>
    <i t="grand">
      <x/>
    </i>
  </rowItems>
  <colItems count="1">
    <i/>
  </colItems>
  <pageFields count="2">
    <pageField fld="47" item="1" hier="-1"/>
    <pageField fld="130" item="0" hier="-1"/>
  </pageFields>
  <dataFields count="1">
    <dataField name="Mín. de VALOR HORA ALUMNO CAPACITACIÓN" fld="38" subtotal="min" baseField="0" baseItem="1"/>
  </dataFields>
  <formats count="5">
    <format dxfId="24">
      <pivotArea dataOnly="0" labelOnly="1" outline="0" axis="axisValues" fieldPosition="0"/>
    </format>
    <format dxfId="23">
      <pivotArea dataOnly="0" labelOnly="1" outline="0" axis="axisValues" fieldPosition="0"/>
    </format>
    <format dxfId="22">
      <pivotArea dataOnly="0" labelOnly="1" outline="0" axis="axisValues" fieldPosition="0"/>
    </format>
    <format dxfId="21">
      <pivotArea outline="0" collapsedLevelsAreSubtotals="1" fieldPosition="0"/>
    </format>
    <format dxfId="2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7B99A77-F698-4DE5-8C03-FE387DA9EE44}" name="TablaDinámica3" cacheId="4"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S3:T18" firstHeaderRow="1" firstDataRow="1" firstDataCol="1" rowPageCount="1" colPageCount="1"/>
  <pivotFields count="146">
    <pivotField axis="axisRow" showAll="0">
      <items count="60">
        <item m="1" x="15"/>
        <item m="1" x="49"/>
        <item m="1" x="58"/>
        <item m="1" x="57"/>
        <item m="1" x="56"/>
        <item m="1" x="52"/>
        <item m="1" x="53"/>
        <item m="1" x="50"/>
        <item m="1" x="51"/>
        <item m="1" x="54"/>
        <item m="1" x="55"/>
        <item x="14"/>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16"/>
        <item x="0"/>
        <item x="1"/>
        <item x="2"/>
        <item x="3"/>
        <item x="4"/>
        <item x="5"/>
        <item x="6"/>
        <item x="7"/>
        <item x="8"/>
        <item x="9"/>
        <item x="10"/>
        <item x="11"/>
        <item x="12"/>
        <item x="1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5">
        <item m="1" x="3"/>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s>
  <rowFields count="1">
    <field x="0"/>
  </rowFields>
  <rowItems count="15">
    <i>
      <x v="45"/>
    </i>
    <i>
      <x v="46"/>
    </i>
    <i>
      <x v="47"/>
    </i>
    <i>
      <x v="48"/>
    </i>
    <i>
      <x v="49"/>
    </i>
    <i>
      <x v="50"/>
    </i>
    <i>
      <x v="51"/>
    </i>
    <i>
      <x v="52"/>
    </i>
    <i>
      <x v="53"/>
    </i>
    <i>
      <x v="54"/>
    </i>
    <i>
      <x v="55"/>
    </i>
    <i>
      <x v="56"/>
    </i>
    <i>
      <x v="57"/>
    </i>
    <i>
      <x v="58"/>
    </i>
    <i t="grand">
      <x/>
    </i>
  </rowItems>
  <colItems count="1">
    <i/>
  </colItems>
  <pageFields count="1">
    <pageField fld="47" item="2" hier="-1"/>
  </pageFields>
  <dataFields count="1">
    <dataField name="Máx. de CURSOS " fld="137" subtotal="max" baseField="0" baseItem="1"/>
  </dataFields>
  <formats count="5">
    <format dxfId="29">
      <pivotArea dataOnly="0" labelOnly="1" outline="0" axis="axisValues" fieldPosition="0"/>
    </format>
    <format dxfId="28">
      <pivotArea dataOnly="0" labelOnly="1" outline="0" axis="axisValues" fieldPosition="0"/>
    </format>
    <format dxfId="27">
      <pivotArea dataOnly="0" labelOnly="1" outline="0" axis="axisValues" fieldPosition="0"/>
    </format>
    <format dxfId="26">
      <pivotArea outline="0" collapsedLevelsAreSubtotals="1" fieldPosition="0"/>
    </format>
    <format dxfId="2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EBB0B26-576A-4D70-9EDB-48119C8F4305}" name="TablaDinámica1" cacheId="4"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P3:Q19" firstHeaderRow="1" firstDataRow="1" firstDataCol="1" rowPageCount="1" colPageCount="1"/>
  <pivotFields count="146">
    <pivotField axis="axisRow" showAll="0">
      <items count="60">
        <item m="1" x="15"/>
        <item m="1" x="49"/>
        <item m="1" x="58"/>
        <item m="1" x="57"/>
        <item m="1" x="56"/>
        <item m="1" x="52"/>
        <item m="1" x="53"/>
        <item m="1" x="50"/>
        <item m="1" x="51"/>
        <item m="1" x="54"/>
        <item m="1" x="55"/>
        <item x="14"/>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16"/>
        <item x="0"/>
        <item x="1"/>
        <item x="2"/>
        <item x="3"/>
        <item x="4"/>
        <item x="5"/>
        <item x="6"/>
        <item x="7"/>
        <item x="8"/>
        <item x="9"/>
        <item x="10"/>
        <item x="11"/>
        <item x="12"/>
        <item x="1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5">
        <item m="1" x="3"/>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6">
    <i>
      <x v="11"/>
    </i>
    <i>
      <x v="45"/>
    </i>
    <i>
      <x v="46"/>
    </i>
    <i>
      <x v="47"/>
    </i>
    <i>
      <x v="48"/>
    </i>
    <i>
      <x v="49"/>
    </i>
    <i>
      <x v="50"/>
    </i>
    <i>
      <x v="51"/>
    </i>
    <i>
      <x v="52"/>
    </i>
    <i>
      <x v="53"/>
    </i>
    <i>
      <x v="54"/>
    </i>
    <i>
      <x v="55"/>
    </i>
    <i>
      <x v="56"/>
    </i>
    <i>
      <x v="57"/>
    </i>
    <i>
      <x v="58"/>
    </i>
    <i t="grand">
      <x/>
    </i>
  </rowItems>
  <colItems count="1">
    <i/>
  </colItems>
  <pageFields count="1">
    <pageField fld="47" hier="-1"/>
  </pageFields>
  <dataFields count="1">
    <dataField name="Mín. de POCENTAJE DE MULTAS PONDERADA" fld="134" subtotal="min" baseField="0" baseItem="0"/>
  </dataFields>
  <formats count="5">
    <format dxfId="34">
      <pivotArea dataOnly="0" labelOnly="1" outline="0" axis="axisValues" fieldPosition="0"/>
    </format>
    <format dxfId="33">
      <pivotArea dataOnly="0" labelOnly="1" outline="0" axis="axisValues" fieldPosition="0"/>
    </format>
    <format dxfId="32">
      <pivotArea dataOnly="0" labelOnly="1" outline="0" axis="axisValues" fieldPosition="0"/>
    </format>
    <format dxfId="31">
      <pivotArea outline="0" collapsedLevelsAreSubtotals="1" fieldPosition="0"/>
    </format>
    <format dxfId="3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DF8B09D-136A-48B9-ACED-274FBAB81240}" name="TablaDinámica2"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J3:K18" firstHeaderRow="1" firstDataRow="1" firstDataCol="1" rowPageCount="1" colPageCount="1"/>
  <pivotFields count="140">
    <pivotField axis="axisRow" showAll="0">
      <items count="163">
        <item m="1" x="140"/>
        <item m="1" x="138"/>
        <item m="1" x="141"/>
        <item m="1" x="139"/>
        <item m="1" x="64"/>
        <item m="1" x="142"/>
        <item m="1" x="143"/>
        <item m="1" x="91"/>
        <item m="1" x="65"/>
        <item m="1" x="155"/>
        <item m="1" x="107"/>
        <item m="1" x="106"/>
        <item m="1" x="115"/>
        <item m="1" x="124"/>
        <item m="1" x="125"/>
        <item m="1" x="118"/>
        <item m="1" x="90"/>
        <item m="1" x="161"/>
        <item m="1" x="77"/>
        <item m="1" x="119"/>
        <item m="1" x="102"/>
        <item m="1" x="128"/>
        <item m="1" x="157"/>
        <item m="1" x="80"/>
        <item m="1" x="120"/>
        <item m="1" x="104"/>
        <item m="1" x="126"/>
        <item m="1" x="103"/>
        <item m="1" x="159"/>
        <item m="1" x="109"/>
        <item m="1" x="160"/>
        <item m="1" x="145"/>
        <item m="1" x="158"/>
        <item m="1" x="123"/>
        <item m="1" x="113"/>
        <item m="1" x="122"/>
        <item m="1" x="86"/>
        <item m="1" x="144"/>
        <item m="1" x="146"/>
        <item m="1" x="112"/>
        <item m="1" x="114"/>
        <item m="1" x="116"/>
        <item m="1" x="117"/>
        <item m="1" x="108"/>
        <item m="1" x="110"/>
        <item m="1" x="111"/>
        <item m="1" x="147"/>
        <item m="1" x="156"/>
        <item m="1" x="153"/>
        <item m="1" x="148"/>
        <item m="1" x="149"/>
        <item m="1" x="150"/>
        <item m="1" x="151"/>
        <item m="1" x="135"/>
        <item m="1" x="62"/>
        <item m="1" x="136"/>
        <item m="1" x="67"/>
        <item m="1" x="134"/>
        <item m="1" x="137"/>
        <item m="1" x="70"/>
        <item m="1" x="68"/>
        <item m="1" x="66"/>
        <item m="1" x="152"/>
        <item m="1" x="69"/>
        <item m="1" x="133"/>
        <item m="1" x="71"/>
        <item m="1" x="72"/>
        <item m="1" x="63"/>
        <item m="1" x="130"/>
        <item m="1" x="129"/>
        <item m="1" x="127"/>
        <item m="1" x="121"/>
        <item m="1" x="131"/>
        <item m="1" x="132"/>
        <item m="1" x="79"/>
        <item m="1" x="78"/>
        <item m="1" x="73"/>
        <item m="1" x="74"/>
        <item m="1" x="75"/>
        <item m="1" x="76"/>
        <item m="1" x="89"/>
        <item m="1" x="154"/>
        <item m="1" x="99"/>
        <item m="1" x="100"/>
        <item m="1" x="101"/>
        <item m="1" x="82"/>
        <item m="1" x="88"/>
        <item m="1" x="85"/>
        <item m="1" x="87"/>
        <item m="1" x="83"/>
        <item m="1" x="81"/>
        <item m="1" x="84"/>
        <item m="1" x="105"/>
        <item m="1" x="92"/>
        <item m="1" x="93"/>
        <item m="1" x="94"/>
        <item m="1" x="95"/>
        <item m="1" x="96"/>
        <item m="1" x="97"/>
        <item m="1" x="98"/>
        <item m="1" x="59"/>
        <item m="1" x="60"/>
        <item m="1" x="61"/>
        <item m="1" x="15"/>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16"/>
        <item x="0"/>
        <item x="1"/>
        <item x="2"/>
        <item x="3"/>
        <item x="4"/>
        <item x="5"/>
        <item x="6"/>
        <item x="7"/>
        <item x="8"/>
        <item x="9"/>
        <item x="10"/>
        <item x="11"/>
        <item x="12"/>
        <item x="13"/>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showAll="0">
      <items count="5">
        <item m="1" x="3"/>
        <item x="0"/>
        <item x="1"/>
        <item x="2"/>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showAll="0"/>
    <pivotField numFmtId="3" showAll="0"/>
    <pivotField numFmtId="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s>
  <rowFields count="1">
    <field x="0"/>
  </rowFields>
  <rowItems count="15">
    <i>
      <x v="147"/>
    </i>
    <i>
      <x v="148"/>
    </i>
    <i>
      <x v="149"/>
    </i>
    <i>
      <x v="150"/>
    </i>
    <i>
      <x v="151"/>
    </i>
    <i>
      <x v="152"/>
    </i>
    <i>
      <x v="153"/>
    </i>
    <i>
      <x v="154"/>
    </i>
    <i>
      <x v="155"/>
    </i>
    <i>
      <x v="156"/>
    </i>
    <i>
      <x v="157"/>
    </i>
    <i>
      <x v="158"/>
    </i>
    <i>
      <x v="159"/>
    </i>
    <i>
      <x v="160"/>
    </i>
    <i t="grand">
      <x/>
    </i>
  </rowItems>
  <colItems count="1">
    <i/>
  </colItems>
  <pageFields count="1">
    <pageField fld="47" item="1" hier="-1"/>
  </pageFields>
  <dataFields count="1">
    <dataField name="Máx. de 7.3 EVALUACIÓN COMPORTAMIENTO (10%)" fld="50" subtotal="max" baseField="0" baseItem="0"/>
  </dataFields>
  <formats count="4">
    <format dxfId="38">
      <pivotArea outline="0" collapsedLevelsAreSubtotals="1" fieldPosition="0"/>
    </format>
    <format dxfId="37">
      <pivotArea dataOnly="0" labelOnly="1" outline="0" axis="axisValues" fieldPosition="0"/>
    </format>
    <format dxfId="36">
      <pivotArea dataOnly="0" labelOnly="1" outline="0" axis="axisValues" fieldPosition="0"/>
    </format>
    <format dxfId="3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550D255-606E-45F8-8A40-7739A359B6B7}" name="TablaDinámica5"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3:E18" firstHeaderRow="1" firstDataRow="1" firstDataCol="1" rowPageCount="1" colPageCount="1"/>
  <pivotFields count="146">
    <pivotField axis="axisRow" showAll="0">
      <items count="163">
        <item m="1" x="140"/>
        <item m="1" x="138"/>
        <item m="1" x="141"/>
        <item m="1" x="139"/>
        <item m="1" x="64"/>
        <item m="1" x="142"/>
        <item m="1" x="143"/>
        <item m="1" x="91"/>
        <item m="1" x="65"/>
        <item m="1" x="155"/>
        <item m="1" x="107"/>
        <item m="1" x="106"/>
        <item m="1" x="115"/>
        <item m="1" x="124"/>
        <item m="1" x="125"/>
        <item m="1" x="118"/>
        <item m="1" x="90"/>
        <item m="1" x="161"/>
        <item m="1" x="77"/>
        <item m="1" x="119"/>
        <item m="1" x="102"/>
        <item m="1" x="128"/>
        <item m="1" x="157"/>
        <item m="1" x="80"/>
        <item m="1" x="120"/>
        <item m="1" x="104"/>
        <item m="1" x="126"/>
        <item m="1" x="103"/>
        <item m="1" x="159"/>
        <item m="1" x="109"/>
        <item m="1" x="160"/>
        <item m="1" x="145"/>
        <item m="1" x="158"/>
        <item m="1" x="123"/>
        <item m="1" x="113"/>
        <item m="1" x="122"/>
        <item m="1" x="86"/>
        <item m="1" x="144"/>
        <item m="1" x="146"/>
        <item m="1" x="112"/>
        <item m="1" x="114"/>
        <item m="1" x="116"/>
        <item m="1" x="117"/>
        <item m="1" x="108"/>
        <item m="1" x="110"/>
        <item m="1" x="111"/>
        <item m="1" x="147"/>
        <item m="1" x="156"/>
        <item m="1" x="153"/>
        <item m="1" x="148"/>
        <item m="1" x="149"/>
        <item m="1" x="150"/>
        <item m="1" x="151"/>
        <item m="1" x="135"/>
        <item m="1" x="62"/>
        <item m="1" x="136"/>
        <item m="1" x="67"/>
        <item m="1" x="134"/>
        <item m="1" x="137"/>
        <item m="1" x="70"/>
        <item m="1" x="68"/>
        <item m="1" x="66"/>
        <item m="1" x="152"/>
        <item m="1" x="69"/>
        <item m="1" x="133"/>
        <item m="1" x="71"/>
        <item m="1" x="72"/>
        <item m="1" x="63"/>
        <item m="1" x="130"/>
        <item m="1" x="129"/>
        <item m="1" x="127"/>
        <item m="1" x="121"/>
        <item m="1" x="131"/>
        <item m="1" x="132"/>
        <item m="1" x="79"/>
        <item m="1" x="78"/>
        <item m="1" x="73"/>
        <item m="1" x="74"/>
        <item m="1" x="75"/>
        <item m="1" x="76"/>
        <item m="1" x="89"/>
        <item m="1" x="154"/>
        <item m="1" x="99"/>
        <item m="1" x="100"/>
        <item m="1" x="101"/>
        <item m="1" x="82"/>
        <item m="1" x="88"/>
        <item m="1" x="85"/>
        <item m="1" x="87"/>
        <item m="1" x="83"/>
        <item m="1" x="81"/>
        <item m="1" x="84"/>
        <item m="1" x="105"/>
        <item m="1" x="92"/>
        <item m="1" x="93"/>
        <item m="1" x="94"/>
        <item m="1" x="95"/>
        <item m="1" x="96"/>
        <item m="1" x="97"/>
        <item m="1" x="98"/>
        <item m="1" x="59"/>
        <item m="1" x="60"/>
        <item m="1" x="61"/>
        <item m="1" x="15"/>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16"/>
        <item x="0"/>
        <item x="1"/>
        <item x="2"/>
        <item x="3"/>
        <item x="4"/>
        <item x="5"/>
        <item x="6"/>
        <item x="7"/>
        <item x="8"/>
        <item x="9"/>
        <item x="10"/>
        <item x="11"/>
        <item x="12"/>
        <item x="13"/>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multipleItemSelectionAllowed="1" showAll="0">
      <items count="5">
        <item m="1" x="3"/>
        <item x="0"/>
        <item h="1"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showAll="0"/>
    <pivotField numFmtId="3" showAll="0"/>
    <pivotField numFmtId="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5">
    <i>
      <x v="147"/>
    </i>
    <i>
      <x v="148"/>
    </i>
    <i>
      <x v="149"/>
    </i>
    <i>
      <x v="150"/>
    </i>
    <i>
      <x v="151"/>
    </i>
    <i>
      <x v="152"/>
    </i>
    <i>
      <x v="153"/>
    </i>
    <i>
      <x v="154"/>
    </i>
    <i>
      <x v="155"/>
    </i>
    <i>
      <x v="156"/>
    </i>
    <i>
      <x v="157"/>
    </i>
    <i>
      <x v="158"/>
    </i>
    <i>
      <x v="159"/>
    </i>
    <i>
      <x v="160"/>
    </i>
    <i t="grand">
      <x/>
    </i>
  </rowItems>
  <colItems count="1">
    <i/>
  </colItems>
  <pageFields count="1">
    <pageField fld="47" hier="-1"/>
  </pageFields>
  <dataFields count="1">
    <dataField name="Máx. de 8                 NOTA FINAL" fld="64" subtotal="max" baseField="0" baseItem="105"/>
  </dataFields>
  <formats count="4">
    <format dxfId="42">
      <pivotArea outline="0" collapsedLevelsAreSubtotals="1" fieldPosition="0"/>
    </format>
    <format dxfId="41">
      <pivotArea dataOnly="0" labelOnly="1" outline="0" axis="axisValues" fieldPosition="0"/>
    </format>
    <format dxfId="40">
      <pivotArea dataOnly="0" labelOnly="1" outline="0" axis="axisValues" fieldPosition="0"/>
    </format>
    <format dxfId="3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B14E0CC5-72C4-4A14-B384-0CC3CBA709BD}" name="TablaDinámica8"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M3:N18" firstHeaderRow="1" firstDataRow="1" firstDataCol="1" rowPageCount="1" colPageCount="1"/>
  <pivotFields count="140">
    <pivotField axis="axisRow" showAll="0">
      <items count="163">
        <item m="1" x="140"/>
        <item m="1" x="138"/>
        <item m="1" x="141"/>
        <item m="1" x="139"/>
        <item m="1" x="64"/>
        <item m="1" x="142"/>
        <item m="1" x="143"/>
        <item m="1" x="91"/>
        <item m="1" x="65"/>
        <item m="1" x="155"/>
        <item m="1" x="107"/>
        <item m="1" x="106"/>
        <item m="1" x="115"/>
        <item m="1" x="124"/>
        <item m="1" x="125"/>
        <item m="1" x="118"/>
        <item m="1" x="90"/>
        <item m="1" x="161"/>
        <item m="1" x="77"/>
        <item m="1" x="119"/>
        <item m="1" x="102"/>
        <item m="1" x="128"/>
        <item m="1" x="157"/>
        <item m="1" x="80"/>
        <item m="1" x="120"/>
        <item m="1" x="104"/>
        <item m="1" x="126"/>
        <item m="1" x="103"/>
        <item m="1" x="159"/>
        <item m="1" x="109"/>
        <item m="1" x="160"/>
        <item m="1" x="145"/>
        <item m="1" x="158"/>
        <item m="1" x="123"/>
        <item m="1" x="113"/>
        <item m="1" x="122"/>
        <item m="1" x="86"/>
        <item m="1" x="144"/>
        <item m="1" x="146"/>
        <item m="1" x="112"/>
        <item m="1" x="114"/>
        <item m="1" x="116"/>
        <item m="1" x="117"/>
        <item m="1" x="108"/>
        <item m="1" x="110"/>
        <item m="1" x="111"/>
        <item m="1" x="147"/>
        <item m="1" x="156"/>
        <item m="1" x="153"/>
        <item m="1" x="148"/>
        <item m="1" x="149"/>
        <item m="1" x="150"/>
        <item m="1" x="151"/>
        <item m="1" x="135"/>
        <item m="1" x="62"/>
        <item m="1" x="136"/>
        <item m="1" x="67"/>
        <item m="1" x="134"/>
        <item m="1" x="137"/>
        <item m="1" x="70"/>
        <item m="1" x="68"/>
        <item m="1" x="66"/>
        <item m="1" x="152"/>
        <item m="1" x="69"/>
        <item m="1" x="133"/>
        <item m="1" x="71"/>
        <item m="1" x="72"/>
        <item m="1" x="63"/>
        <item m="1" x="130"/>
        <item m="1" x="129"/>
        <item m="1" x="127"/>
        <item m="1" x="121"/>
        <item m="1" x="131"/>
        <item m="1" x="132"/>
        <item m="1" x="79"/>
        <item m="1" x="78"/>
        <item m="1" x="73"/>
        <item m="1" x="74"/>
        <item m="1" x="75"/>
        <item m="1" x="76"/>
        <item m="1" x="89"/>
        <item m="1" x="154"/>
        <item m="1" x="99"/>
        <item m="1" x="100"/>
        <item m="1" x="101"/>
        <item m="1" x="82"/>
        <item m="1" x="88"/>
        <item m="1" x="85"/>
        <item m="1" x="87"/>
        <item m="1" x="83"/>
        <item m="1" x="81"/>
        <item m="1" x="84"/>
        <item m="1" x="105"/>
        <item m="1" x="92"/>
        <item m="1" x="93"/>
        <item m="1" x="94"/>
        <item m="1" x="95"/>
        <item m="1" x="96"/>
        <item m="1" x="97"/>
        <item m="1" x="98"/>
        <item m="1" x="59"/>
        <item m="1" x="60"/>
        <item m="1" x="61"/>
        <item m="1" x="15"/>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16"/>
        <item x="0"/>
        <item x="1"/>
        <item x="2"/>
        <item x="3"/>
        <item x="4"/>
        <item x="5"/>
        <item x="6"/>
        <item x="7"/>
        <item x="8"/>
        <item x="9"/>
        <item x="10"/>
        <item x="11"/>
        <item x="12"/>
        <item x="13"/>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showAll="0">
      <items count="5">
        <item m="1" x="3"/>
        <item x="0"/>
        <item x="1"/>
        <item x="2"/>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showAll="0"/>
    <pivotField numFmtId="3" showAll="0"/>
    <pivotField numFmtId="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s>
  <rowFields count="1">
    <field x="0"/>
  </rowFields>
  <rowItems count="15">
    <i>
      <x v="147"/>
    </i>
    <i>
      <x v="148"/>
    </i>
    <i>
      <x v="149"/>
    </i>
    <i>
      <x v="150"/>
    </i>
    <i>
      <x v="151"/>
    </i>
    <i>
      <x v="152"/>
    </i>
    <i>
      <x v="153"/>
    </i>
    <i>
      <x v="154"/>
    </i>
    <i>
      <x v="155"/>
    </i>
    <i>
      <x v="156"/>
    </i>
    <i>
      <x v="157"/>
    </i>
    <i>
      <x v="158"/>
    </i>
    <i>
      <x v="159"/>
    </i>
    <i>
      <x v="160"/>
    </i>
    <i t="grand">
      <x/>
    </i>
  </rowItems>
  <colItems count="1">
    <i/>
  </colItems>
  <pageFields count="1">
    <pageField fld="47" item="1" hier="-1"/>
  </pageFields>
  <dataFields count="1">
    <dataField name="Máx. de 7.2 EVALUACIÓN EXPERIENCIA DEL OFERENTE (10%)" fld="49" subtotal="max" baseField="0" baseItem="0"/>
  </dataFields>
  <formats count="4">
    <format dxfId="46">
      <pivotArea outline="0" collapsedLevelsAreSubtotals="1" fieldPosition="0"/>
    </format>
    <format dxfId="45">
      <pivotArea dataOnly="0" labelOnly="1" outline="0" axis="axisValues" fieldPosition="0"/>
    </format>
    <format dxfId="44">
      <pivotArea dataOnly="0" labelOnly="1" outline="0" axis="axisValues" fieldPosition="0"/>
    </format>
    <format dxfId="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9A4913D-8F2E-4B1E-B583-FFAF9582B0B8}"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5" firstHeaderRow="0" firstDataRow="1" firstDataCol="1"/>
  <pivotFields count="124">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9">
        <item m="1" x="19"/>
        <item m="1" x="5"/>
        <item m="1" x="15"/>
        <item m="1" x="48"/>
        <item m="1" x="13"/>
        <item m="1" x="31"/>
        <item m="1" x="45"/>
        <item m="1" x="46"/>
        <item m="1" x="54"/>
        <item m="1" x="8"/>
        <item m="1" x="1"/>
        <item m="1" x="56"/>
        <item m="1" x="29"/>
        <item m="1" x="51"/>
        <item m="1" x="57"/>
        <item m="1" x="6"/>
        <item m="1" x="33"/>
        <item m="1" x="49"/>
        <item m="1" x="26"/>
        <item m="1" x="21"/>
        <item m="1" x="50"/>
        <item m="1" x="40"/>
        <item m="1" x="10"/>
        <item m="1" x="52"/>
        <item m="1" x="39"/>
        <item m="1" x="17"/>
        <item m="1" x="38"/>
        <item m="1" x="36"/>
        <item m="1" x="47"/>
        <item m="1" x="2"/>
        <item m="1" x="22"/>
        <item m="1" x="28"/>
        <item m="1" x="11"/>
        <item m="1" x="20"/>
        <item m="1" x="12"/>
        <item m="1" x="16"/>
        <item m="1" x="53"/>
        <item m="1" x="44"/>
        <item m="1" x="14"/>
        <item m="1" x="37"/>
        <item m="1" x="42"/>
        <item m="1" x="43"/>
        <item m="1" x="25"/>
        <item m="1" x="32"/>
        <item m="1" x="24"/>
        <item m="1" x="27"/>
        <item m="1" x="41"/>
        <item m="1" x="30"/>
        <item m="1" x="23"/>
        <item m="1" x="55"/>
        <item m="1" x="35"/>
        <item m="1" x="18"/>
        <item m="1" x="9"/>
        <item m="1" x="4"/>
        <item m="1" x="34"/>
        <item x="0"/>
        <item m="1" x="7"/>
        <item m="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5"/>
  </rowFields>
  <rowItems count="2">
    <i>
      <x v="55"/>
    </i>
    <i t="grand">
      <x/>
    </i>
  </rowItems>
  <colFields count="1">
    <field x="-2"/>
  </colFields>
  <colItems count="2">
    <i>
      <x/>
    </i>
    <i i="1">
      <x v="1"/>
    </i>
  </colItems>
  <dataFields count="2">
    <dataField name="Cuenta de CODIGO DEL CURSO (PLAN FORMATIVO 1)" fld="12" subtotal="count" baseField="0" baseItem="0"/>
    <dataField name="Suma de TOTAL DEL CURSO" fld="4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26827-ADD7-4A16-9F27-7AA7DDC16EE2}">
  <dimension ref="A1:AW395"/>
  <sheetViews>
    <sheetView zoomScale="86" zoomScaleNormal="86" workbookViewId="0">
      <selection sqref="A1:XFD395"/>
    </sheetView>
  </sheetViews>
  <sheetFormatPr baseColWidth="10" defaultColWidth="10.85546875" defaultRowHeight="20.100000000000001" customHeight="1" x14ac:dyDescent="0.25"/>
  <cols>
    <col min="1" max="1" width="10.85546875" style="179" customWidth="1"/>
    <col min="2" max="2" width="13.5703125" style="177" customWidth="1"/>
    <col min="3" max="3" width="17.5703125" style="181" customWidth="1"/>
    <col min="4" max="4" width="12" style="179" customWidth="1"/>
    <col min="5" max="5" width="9" style="179" customWidth="1"/>
    <col min="6" max="6" width="10.85546875" style="179" customWidth="1"/>
    <col min="7" max="7" width="23.85546875" style="177" customWidth="1"/>
    <col min="8" max="8" width="15" style="196" customWidth="1"/>
    <col min="9" max="10" width="45.85546875" style="177" customWidth="1"/>
    <col min="11" max="11" width="16.85546875" style="181" customWidth="1"/>
    <col min="12" max="12" width="46.5703125" style="181" customWidth="1"/>
    <col min="13" max="13" width="13.140625" style="177" customWidth="1"/>
    <col min="14" max="14" width="9.140625" style="179" customWidth="1"/>
    <col min="15" max="15" width="29.140625" style="181" customWidth="1"/>
    <col min="16" max="16" width="15.140625" style="177" customWidth="1"/>
    <col min="17" max="17" width="53" style="177" customWidth="1"/>
    <col min="18" max="18" width="12.85546875" style="177" customWidth="1"/>
    <col min="19" max="19" width="17" style="181" customWidth="1"/>
    <col min="20" max="20" width="12.5703125" style="177" customWidth="1"/>
    <col min="21" max="21" width="8.5703125" style="179" customWidth="1"/>
    <col min="22" max="28" width="10.85546875" style="179" customWidth="1"/>
    <col min="29" max="29" width="24.42578125" style="179" customWidth="1"/>
    <col min="30" max="30" width="26.5703125" style="181" customWidth="1"/>
    <col min="31" max="31" width="19.42578125" style="179" customWidth="1"/>
    <col min="32" max="32" width="93.85546875" style="181" customWidth="1"/>
    <col min="33" max="33" width="16.5703125" style="177" customWidth="1"/>
    <col min="34" max="34" width="12.85546875" style="179" customWidth="1"/>
    <col min="35" max="35" width="7.85546875" style="179" customWidth="1"/>
    <col min="36" max="36" width="10.85546875" style="179" customWidth="1"/>
    <col min="37" max="37" width="10.85546875" style="197" customWidth="1"/>
    <col min="38" max="38" width="16.42578125" style="183" customWidth="1"/>
    <col min="39" max="39" width="10.85546875" style="183" customWidth="1"/>
    <col min="40" max="40" width="25.140625" style="183" customWidth="1"/>
    <col min="41" max="41" width="18.85546875" style="183" customWidth="1"/>
    <col min="42" max="43" width="12.140625" style="183" customWidth="1"/>
    <col min="44" max="44" width="10.85546875" style="183" customWidth="1"/>
    <col min="45" max="45" width="15" style="183" customWidth="1"/>
    <col min="46" max="49" width="10.85546875" style="179" customWidth="1"/>
    <col min="50" max="16384" width="10.85546875" style="179"/>
  </cols>
  <sheetData>
    <row r="1" spans="1:49" s="170" customFormat="1" ht="71.45" customHeight="1" x14ac:dyDescent="0.25">
      <c r="A1" s="165" t="s">
        <v>369</v>
      </c>
      <c r="B1" s="166" t="s">
        <v>448</v>
      </c>
      <c r="C1" s="167" t="s">
        <v>0</v>
      </c>
      <c r="D1" s="168" t="s">
        <v>1141</v>
      </c>
      <c r="E1" s="168" t="s">
        <v>1458</v>
      </c>
      <c r="F1" s="168" t="s">
        <v>1459</v>
      </c>
      <c r="G1" s="166" t="s">
        <v>15</v>
      </c>
      <c r="H1" s="165" t="s">
        <v>328</v>
      </c>
      <c r="I1" s="169" t="s">
        <v>370</v>
      </c>
      <c r="J1" s="166" t="s">
        <v>371</v>
      </c>
      <c r="K1" s="167" t="s">
        <v>1460</v>
      </c>
      <c r="L1" s="167" t="s">
        <v>373</v>
      </c>
      <c r="M1" s="169" t="s">
        <v>52</v>
      </c>
      <c r="N1" s="170" t="s">
        <v>330</v>
      </c>
      <c r="O1" s="167" t="s">
        <v>374</v>
      </c>
      <c r="P1" s="169" t="s">
        <v>1</v>
      </c>
      <c r="Q1" s="166" t="s">
        <v>329</v>
      </c>
      <c r="R1" s="169" t="s">
        <v>375</v>
      </c>
      <c r="S1" s="167" t="s">
        <v>376</v>
      </c>
      <c r="T1" s="169" t="s">
        <v>338</v>
      </c>
      <c r="U1" s="170" t="s">
        <v>2</v>
      </c>
      <c r="V1" s="170" t="s">
        <v>377</v>
      </c>
      <c r="W1" s="170" t="s">
        <v>378</v>
      </c>
      <c r="X1" s="170" t="s">
        <v>379</v>
      </c>
      <c r="Y1" s="170" t="s">
        <v>3</v>
      </c>
      <c r="Z1" s="170" t="s">
        <v>331</v>
      </c>
      <c r="AA1" s="170" t="s">
        <v>380</v>
      </c>
      <c r="AB1" s="170" t="s">
        <v>332</v>
      </c>
      <c r="AC1" s="167" t="s">
        <v>333</v>
      </c>
      <c r="AD1" s="166" t="s">
        <v>982</v>
      </c>
      <c r="AE1" s="170" t="s">
        <v>334</v>
      </c>
      <c r="AF1" s="171" t="s">
        <v>335</v>
      </c>
      <c r="AG1" s="172" t="s">
        <v>927</v>
      </c>
      <c r="AH1" s="165" t="s">
        <v>890</v>
      </c>
      <c r="AI1" s="170" t="s">
        <v>381</v>
      </c>
      <c r="AJ1" s="165" t="s">
        <v>892</v>
      </c>
      <c r="AK1" s="173" t="s">
        <v>891</v>
      </c>
      <c r="AL1" s="165" t="s">
        <v>889</v>
      </c>
      <c r="AM1" s="165" t="s">
        <v>934</v>
      </c>
      <c r="AN1" s="165" t="s">
        <v>983</v>
      </c>
      <c r="AO1" s="165" t="s">
        <v>984</v>
      </c>
      <c r="AP1" s="165" t="s">
        <v>933</v>
      </c>
      <c r="AQ1" s="165" t="s">
        <v>1461</v>
      </c>
      <c r="AR1" s="165" t="s">
        <v>985</v>
      </c>
      <c r="AS1" s="165" t="s">
        <v>986</v>
      </c>
      <c r="AT1" s="165" t="s">
        <v>1462</v>
      </c>
      <c r="AU1" s="165" t="s">
        <v>1463</v>
      </c>
      <c r="AV1" s="165" t="s">
        <v>1464</v>
      </c>
      <c r="AW1" s="165" t="s">
        <v>1465</v>
      </c>
    </row>
    <row r="2" spans="1:49" ht="24.95" customHeight="1" x14ac:dyDescent="0.25">
      <c r="A2" s="174">
        <v>14613</v>
      </c>
      <c r="B2" s="175" t="s">
        <v>96</v>
      </c>
      <c r="C2" s="175" t="s">
        <v>39</v>
      </c>
      <c r="D2" s="176">
        <v>4</v>
      </c>
      <c r="E2" s="176">
        <v>2025</v>
      </c>
      <c r="F2" s="176">
        <v>2025</v>
      </c>
      <c r="G2" s="174" t="s">
        <v>1466</v>
      </c>
      <c r="H2" s="174" t="s">
        <v>336</v>
      </c>
      <c r="I2" s="174" t="s">
        <v>1467</v>
      </c>
      <c r="J2" s="177" t="s">
        <v>413</v>
      </c>
      <c r="K2" s="174" t="s">
        <v>414</v>
      </c>
      <c r="L2" s="174" t="s">
        <v>345</v>
      </c>
      <c r="M2" s="174" t="s">
        <v>346</v>
      </c>
      <c r="N2" s="174">
        <v>8</v>
      </c>
      <c r="O2" s="174" t="s">
        <v>709</v>
      </c>
      <c r="P2" s="174" t="s">
        <v>1468</v>
      </c>
      <c r="Q2" s="174" t="s">
        <v>1469</v>
      </c>
      <c r="R2" s="174" t="s">
        <v>339</v>
      </c>
      <c r="S2" s="174" t="s">
        <v>19</v>
      </c>
      <c r="T2" s="174" t="s">
        <v>337</v>
      </c>
      <c r="U2" s="178">
        <v>15</v>
      </c>
      <c r="V2" s="178">
        <v>100</v>
      </c>
      <c r="W2" s="178">
        <v>12</v>
      </c>
      <c r="X2" s="179">
        <f t="shared" ref="X2:X9" si="0">((SUM(V2:W2))*1)*1</f>
        <v>112</v>
      </c>
      <c r="Y2" s="178">
        <v>5</v>
      </c>
      <c r="Z2" s="178" t="s">
        <v>20</v>
      </c>
      <c r="AA2" s="178" t="s">
        <v>20</v>
      </c>
      <c r="AB2" s="178" t="s">
        <v>20</v>
      </c>
      <c r="AC2" s="180" t="s">
        <v>21</v>
      </c>
      <c r="AD2" s="181" t="s">
        <v>1470</v>
      </c>
      <c r="AE2" s="178" t="s">
        <v>18</v>
      </c>
      <c r="AF2" s="182" t="s">
        <v>21</v>
      </c>
      <c r="AG2" s="174" t="s">
        <v>1173</v>
      </c>
      <c r="AH2" s="179">
        <f t="shared" ref="AH2:AH65" si="1">ROUNDUP(AK2,0)</f>
        <v>23</v>
      </c>
      <c r="AI2" s="178">
        <v>1</v>
      </c>
      <c r="AJ2" s="178">
        <f t="shared" ref="AJ2:AJ65" si="2">IF(AI2=1,5074,IF(AI2=2,6372,IF(AI2=3,7434,"ERROR")))</f>
        <v>5074</v>
      </c>
      <c r="AK2" s="179">
        <f t="shared" ref="AK2:AK65" si="3">+(X2/Y2)</f>
        <v>22.4</v>
      </c>
      <c r="AL2" s="183">
        <v>0</v>
      </c>
      <c r="AM2" s="183">
        <f t="shared" ref="AM2:AM9" si="4">IF(Z2="SI",4000*U2*AH2,0)</f>
        <v>1380000</v>
      </c>
      <c r="AN2" s="183">
        <f t="shared" ref="AN2:AN65" si="5">IF(AA2="SI",5000*AH2*U2,0)</f>
        <v>1725000</v>
      </c>
      <c r="AO2" s="183">
        <f t="shared" ref="AO2:AO65" si="6">IF(AB2="SI",270000*U2,0)</f>
        <v>4050000</v>
      </c>
      <c r="AP2" s="183">
        <f t="shared" ref="AP2:AP65" si="7">+(AJ2*X2*U2)</f>
        <v>8524320</v>
      </c>
      <c r="AR2" s="183">
        <f t="shared" ref="AR2:AR65" si="8">+(AL2*U2)</f>
        <v>0</v>
      </c>
      <c r="AS2" s="183">
        <f t="shared" ref="AS2:AS65" si="9">+(AM2+AN2+AO2+AP2+AR2)</f>
        <v>15679320</v>
      </c>
      <c r="AT2" s="174"/>
      <c r="AU2" s="174"/>
      <c r="AV2" s="174"/>
      <c r="AW2" s="174"/>
    </row>
    <row r="3" spans="1:49" ht="24.95" customHeight="1" x14ac:dyDescent="0.25">
      <c r="A3" s="174">
        <v>14615</v>
      </c>
      <c r="B3" s="175" t="s">
        <v>96</v>
      </c>
      <c r="C3" s="175" t="s">
        <v>39</v>
      </c>
      <c r="D3" s="176">
        <v>4</v>
      </c>
      <c r="E3" s="176">
        <v>2025</v>
      </c>
      <c r="F3" s="176">
        <v>2025</v>
      </c>
      <c r="G3" s="174" t="s">
        <v>1466</v>
      </c>
      <c r="H3" s="174" t="s">
        <v>336</v>
      </c>
      <c r="I3" s="174" t="s">
        <v>1467</v>
      </c>
      <c r="J3" s="177" t="s">
        <v>715</v>
      </c>
      <c r="K3" s="174" t="s">
        <v>716</v>
      </c>
      <c r="L3" s="174" t="s">
        <v>345</v>
      </c>
      <c r="M3" s="174" t="s">
        <v>346</v>
      </c>
      <c r="N3" s="174">
        <v>8</v>
      </c>
      <c r="O3" s="174" t="s">
        <v>709</v>
      </c>
      <c r="P3" s="174" t="s">
        <v>735</v>
      </c>
      <c r="Q3" s="174" t="s">
        <v>1471</v>
      </c>
      <c r="R3" s="174" t="s">
        <v>339</v>
      </c>
      <c r="S3" s="174" t="s">
        <v>19</v>
      </c>
      <c r="T3" s="174" t="s">
        <v>337</v>
      </c>
      <c r="U3" s="178">
        <v>15</v>
      </c>
      <c r="V3" s="178">
        <v>150</v>
      </c>
      <c r="W3" s="178">
        <v>12</v>
      </c>
      <c r="X3" s="179">
        <f t="shared" si="0"/>
        <v>162</v>
      </c>
      <c r="Y3" s="178">
        <v>5</v>
      </c>
      <c r="Z3" s="178" t="s">
        <v>20</v>
      </c>
      <c r="AA3" s="178" t="s">
        <v>20</v>
      </c>
      <c r="AB3" s="178" t="s">
        <v>20</v>
      </c>
      <c r="AC3" s="180" t="s">
        <v>21</v>
      </c>
      <c r="AD3" s="181" t="s">
        <v>1472</v>
      </c>
      <c r="AE3" s="178" t="s">
        <v>18</v>
      </c>
      <c r="AF3" s="182" t="s">
        <v>21</v>
      </c>
      <c r="AG3" s="174" t="s">
        <v>1173</v>
      </c>
      <c r="AH3" s="179">
        <f t="shared" si="1"/>
        <v>33</v>
      </c>
      <c r="AI3" s="178">
        <v>2</v>
      </c>
      <c r="AJ3" s="178">
        <f t="shared" si="2"/>
        <v>6372</v>
      </c>
      <c r="AK3" s="179">
        <f t="shared" si="3"/>
        <v>32.4</v>
      </c>
      <c r="AL3" s="183">
        <v>0</v>
      </c>
      <c r="AM3" s="183">
        <f t="shared" si="4"/>
        <v>1980000</v>
      </c>
      <c r="AN3" s="183">
        <f t="shared" si="5"/>
        <v>2475000</v>
      </c>
      <c r="AO3" s="183">
        <f t="shared" si="6"/>
        <v>4050000</v>
      </c>
      <c r="AP3" s="183">
        <f t="shared" si="7"/>
        <v>15483960</v>
      </c>
      <c r="AR3" s="183">
        <f t="shared" si="8"/>
        <v>0</v>
      </c>
      <c r="AS3" s="183">
        <f t="shared" si="9"/>
        <v>23988960</v>
      </c>
      <c r="AT3" s="174"/>
      <c r="AU3" s="174"/>
      <c r="AV3" s="174"/>
      <c r="AW3" s="174"/>
    </row>
    <row r="4" spans="1:49" ht="24.95" customHeight="1" x14ac:dyDescent="0.25">
      <c r="A4" s="174">
        <v>14616</v>
      </c>
      <c r="B4" s="175" t="s">
        <v>96</v>
      </c>
      <c r="C4" s="175" t="s">
        <v>39</v>
      </c>
      <c r="D4" s="176">
        <v>4</v>
      </c>
      <c r="E4" s="176">
        <v>2025</v>
      </c>
      <c r="F4" s="176">
        <v>2025</v>
      </c>
      <c r="G4" s="174" t="s">
        <v>1466</v>
      </c>
      <c r="H4" s="174" t="s">
        <v>336</v>
      </c>
      <c r="I4" s="174" t="s">
        <v>1467</v>
      </c>
      <c r="J4" s="177" t="s">
        <v>711</v>
      </c>
      <c r="K4" s="174" t="s">
        <v>712</v>
      </c>
      <c r="L4" s="174" t="s">
        <v>345</v>
      </c>
      <c r="M4" s="174" t="s">
        <v>346</v>
      </c>
      <c r="N4" s="174">
        <v>8</v>
      </c>
      <c r="O4" s="174" t="s">
        <v>709</v>
      </c>
      <c r="P4" s="174" t="s">
        <v>755</v>
      </c>
      <c r="Q4" s="174" t="s">
        <v>1473</v>
      </c>
      <c r="R4" s="174" t="s">
        <v>339</v>
      </c>
      <c r="S4" s="174" t="s">
        <v>19</v>
      </c>
      <c r="T4" s="174" t="s">
        <v>337</v>
      </c>
      <c r="U4" s="178">
        <v>15</v>
      </c>
      <c r="V4" s="178">
        <v>160</v>
      </c>
      <c r="W4" s="178">
        <v>12</v>
      </c>
      <c r="X4" s="179">
        <f t="shared" si="0"/>
        <v>172</v>
      </c>
      <c r="Y4" s="178">
        <v>5</v>
      </c>
      <c r="Z4" s="178" t="s">
        <v>20</v>
      </c>
      <c r="AA4" s="178" t="s">
        <v>20</v>
      </c>
      <c r="AB4" s="178" t="s">
        <v>20</v>
      </c>
      <c r="AC4" s="180" t="s">
        <v>21</v>
      </c>
      <c r="AD4" s="181" t="s">
        <v>1474</v>
      </c>
      <c r="AE4" s="178" t="s">
        <v>18</v>
      </c>
      <c r="AF4" s="182" t="s">
        <v>21</v>
      </c>
      <c r="AG4" s="174" t="s">
        <v>1173</v>
      </c>
      <c r="AH4" s="179">
        <f t="shared" si="1"/>
        <v>35</v>
      </c>
      <c r="AI4" s="178">
        <v>2</v>
      </c>
      <c r="AJ4" s="178">
        <f t="shared" si="2"/>
        <v>6372</v>
      </c>
      <c r="AK4" s="179">
        <f t="shared" si="3"/>
        <v>34.4</v>
      </c>
      <c r="AL4" s="183">
        <v>0</v>
      </c>
      <c r="AM4" s="183">
        <f t="shared" si="4"/>
        <v>2100000</v>
      </c>
      <c r="AN4" s="183">
        <f t="shared" si="5"/>
        <v>2625000</v>
      </c>
      <c r="AO4" s="183">
        <f t="shared" si="6"/>
        <v>4050000</v>
      </c>
      <c r="AP4" s="183">
        <f t="shared" si="7"/>
        <v>16439760</v>
      </c>
      <c r="AR4" s="183">
        <f t="shared" si="8"/>
        <v>0</v>
      </c>
      <c r="AS4" s="183">
        <f t="shared" si="9"/>
        <v>25214760</v>
      </c>
      <c r="AT4" s="174"/>
      <c r="AU4" s="174"/>
      <c r="AV4" s="174"/>
      <c r="AW4" s="174"/>
    </row>
    <row r="5" spans="1:49" ht="24.95" customHeight="1" x14ac:dyDescent="0.25">
      <c r="A5" s="174">
        <v>14617</v>
      </c>
      <c r="B5" s="175" t="s">
        <v>96</v>
      </c>
      <c r="C5" s="175" t="s">
        <v>39</v>
      </c>
      <c r="D5" s="176">
        <v>4</v>
      </c>
      <c r="E5" s="176">
        <v>2025</v>
      </c>
      <c r="F5" s="176">
        <v>2025</v>
      </c>
      <c r="G5" s="174" t="s">
        <v>1466</v>
      </c>
      <c r="H5" s="174" t="s">
        <v>336</v>
      </c>
      <c r="I5" s="174" t="s">
        <v>1467</v>
      </c>
      <c r="J5" s="177" t="s">
        <v>350</v>
      </c>
      <c r="K5" s="174" t="s">
        <v>349</v>
      </c>
      <c r="L5" s="174" t="s">
        <v>345</v>
      </c>
      <c r="M5" s="174" t="s">
        <v>346</v>
      </c>
      <c r="N5" s="174">
        <v>8</v>
      </c>
      <c r="O5" s="174" t="s">
        <v>709</v>
      </c>
      <c r="P5" s="174" t="s">
        <v>755</v>
      </c>
      <c r="Q5" s="174" t="s">
        <v>1473</v>
      </c>
      <c r="R5" s="174" t="s">
        <v>339</v>
      </c>
      <c r="S5" s="174" t="s">
        <v>19</v>
      </c>
      <c r="T5" s="174" t="s">
        <v>337</v>
      </c>
      <c r="U5" s="178">
        <v>15</v>
      </c>
      <c r="V5" s="178">
        <v>110</v>
      </c>
      <c r="W5" s="178">
        <v>12</v>
      </c>
      <c r="X5" s="179">
        <f t="shared" si="0"/>
        <v>122</v>
      </c>
      <c r="Y5" s="178">
        <v>5</v>
      </c>
      <c r="Z5" s="178" t="s">
        <v>20</v>
      </c>
      <c r="AA5" s="178" t="s">
        <v>20</v>
      </c>
      <c r="AB5" s="178" t="s">
        <v>20</v>
      </c>
      <c r="AC5" s="180" t="s">
        <v>21</v>
      </c>
      <c r="AD5" s="181" t="s">
        <v>1475</v>
      </c>
      <c r="AE5" s="178" t="s">
        <v>18</v>
      </c>
      <c r="AF5" s="182" t="s">
        <v>21</v>
      </c>
      <c r="AG5" s="174" t="s">
        <v>1173</v>
      </c>
      <c r="AH5" s="179">
        <f t="shared" si="1"/>
        <v>25</v>
      </c>
      <c r="AI5" s="178">
        <v>2</v>
      </c>
      <c r="AJ5" s="178">
        <f t="shared" si="2"/>
        <v>6372</v>
      </c>
      <c r="AK5" s="179">
        <f t="shared" si="3"/>
        <v>24.4</v>
      </c>
      <c r="AL5" s="183">
        <v>0</v>
      </c>
      <c r="AM5" s="183">
        <f t="shared" si="4"/>
        <v>1500000</v>
      </c>
      <c r="AN5" s="183">
        <f t="shared" si="5"/>
        <v>1875000</v>
      </c>
      <c r="AO5" s="183">
        <f t="shared" si="6"/>
        <v>4050000</v>
      </c>
      <c r="AP5" s="183">
        <f t="shared" si="7"/>
        <v>11660760</v>
      </c>
      <c r="AR5" s="183">
        <f t="shared" si="8"/>
        <v>0</v>
      </c>
      <c r="AS5" s="183">
        <f t="shared" si="9"/>
        <v>19085760</v>
      </c>
      <c r="AT5" s="174"/>
      <c r="AU5" s="174"/>
      <c r="AV5" s="174"/>
      <c r="AW5" s="174"/>
    </row>
    <row r="6" spans="1:49" ht="24.95" customHeight="1" x14ac:dyDescent="0.25">
      <c r="A6" s="174">
        <v>14622</v>
      </c>
      <c r="B6" s="175" t="s">
        <v>96</v>
      </c>
      <c r="C6" s="175" t="s">
        <v>39</v>
      </c>
      <c r="D6" s="176">
        <v>4</v>
      </c>
      <c r="E6" s="176">
        <v>2025</v>
      </c>
      <c r="F6" s="176">
        <v>2025</v>
      </c>
      <c r="G6" s="174" t="s">
        <v>1466</v>
      </c>
      <c r="H6" s="174" t="s">
        <v>336</v>
      </c>
      <c r="I6" s="174" t="s">
        <v>1467</v>
      </c>
      <c r="J6" s="177" t="s">
        <v>786</v>
      </c>
      <c r="K6" s="174" t="s">
        <v>785</v>
      </c>
      <c r="L6" s="174" t="s">
        <v>345</v>
      </c>
      <c r="M6" s="174" t="s">
        <v>346</v>
      </c>
      <c r="N6" s="174">
        <v>8</v>
      </c>
      <c r="O6" s="174" t="s">
        <v>709</v>
      </c>
      <c r="P6" s="174" t="s">
        <v>829</v>
      </c>
      <c r="Q6" s="174" t="s">
        <v>418</v>
      </c>
      <c r="R6" s="174" t="s">
        <v>339</v>
      </c>
      <c r="S6" s="174" t="s">
        <v>19</v>
      </c>
      <c r="T6" s="174" t="s">
        <v>337</v>
      </c>
      <c r="U6" s="178">
        <v>15</v>
      </c>
      <c r="V6" s="178">
        <v>120</v>
      </c>
      <c r="W6" s="178">
        <v>12</v>
      </c>
      <c r="X6" s="179">
        <f t="shared" si="0"/>
        <v>132</v>
      </c>
      <c r="Y6" s="178">
        <v>5</v>
      </c>
      <c r="Z6" s="178" t="s">
        <v>20</v>
      </c>
      <c r="AA6" s="178" t="s">
        <v>20</v>
      </c>
      <c r="AB6" s="178" t="s">
        <v>20</v>
      </c>
      <c r="AC6" s="180" t="s">
        <v>21</v>
      </c>
      <c r="AD6" s="181" t="s">
        <v>1476</v>
      </c>
      <c r="AE6" s="178" t="s">
        <v>18</v>
      </c>
      <c r="AF6" s="182" t="s">
        <v>21</v>
      </c>
      <c r="AG6" s="174" t="s">
        <v>1173</v>
      </c>
      <c r="AH6" s="179">
        <f t="shared" si="1"/>
        <v>27</v>
      </c>
      <c r="AI6" s="178">
        <v>2</v>
      </c>
      <c r="AJ6" s="178">
        <f t="shared" si="2"/>
        <v>6372</v>
      </c>
      <c r="AK6" s="179">
        <f t="shared" si="3"/>
        <v>26.4</v>
      </c>
      <c r="AL6" s="183">
        <v>0</v>
      </c>
      <c r="AM6" s="183">
        <f t="shared" si="4"/>
        <v>1620000</v>
      </c>
      <c r="AN6" s="183">
        <f t="shared" si="5"/>
        <v>2025000</v>
      </c>
      <c r="AO6" s="183">
        <f t="shared" si="6"/>
        <v>4050000</v>
      </c>
      <c r="AP6" s="183">
        <f t="shared" si="7"/>
        <v>12616560</v>
      </c>
      <c r="AR6" s="183">
        <f t="shared" si="8"/>
        <v>0</v>
      </c>
      <c r="AS6" s="183">
        <f t="shared" si="9"/>
        <v>20311560</v>
      </c>
      <c r="AT6" s="174"/>
      <c r="AU6" s="174"/>
      <c r="AV6" s="174"/>
      <c r="AW6" s="174"/>
    </row>
    <row r="7" spans="1:49" ht="24.95" customHeight="1" x14ac:dyDescent="0.25">
      <c r="A7" s="174">
        <v>14623</v>
      </c>
      <c r="B7" s="175" t="s">
        <v>96</v>
      </c>
      <c r="C7" s="175" t="s">
        <v>39</v>
      </c>
      <c r="D7" s="176">
        <v>4</v>
      </c>
      <c r="E7" s="176">
        <v>2025</v>
      </c>
      <c r="F7" s="176">
        <v>2025</v>
      </c>
      <c r="G7" s="174" t="s">
        <v>1466</v>
      </c>
      <c r="H7" s="174" t="s">
        <v>336</v>
      </c>
      <c r="I7" s="174" t="s">
        <v>1467</v>
      </c>
      <c r="J7" s="177" t="s">
        <v>413</v>
      </c>
      <c r="K7" s="174" t="s">
        <v>414</v>
      </c>
      <c r="L7" s="174" t="s">
        <v>345</v>
      </c>
      <c r="M7" s="174" t="s">
        <v>346</v>
      </c>
      <c r="N7" s="174">
        <v>8</v>
      </c>
      <c r="O7" s="174" t="s">
        <v>709</v>
      </c>
      <c r="P7" s="174" t="s">
        <v>1477</v>
      </c>
      <c r="Q7" s="174" t="s">
        <v>1469</v>
      </c>
      <c r="R7" s="174" t="s">
        <v>339</v>
      </c>
      <c r="S7" s="174" t="s">
        <v>19</v>
      </c>
      <c r="T7" s="174" t="s">
        <v>337</v>
      </c>
      <c r="U7" s="178">
        <v>15</v>
      </c>
      <c r="V7" s="178">
        <v>100</v>
      </c>
      <c r="W7" s="178">
        <v>12</v>
      </c>
      <c r="X7" s="179">
        <f t="shared" si="0"/>
        <v>112</v>
      </c>
      <c r="Y7" s="178">
        <v>5</v>
      </c>
      <c r="Z7" s="178" t="s">
        <v>20</v>
      </c>
      <c r="AA7" s="178" t="s">
        <v>20</v>
      </c>
      <c r="AB7" s="178" t="s">
        <v>20</v>
      </c>
      <c r="AC7" s="180" t="s">
        <v>21</v>
      </c>
      <c r="AD7" s="181" t="s">
        <v>1478</v>
      </c>
      <c r="AE7" s="178" t="s">
        <v>18</v>
      </c>
      <c r="AF7" s="182" t="s">
        <v>21</v>
      </c>
      <c r="AG7" s="174" t="s">
        <v>1173</v>
      </c>
      <c r="AH7" s="179">
        <f t="shared" si="1"/>
        <v>23</v>
      </c>
      <c r="AI7" s="178">
        <v>1</v>
      </c>
      <c r="AJ7" s="178">
        <f t="shared" si="2"/>
        <v>5074</v>
      </c>
      <c r="AK7" s="179">
        <f t="shared" si="3"/>
        <v>22.4</v>
      </c>
      <c r="AL7" s="183">
        <v>0</v>
      </c>
      <c r="AM7" s="183">
        <f t="shared" si="4"/>
        <v>1380000</v>
      </c>
      <c r="AN7" s="183">
        <f t="shared" si="5"/>
        <v>1725000</v>
      </c>
      <c r="AO7" s="183">
        <f t="shared" si="6"/>
        <v>4050000</v>
      </c>
      <c r="AP7" s="183">
        <f t="shared" si="7"/>
        <v>8524320</v>
      </c>
      <c r="AR7" s="183">
        <f t="shared" si="8"/>
        <v>0</v>
      </c>
      <c r="AS7" s="183">
        <f t="shared" si="9"/>
        <v>15679320</v>
      </c>
      <c r="AT7" s="174"/>
      <c r="AU7" s="174"/>
      <c r="AV7" s="174"/>
      <c r="AW7" s="174"/>
    </row>
    <row r="8" spans="1:49" ht="24.95" customHeight="1" x14ac:dyDescent="0.25">
      <c r="A8" s="174">
        <v>14624</v>
      </c>
      <c r="B8" s="175" t="s">
        <v>96</v>
      </c>
      <c r="C8" s="175" t="s">
        <v>39</v>
      </c>
      <c r="D8" s="176">
        <v>4</v>
      </c>
      <c r="E8" s="176">
        <v>2025</v>
      </c>
      <c r="F8" s="176">
        <v>2025</v>
      </c>
      <c r="G8" s="174" t="s">
        <v>1466</v>
      </c>
      <c r="H8" s="174" t="s">
        <v>336</v>
      </c>
      <c r="I8" s="174" t="s">
        <v>1467</v>
      </c>
      <c r="J8" s="177" t="s">
        <v>804</v>
      </c>
      <c r="K8" s="174" t="s">
        <v>803</v>
      </c>
      <c r="L8" s="174" t="s">
        <v>345</v>
      </c>
      <c r="M8" s="174" t="s">
        <v>346</v>
      </c>
      <c r="N8" s="174">
        <v>8</v>
      </c>
      <c r="O8" s="174" t="s">
        <v>709</v>
      </c>
      <c r="P8" s="174" t="s">
        <v>1479</v>
      </c>
      <c r="Q8" s="174" t="s">
        <v>418</v>
      </c>
      <c r="R8" s="174" t="s">
        <v>339</v>
      </c>
      <c r="S8" s="174" t="s">
        <v>19</v>
      </c>
      <c r="T8" s="174" t="s">
        <v>337</v>
      </c>
      <c r="U8" s="178">
        <v>15</v>
      </c>
      <c r="V8" s="178">
        <v>172</v>
      </c>
      <c r="W8" s="178">
        <v>12</v>
      </c>
      <c r="X8" s="179">
        <f t="shared" si="0"/>
        <v>184</v>
      </c>
      <c r="Y8" s="178">
        <v>5</v>
      </c>
      <c r="Z8" s="178" t="s">
        <v>20</v>
      </c>
      <c r="AA8" s="178" t="s">
        <v>20</v>
      </c>
      <c r="AB8" s="178" t="s">
        <v>20</v>
      </c>
      <c r="AC8" s="180" t="s">
        <v>21</v>
      </c>
      <c r="AD8" s="181" t="s">
        <v>1480</v>
      </c>
      <c r="AE8" s="178" t="s">
        <v>18</v>
      </c>
      <c r="AF8" s="182" t="s">
        <v>21</v>
      </c>
      <c r="AG8" s="174" t="s">
        <v>1173</v>
      </c>
      <c r="AH8" s="179">
        <f t="shared" si="1"/>
        <v>37</v>
      </c>
      <c r="AI8" s="178">
        <v>2</v>
      </c>
      <c r="AJ8" s="178">
        <f t="shared" si="2"/>
        <v>6372</v>
      </c>
      <c r="AK8" s="179">
        <f t="shared" si="3"/>
        <v>36.799999999999997</v>
      </c>
      <c r="AL8" s="183">
        <v>0</v>
      </c>
      <c r="AM8" s="183">
        <f t="shared" si="4"/>
        <v>2220000</v>
      </c>
      <c r="AN8" s="183">
        <f t="shared" si="5"/>
        <v>2775000</v>
      </c>
      <c r="AO8" s="183">
        <f t="shared" si="6"/>
        <v>4050000</v>
      </c>
      <c r="AP8" s="183">
        <f t="shared" si="7"/>
        <v>17586720</v>
      </c>
      <c r="AR8" s="183">
        <f t="shared" si="8"/>
        <v>0</v>
      </c>
      <c r="AS8" s="183">
        <f t="shared" si="9"/>
        <v>26631720</v>
      </c>
      <c r="AT8" s="174"/>
      <c r="AU8" s="174"/>
      <c r="AV8" s="174"/>
      <c r="AW8" s="174"/>
    </row>
    <row r="9" spans="1:49" ht="24.95" customHeight="1" x14ac:dyDescent="0.25">
      <c r="A9" s="174">
        <v>14625</v>
      </c>
      <c r="B9" s="175" t="s">
        <v>96</v>
      </c>
      <c r="C9" s="175" t="s">
        <v>39</v>
      </c>
      <c r="D9" s="176">
        <v>4</v>
      </c>
      <c r="E9" s="176">
        <v>2025</v>
      </c>
      <c r="F9" s="176">
        <v>2025</v>
      </c>
      <c r="G9" s="174" t="s">
        <v>1466</v>
      </c>
      <c r="H9" s="174" t="s">
        <v>336</v>
      </c>
      <c r="I9" s="174" t="s">
        <v>1467</v>
      </c>
      <c r="J9" s="177" t="s">
        <v>1481</v>
      </c>
      <c r="K9" s="174" t="s">
        <v>1482</v>
      </c>
      <c r="L9" s="174" t="s">
        <v>345</v>
      </c>
      <c r="M9" s="174" t="s">
        <v>346</v>
      </c>
      <c r="N9" s="174">
        <v>8</v>
      </c>
      <c r="O9" s="174" t="s">
        <v>709</v>
      </c>
      <c r="P9" s="174" t="s">
        <v>1479</v>
      </c>
      <c r="Q9" s="174" t="s">
        <v>418</v>
      </c>
      <c r="R9" s="174" t="s">
        <v>339</v>
      </c>
      <c r="S9" s="174" t="s">
        <v>19</v>
      </c>
      <c r="T9" s="174" t="s">
        <v>337</v>
      </c>
      <c r="U9" s="178">
        <v>15</v>
      </c>
      <c r="V9" s="178">
        <v>170</v>
      </c>
      <c r="W9" s="178">
        <v>12</v>
      </c>
      <c r="X9" s="179">
        <f t="shared" si="0"/>
        <v>182</v>
      </c>
      <c r="Y9" s="178">
        <v>5</v>
      </c>
      <c r="Z9" s="178" t="s">
        <v>20</v>
      </c>
      <c r="AA9" s="178" t="s">
        <v>20</v>
      </c>
      <c r="AB9" s="178" t="s">
        <v>20</v>
      </c>
      <c r="AC9" s="180" t="s">
        <v>21</v>
      </c>
      <c r="AD9" s="181" t="s">
        <v>1483</v>
      </c>
      <c r="AE9" s="178" t="s">
        <v>18</v>
      </c>
      <c r="AF9" s="182" t="s">
        <v>21</v>
      </c>
      <c r="AG9" s="174" t="s">
        <v>1173</v>
      </c>
      <c r="AH9" s="179">
        <f t="shared" si="1"/>
        <v>37</v>
      </c>
      <c r="AI9" s="178">
        <v>2</v>
      </c>
      <c r="AJ9" s="178">
        <f t="shared" si="2"/>
        <v>6372</v>
      </c>
      <c r="AK9" s="179">
        <f t="shared" si="3"/>
        <v>36.4</v>
      </c>
      <c r="AL9" s="183">
        <v>0</v>
      </c>
      <c r="AM9" s="183">
        <f t="shared" si="4"/>
        <v>2220000</v>
      </c>
      <c r="AN9" s="183">
        <f t="shared" si="5"/>
        <v>2775000</v>
      </c>
      <c r="AO9" s="183">
        <f t="shared" si="6"/>
        <v>4050000</v>
      </c>
      <c r="AP9" s="183">
        <f t="shared" si="7"/>
        <v>17395560</v>
      </c>
      <c r="AR9" s="183">
        <f t="shared" si="8"/>
        <v>0</v>
      </c>
      <c r="AS9" s="183">
        <f t="shared" si="9"/>
        <v>26440560</v>
      </c>
      <c r="AT9" s="174"/>
      <c r="AU9" s="174"/>
      <c r="AV9" s="174"/>
      <c r="AW9" s="174"/>
    </row>
    <row r="10" spans="1:49" ht="24.95" customHeight="1" x14ac:dyDescent="0.25">
      <c r="A10" s="184">
        <v>14569</v>
      </c>
      <c r="B10" s="184" t="s">
        <v>82</v>
      </c>
      <c r="C10" s="184" t="s">
        <v>25</v>
      </c>
      <c r="D10" s="179">
        <v>1</v>
      </c>
      <c r="E10" s="179">
        <v>2025</v>
      </c>
      <c r="F10" s="179">
        <v>2025</v>
      </c>
      <c r="G10" s="177" t="s">
        <v>1484</v>
      </c>
      <c r="H10" s="184" t="s">
        <v>82</v>
      </c>
      <c r="I10" s="184" t="s">
        <v>101</v>
      </c>
      <c r="J10" s="177" t="s">
        <v>745</v>
      </c>
      <c r="K10" s="184" t="s">
        <v>744</v>
      </c>
      <c r="L10" s="184" t="s">
        <v>1485</v>
      </c>
      <c r="M10" s="184" t="s">
        <v>1486</v>
      </c>
      <c r="N10" s="179">
        <v>13</v>
      </c>
      <c r="O10" s="184" t="s">
        <v>382</v>
      </c>
      <c r="P10" s="184" t="s">
        <v>724</v>
      </c>
      <c r="Q10" s="184" t="s">
        <v>1487</v>
      </c>
      <c r="R10" s="184" t="s">
        <v>339</v>
      </c>
      <c r="S10" s="184" t="s">
        <v>22</v>
      </c>
      <c r="T10" s="184" t="s">
        <v>347</v>
      </c>
      <c r="U10" s="185">
        <v>18</v>
      </c>
      <c r="V10" s="185">
        <v>260</v>
      </c>
      <c r="W10" s="185">
        <v>16</v>
      </c>
      <c r="X10" s="179">
        <f t="shared" ref="X10:X22" si="10">(SUM(V10:W10))*1</f>
        <v>276</v>
      </c>
      <c r="Y10" s="185">
        <v>5</v>
      </c>
      <c r="Z10" s="185" t="s">
        <v>20</v>
      </c>
      <c r="AA10" s="185" t="s">
        <v>20</v>
      </c>
      <c r="AB10" s="179" t="s">
        <v>18</v>
      </c>
      <c r="AC10" s="186"/>
      <c r="AD10" s="181" t="s">
        <v>1488</v>
      </c>
      <c r="AE10" s="179" t="s">
        <v>20</v>
      </c>
      <c r="AF10" s="186" t="s">
        <v>995</v>
      </c>
      <c r="AG10" s="184" t="s">
        <v>1173</v>
      </c>
      <c r="AH10" s="179">
        <f t="shared" si="1"/>
        <v>56</v>
      </c>
      <c r="AI10" s="179">
        <v>3</v>
      </c>
      <c r="AJ10" s="183">
        <f t="shared" si="2"/>
        <v>7434</v>
      </c>
      <c r="AK10" s="179">
        <f t="shared" si="3"/>
        <v>55.2</v>
      </c>
      <c r="AL10" s="183">
        <v>350000</v>
      </c>
      <c r="AM10" s="183">
        <f>IF(Z10="SI",4000*U10*AH10,0)</f>
        <v>4032000</v>
      </c>
      <c r="AN10" s="183">
        <f t="shared" si="5"/>
        <v>5040000</v>
      </c>
      <c r="AO10" s="183">
        <f t="shared" si="6"/>
        <v>0</v>
      </c>
      <c r="AP10" s="183">
        <f t="shared" si="7"/>
        <v>36932112</v>
      </c>
      <c r="AR10" s="183">
        <f t="shared" si="8"/>
        <v>6300000</v>
      </c>
      <c r="AS10" s="183">
        <f t="shared" si="9"/>
        <v>52304112</v>
      </c>
    </row>
    <row r="11" spans="1:49" ht="24.95" customHeight="1" x14ac:dyDescent="0.25">
      <c r="A11" s="184">
        <v>14570</v>
      </c>
      <c r="B11" s="184" t="s">
        <v>82</v>
      </c>
      <c r="C11" s="184" t="s">
        <v>25</v>
      </c>
      <c r="D11" s="179">
        <v>1</v>
      </c>
      <c r="E11" s="179">
        <v>2025</v>
      </c>
      <c r="F11" s="179">
        <v>2025</v>
      </c>
      <c r="G11" s="177" t="s">
        <v>1484</v>
      </c>
      <c r="H11" s="184" t="s">
        <v>82</v>
      </c>
      <c r="I11" s="184" t="s">
        <v>101</v>
      </c>
      <c r="J11" s="177" t="s">
        <v>745</v>
      </c>
      <c r="K11" s="184" t="s">
        <v>744</v>
      </c>
      <c r="L11" s="184" t="s">
        <v>1485</v>
      </c>
      <c r="M11" s="184" t="s">
        <v>1486</v>
      </c>
      <c r="N11" s="179">
        <v>10</v>
      </c>
      <c r="O11" s="184" t="s">
        <v>706</v>
      </c>
      <c r="P11" s="184" t="s">
        <v>754</v>
      </c>
      <c r="Q11" s="184" t="s">
        <v>1487</v>
      </c>
      <c r="R11" s="184" t="s">
        <v>339</v>
      </c>
      <c r="S11" s="184" t="s">
        <v>22</v>
      </c>
      <c r="T11" s="184" t="s">
        <v>347</v>
      </c>
      <c r="U11" s="185">
        <v>20</v>
      </c>
      <c r="V11" s="185">
        <v>260</v>
      </c>
      <c r="W11" s="185">
        <v>16</v>
      </c>
      <c r="X11" s="179">
        <f t="shared" si="10"/>
        <v>276</v>
      </c>
      <c r="Y11" s="185">
        <v>5</v>
      </c>
      <c r="Z11" s="185" t="s">
        <v>20</v>
      </c>
      <c r="AA11" s="185" t="s">
        <v>20</v>
      </c>
      <c r="AB11" s="179" t="s">
        <v>18</v>
      </c>
      <c r="AC11" s="186" t="s">
        <v>21</v>
      </c>
      <c r="AD11" s="181" t="s">
        <v>1489</v>
      </c>
      <c r="AE11" s="179" t="s">
        <v>20</v>
      </c>
      <c r="AF11" s="186" t="s">
        <v>995</v>
      </c>
      <c r="AG11" s="184" t="s">
        <v>1173</v>
      </c>
      <c r="AH11" s="179">
        <f t="shared" si="1"/>
        <v>56</v>
      </c>
      <c r="AI11" s="179">
        <v>3</v>
      </c>
      <c r="AJ11" s="183">
        <f t="shared" si="2"/>
        <v>7434</v>
      </c>
      <c r="AK11" s="179">
        <f t="shared" si="3"/>
        <v>55.2</v>
      </c>
      <c r="AL11" s="183">
        <v>350000</v>
      </c>
      <c r="AM11" s="183">
        <f>IF(Z11="SI",(4000*U11*AH11),0)</f>
        <v>4480000</v>
      </c>
      <c r="AN11" s="183">
        <f t="shared" si="5"/>
        <v>5600000</v>
      </c>
      <c r="AO11" s="183">
        <f t="shared" si="6"/>
        <v>0</v>
      </c>
      <c r="AP11" s="183">
        <f t="shared" si="7"/>
        <v>41035680</v>
      </c>
      <c r="AR11" s="183">
        <f t="shared" si="8"/>
        <v>7000000</v>
      </c>
      <c r="AS11" s="183">
        <f t="shared" si="9"/>
        <v>58115680</v>
      </c>
    </row>
    <row r="12" spans="1:49" ht="24.95" customHeight="1" x14ac:dyDescent="0.25">
      <c r="A12" s="184">
        <v>14571</v>
      </c>
      <c r="B12" s="184" t="s">
        <v>82</v>
      </c>
      <c r="C12" s="184" t="s">
        <v>25</v>
      </c>
      <c r="D12" s="179">
        <v>1</v>
      </c>
      <c r="E12" s="179">
        <v>2025</v>
      </c>
      <c r="F12" s="179">
        <v>2025</v>
      </c>
      <c r="G12" s="177" t="s">
        <v>1484</v>
      </c>
      <c r="H12" s="184" t="s">
        <v>82</v>
      </c>
      <c r="I12" s="184" t="s">
        <v>101</v>
      </c>
      <c r="J12" s="177" t="s">
        <v>745</v>
      </c>
      <c r="K12" s="184" t="s">
        <v>744</v>
      </c>
      <c r="L12" s="184" t="s">
        <v>1485</v>
      </c>
      <c r="M12" s="184" t="s">
        <v>1486</v>
      </c>
      <c r="N12" s="179">
        <v>8</v>
      </c>
      <c r="O12" s="184" t="s">
        <v>709</v>
      </c>
      <c r="P12" s="184" t="s">
        <v>710</v>
      </c>
      <c r="Q12" s="184" t="s">
        <v>1487</v>
      </c>
      <c r="R12" s="184" t="s">
        <v>339</v>
      </c>
      <c r="S12" s="184" t="s">
        <v>22</v>
      </c>
      <c r="T12" s="184" t="s">
        <v>347</v>
      </c>
      <c r="U12" s="185">
        <v>20</v>
      </c>
      <c r="V12" s="185">
        <v>260</v>
      </c>
      <c r="W12" s="185">
        <v>16</v>
      </c>
      <c r="X12" s="179">
        <f t="shared" si="10"/>
        <v>276</v>
      </c>
      <c r="Y12" s="185">
        <v>5</v>
      </c>
      <c r="Z12" s="185" t="s">
        <v>20</v>
      </c>
      <c r="AA12" s="185" t="s">
        <v>20</v>
      </c>
      <c r="AB12" s="179" t="s">
        <v>18</v>
      </c>
      <c r="AC12" s="186" t="s">
        <v>21</v>
      </c>
      <c r="AD12" s="181" t="s">
        <v>1490</v>
      </c>
      <c r="AE12" s="179" t="s">
        <v>20</v>
      </c>
      <c r="AF12" s="186" t="s">
        <v>995</v>
      </c>
      <c r="AG12" s="184" t="s">
        <v>1173</v>
      </c>
      <c r="AH12" s="179">
        <f t="shared" si="1"/>
        <v>56</v>
      </c>
      <c r="AI12" s="179">
        <v>3</v>
      </c>
      <c r="AJ12" s="183">
        <f t="shared" si="2"/>
        <v>7434</v>
      </c>
      <c r="AK12" s="179">
        <f t="shared" si="3"/>
        <v>55.2</v>
      </c>
      <c r="AL12" s="183">
        <v>350000</v>
      </c>
      <c r="AM12" s="183">
        <f t="shared" ref="AM12:AM75" si="11">IF(Z12="SI",4000*U12*AH12,0)</f>
        <v>4480000</v>
      </c>
      <c r="AN12" s="183">
        <f t="shared" si="5"/>
        <v>5600000</v>
      </c>
      <c r="AO12" s="183">
        <f t="shared" si="6"/>
        <v>0</v>
      </c>
      <c r="AP12" s="183">
        <f t="shared" si="7"/>
        <v>41035680</v>
      </c>
      <c r="AR12" s="183">
        <f t="shared" si="8"/>
        <v>7000000</v>
      </c>
      <c r="AS12" s="183">
        <f t="shared" si="9"/>
        <v>58115680</v>
      </c>
    </row>
    <row r="13" spans="1:49" ht="24.95" customHeight="1" x14ac:dyDescent="0.25">
      <c r="A13" s="184">
        <v>14546</v>
      </c>
      <c r="B13" s="184" t="s">
        <v>1491</v>
      </c>
      <c r="C13" s="184" t="s">
        <v>1492</v>
      </c>
      <c r="D13" s="179">
        <v>1</v>
      </c>
      <c r="E13" s="179">
        <v>2025</v>
      </c>
      <c r="F13" s="179">
        <v>2025</v>
      </c>
      <c r="G13" s="177" t="s">
        <v>1466</v>
      </c>
      <c r="H13" s="184" t="s">
        <v>336</v>
      </c>
      <c r="I13" s="184" t="s">
        <v>1467</v>
      </c>
      <c r="J13" s="177" t="s">
        <v>745</v>
      </c>
      <c r="K13" s="184" t="s">
        <v>744</v>
      </c>
      <c r="L13" s="184" t="s">
        <v>345</v>
      </c>
      <c r="M13" s="184" t="s">
        <v>346</v>
      </c>
      <c r="N13" s="184">
        <v>9</v>
      </c>
      <c r="O13" s="184" t="s">
        <v>424</v>
      </c>
      <c r="P13" s="184" t="s">
        <v>871</v>
      </c>
      <c r="Q13" s="184" t="s">
        <v>1493</v>
      </c>
      <c r="R13" s="184" t="s">
        <v>339</v>
      </c>
      <c r="S13" s="184" t="s">
        <v>19</v>
      </c>
      <c r="T13" s="184" t="s">
        <v>337</v>
      </c>
      <c r="U13" s="185">
        <v>20</v>
      </c>
      <c r="V13" s="185">
        <v>260</v>
      </c>
      <c r="W13" s="185">
        <v>12</v>
      </c>
      <c r="X13" s="179">
        <f t="shared" si="10"/>
        <v>272</v>
      </c>
      <c r="Y13" s="185">
        <v>4</v>
      </c>
      <c r="Z13" s="185" t="s">
        <v>20</v>
      </c>
      <c r="AA13" s="185" t="s">
        <v>20</v>
      </c>
      <c r="AB13" s="185" t="s">
        <v>20</v>
      </c>
      <c r="AC13" s="186" t="s">
        <v>21</v>
      </c>
      <c r="AD13" s="181" t="s">
        <v>1494</v>
      </c>
      <c r="AE13" s="179" t="s">
        <v>20</v>
      </c>
      <c r="AF13" s="186" t="s">
        <v>995</v>
      </c>
      <c r="AG13" s="184" t="s">
        <v>1495</v>
      </c>
      <c r="AH13" s="179">
        <f t="shared" si="1"/>
        <v>68</v>
      </c>
      <c r="AI13" s="179">
        <v>2</v>
      </c>
      <c r="AJ13" s="183">
        <f t="shared" si="2"/>
        <v>6372</v>
      </c>
      <c r="AK13" s="179">
        <f t="shared" si="3"/>
        <v>68</v>
      </c>
      <c r="AL13" s="183">
        <v>300000</v>
      </c>
      <c r="AM13" s="183">
        <f t="shared" si="11"/>
        <v>5440000</v>
      </c>
      <c r="AN13" s="183">
        <f t="shared" si="5"/>
        <v>6800000</v>
      </c>
      <c r="AO13" s="183">
        <f t="shared" si="6"/>
        <v>5400000</v>
      </c>
      <c r="AP13" s="183">
        <f t="shared" si="7"/>
        <v>34663680</v>
      </c>
      <c r="AR13" s="183">
        <f t="shared" si="8"/>
        <v>6000000</v>
      </c>
      <c r="AS13" s="183">
        <f t="shared" si="9"/>
        <v>58303680</v>
      </c>
    </row>
    <row r="14" spans="1:49" ht="24.95" customHeight="1" x14ac:dyDescent="0.25">
      <c r="A14" s="184">
        <v>14547</v>
      </c>
      <c r="B14" s="184" t="s">
        <v>1491</v>
      </c>
      <c r="C14" s="184" t="s">
        <v>1492</v>
      </c>
      <c r="D14" s="179">
        <v>1</v>
      </c>
      <c r="E14" s="179">
        <v>2025</v>
      </c>
      <c r="F14" s="179">
        <v>2025</v>
      </c>
      <c r="G14" s="177" t="s">
        <v>1466</v>
      </c>
      <c r="H14" s="184" t="s">
        <v>336</v>
      </c>
      <c r="I14" s="184" t="s">
        <v>1467</v>
      </c>
      <c r="J14" s="177" t="s">
        <v>745</v>
      </c>
      <c r="K14" s="184" t="s">
        <v>744</v>
      </c>
      <c r="L14" s="184" t="s">
        <v>345</v>
      </c>
      <c r="M14" s="184" t="s">
        <v>346</v>
      </c>
      <c r="N14" s="184">
        <v>9</v>
      </c>
      <c r="O14" s="184" t="s">
        <v>424</v>
      </c>
      <c r="P14" s="184" t="s">
        <v>1496</v>
      </c>
      <c r="Q14" s="184" t="s">
        <v>1493</v>
      </c>
      <c r="R14" s="184" t="s">
        <v>339</v>
      </c>
      <c r="S14" s="184" t="s">
        <v>19</v>
      </c>
      <c r="T14" s="184" t="s">
        <v>337</v>
      </c>
      <c r="U14" s="185">
        <v>20</v>
      </c>
      <c r="V14" s="185">
        <v>260</v>
      </c>
      <c r="W14" s="185">
        <v>12</v>
      </c>
      <c r="X14" s="179">
        <f t="shared" si="10"/>
        <v>272</v>
      </c>
      <c r="Y14" s="185">
        <v>4</v>
      </c>
      <c r="Z14" s="185" t="s">
        <v>20</v>
      </c>
      <c r="AA14" s="185" t="s">
        <v>20</v>
      </c>
      <c r="AB14" s="185" t="s">
        <v>20</v>
      </c>
      <c r="AC14" s="186" t="s">
        <v>21</v>
      </c>
      <c r="AD14" s="181" t="s">
        <v>1494</v>
      </c>
      <c r="AE14" s="179" t="s">
        <v>20</v>
      </c>
      <c r="AF14" s="186" t="s">
        <v>995</v>
      </c>
      <c r="AG14" s="184" t="s">
        <v>1495</v>
      </c>
      <c r="AH14" s="179">
        <f t="shared" si="1"/>
        <v>68</v>
      </c>
      <c r="AI14" s="179">
        <v>2</v>
      </c>
      <c r="AJ14" s="183">
        <f t="shared" si="2"/>
        <v>6372</v>
      </c>
      <c r="AK14" s="179">
        <f t="shared" si="3"/>
        <v>68</v>
      </c>
      <c r="AL14" s="183">
        <v>300000</v>
      </c>
      <c r="AM14" s="183">
        <f t="shared" si="11"/>
        <v>5440000</v>
      </c>
      <c r="AN14" s="183">
        <f t="shared" si="5"/>
        <v>6800000</v>
      </c>
      <c r="AO14" s="183">
        <f t="shared" si="6"/>
        <v>5400000</v>
      </c>
      <c r="AP14" s="183">
        <f t="shared" si="7"/>
        <v>34663680</v>
      </c>
      <c r="AR14" s="183">
        <f t="shared" si="8"/>
        <v>6000000</v>
      </c>
      <c r="AS14" s="183">
        <f t="shared" si="9"/>
        <v>58303680</v>
      </c>
    </row>
    <row r="15" spans="1:49" ht="24.95" customHeight="1" x14ac:dyDescent="0.25">
      <c r="A15" s="184">
        <v>14548</v>
      </c>
      <c r="B15" s="184" t="s">
        <v>1491</v>
      </c>
      <c r="C15" s="184" t="s">
        <v>1492</v>
      </c>
      <c r="D15" s="179">
        <v>1</v>
      </c>
      <c r="E15" s="179">
        <v>2025</v>
      </c>
      <c r="F15" s="179">
        <v>2025</v>
      </c>
      <c r="G15" s="177" t="s">
        <v>1466</v>
      </c>
      <c r="H15" s="184" t="s">
        <v>336</v>
      </c>
      <c r="I15" s="184" t="s">
        <v>1467</v>
      </c>
      <c r="J15" s="177" t="s">
        <v>745</v>
      </c>
      <c r="K15" s="184" t="s">
        <v>744</v>
      </c>
      <c r="L15" s="184" t="s">
        <v>345</v>
      </c>
      <c r="M15" s="184" t="s">
        <v>346</v>
      </c>
      <c r="N15" s="184">
        <v>9</v>
      </c>
      <c r="O15" s="184" t="s">
        <v>424</v>
      </c>
      <c r="P15" s="184" t="s">
        <v>1497</v>
      </c>
      <c r="Q15" s="184" t="s">
        <v>1493</v>
      </c>
      <c r="R15" s="184" t="s">
        <v>339</v>
      </c>
      <c r="S15" s="184" t="s">
        <v>19</v>
      </c>
      <c r="T15" s="184" t="s">
        <v>337</v>
      </c>
      <c r="U15" s="185">
        <v>20</v>
      </c>
      <c r="V15" s="185">
        <v>260</v>
      </c>
      <c r="W15" s="185">
        <v>12</v>
      </c>
      <c r="X15" s="179">
        <f t="shared" si="10"/>
        <v>272</v>
      </c>
      <c r="Y15" s="185">
        <v>4</v>
      </c>
      <c r="Z15" s="185" t="s">
        <v>20</v>
      </c>
      <c r="AA15" s="185" t="s">
        <v>20</v>
      </c>
      <c r="AB15" s="185" t="s">
        <v>20</v>
      </c>
      <c r="AC15" s="186" t="s">
        <v>21</v>
      </c>
      <c r="AD15" s="181" t="s">
        <v>1494</v>
      </c>
      <c r="AE15" s="179" t="s">
        <v>20</v>
      </c>
      <c r="AF15" s="186" t="s">
        <v>995</v>
      </c>
      <c r="AG15" s="184" t="s">
        <v>1495</v>
      </c>
      <c r="AH15" s="179">
        <f t="shared" si="1"/>
        <v>68</v>
      </c>
      <c r="AI15" s="179">
        <v>2</v>
      </c>
      <c r="AJ15" s="183">
        <f t="shared" si="2"/>
        <v>6372</v>
      </c>
      <c r="AK15" s="179">
        <f t="shared" si="3"/>
        <v>68</v>
      </c>
      <c r="AL15" s="183">
        <v>300000</v>
      </c>
      <c r="AM15" s="183">
        <f t="shared" si="11"/>
        <v>5440000</v>
      </c>
      <c r="AN15" s="183">
        <f t="shared" si="5"/>
        <v>6800000</v>
      </c>
      <c r="AO15" s="183">
        <f t="shared" si="6"/>
        <v>5400000</v>
      </c>
      <c r="AP15" s="183">
        <f t="shared" si="7"/>
        <v>34663680</v>
      </c>
      <c r="AR15" s="183">
        <f t="shared" si="8"/>
        <v>6000000</v>
      </c>
      <c r="AS15" s="183">
        <f t="shared" si="9"/>
        <v>58303680</v>
      </c>
    </row>
    <row r="16" spans="1:49" ht="24.95" customHeight="1" x14ac:dyDescent="0.25">
      <c r="A16" s="175">
        <v>14223</v>
      </c>
      <c r="B16" s="175" t="s">
        <v>98</v>
      </c>
      <c r="C16" s="175" t="s">
        <v>41</v>
      </c>
      <c r="D16" s="176">
        <v>1</v>
      </c>
      <c r="E16" s="176">
        <v>2025</v>
      </c>
      <c r="F16" s="176">
        <v>2025</v>
      </c>
      <c r="G16" s="175" t="s">
        <v>23</v>
      </c>
      <c r="H16" s="175" t="s">
        <v>98</v>
      </c>
      <c r="I16" s="175" t="s">
        <v>1175</v>
      </c>
      <c r="J16" s="177" t="s">
        <v>869</v>
      </c>
      <c r="K16" s="175" t="s">
        <v>868</v>
      </c>
      <c r="L16" s="175" t="s">
        <v>21</v>
      </c>
      <c r="M16" s="175" t="s">
        <v>21</v>
      </c>
      <c r="N16" s="175">
        <v>8</v>
      </c>
      <c r="O16" s="175" t="s">
        <v>709</v>
      </c>
      <c r="P16" s="175" t="s">
        <v>764</v>
      </c>
      <c r="Q16" s="175" t="s">
        <v>388</v>
      </c>
      <c r="R16" s="175" t="s">
        <v>339</v>
      </c>
      <c r="S16" s="175" t="s">
        <v>19</v>
      </c>
      <c r="T16" s="175" t="s">
        <v>337</v>
      </c>
      <c r="U16" s="176">
        <v>10</v>
      </c>
      <c r="V16" s="176">
        <v>176</v>
      </c>
      <c r="W16" s="176" t="s">
        <v>21</v>
      </c>
      <c r="X16" s="179">
        <f t="shared" si="10"/>
        <v>176</v>
      </c>
      <c r="Y16" s="176">
        <v>4</v>
      </c>
      <c r="Z16" s="176" t="s">
        <v>20</v>
      </c>
      <c r="AA16" s="176" t="s">
        <v>18</v>
      </c>
      <c r="AB16" s="185" t="s">
        <v>18</v>
      </c>
      <c r="AC16" s="186" t="s">
        <v>21</v>
      </c>
      <c r="AD16" s="181" t="s">
        <v>1498</v>
      </c>
      <c r="AE16" s="179" t="s">
        <v>20</v>
      </c>
      <c r="AF16" s="181" t="s">
        <v>995</v>
      </c>
      <c r="AG16" s="175" t="s">
        <v>1173</v>
      </c>
      <c r="AH16" s="179">
        <f t="shared" si="1"/>
        <v>44</v>
      </c>
      <c r="AI16" s="179">
        <f>VLOOKUP(K16,[1]TRAMO!$A:$B,2,0)</f>
        <v>3</v>
      </c>
      <c r="AJ16" s="183">
        <f t="shared" si="2"/>
        <v>7434</v>
      </c>
      <c r="AK16" s="179">
        <f t="shared" si="3"/>
        <v>44</v>
      </c>
      <c r="AL16" s="183">
        <v>300000</v>
      </c>
      <c r="AM16" s="183">
        <f t="shared" si="11"/>
        <v>1760000</v>
      </c>
      <c r="AN16" s="183">
        <f t="shared" si="5"/>
        <v>0</v>
      </c>
      <c r="AO16" s="183">
        <f t="shared" si="6"/>
        <v>0</v>
      </c>
      <c r="AP16" s="183">
        <f t="shared" si="7"/>
        <v>13083840</v>
      </c>
      <c r="AR16" s="183">
        <f t="shared" si="8"/>
        <v>3000000</v>
      </c>
      <c r="AS16" s="183">
        <f t="shared" si="9"/>
        <v>17843840</v>
      </c>
      <c r="AT16" s="175" t="s">
        <v>1499</v>
      </c>
      <c r="AU16" s="175" t="s">
        <v>1500</v>
      </c>
      <c r="AV16" s="175" t="s">
        <v>1501</v>
      </c>
      <c r="AW16" s="175" t="s">
        <v>873</v>
      </c>
    </row>
    <row r="17" spans="1:49" ht="24.95" customHeight="1" x14ac:dyDescent="0.25">
      <c r="A17" s="175">
        <v>14345</v>
      </c>
      <c r="B17" s="175" t="s">
        <v>86</v>
      </c>
      <c r="C17" s="175" t="s">
        <v>29</v>
      </c>
      <c r="D17" s="176">
        <v>1</v>
      </c>
      <c r="E17" s="176">
        <v>2025</v>
      </c>
      <c r="F17" s="176">
        <v>2025</v>
      </c>
      <c r="G17" s="175" t="s">
        <v>23</v>
      </c>
      <c r="H17" s="175" t="s">
        <v>86</v>
      </c>
      <c r="I17" s="175" t="s">
        <v>105</v>
      </c>
      <c r="J17" s="177" t="s">
        <v>1502</v>
      </c>
      <c r="K17" s="175" t="s">
        <v>1503</v>
      </c>
      <c r="L17" s="175" t="s">
        <v>21</v>
      </c>
      <c r="M17" s="175" t="s">
        <v>21</v>
      </c>
      <c r="N17" s="175">
        <v>2</v>
      </c>
      <c r="O17" s="175" t="s">
        <v>798</v>
      </c>
      <c r="P17" s="175" t="s">
        <v>797</v>
      </c>
      <c r="Q17" s="175" t="s">
        <v>1504</v>
      </c>
      <c r="R17" s="175" t="s">
        <v>339</v>
      </c>
      <c r="S17" s="175" t="s">
        <v>22</v>
      </c>
      <c r="T17" s="175" t="s">
        <v>337</v>
      </c>
      <c r="U17" s="176">
        <v>10</v>
      </c>
      <c r="V17" s="176">
        <v>176</v>
      </c>
      <c r="W17" s="176" t="s">
        <v>21</v>
      </c>
      <c r="X17" s="179">
        <f t="shared" si="10"/>
        <v>176</v>
      </c>
      <c r="Y17" s="176">
        <v>4</v>
      </c>
      <c r="Z17" s="176" t="s">
        <v>20</v>
      </c>
      <c r="AA17" s="176" t="s">
        <v>18</v>
      </c>
      <c r="AB17" s="185" t="s">
        <v>18</v>
      </c>
      <c r="AC17" s="186" t="s">
        <v>21</v>
      </c>
      <c r="AD17" s="181" t="s">
        <v>1505</v>
      </c>
      <c r="AE17" s="179" t="s">
        <v>20</v>
      </c>
      <c r="AF17" s="181" t="s">
        <v>995</v>
      </c>
      <c r="AG17" s="175" t="s">
        <v>1173</v>
      </c>
      <c r="AH17" s="179">
        <f t="shared" si="1"/>
        <v>44</v>
      </c>
      <c r="AI17" s="179">
        <v>3</v>
      </c>
      <c r="AJ17" s="183">
        <f t="shared" si="2"/>
        <v>7434</v>
      </c>
      <c r="AK17" s="179">
        <f t="shared" si="3"/>
        <v>44</v>
      </c>
      <c r="AL17" s="183">
        <v>300000</v>
      </c>
      <c r="AM17" s="183">
        <f t="shared" si="11"/>
        <v>1760000</v>
      </c>
      <c r="AN17" s="183">
        <f t="shared" si="5"/>
        <v>0</v>
      </c>
      <c r="AO17" s="183">
        <f t="shared" si="6"/>
        <v>0</v>
      </c>
      <c r="AP17" s="183">
        <f t="shared" si="7"/>
        <v>13083840</v>
      </c>
      <c r="AR17" s="183">
        <f t="shared" si="8"/>
        <v>3000000</v>
      </c>
      <c r="AS17" s="183">
        <f t="shared" si="9"/>
        <v>17843840</v>
      </c>
      <c r="AT17" s="175" t="s">
        <v>1506</v>
      </c>
      <c r="AU17" s="175" t="s">
        <v>1507</v>
      </c>
      <c r="AV17" s="175" t="s">
        <v>1508</v>
      </c>
      <c r="AW17" s="175" t="s">
        <v>1509</v>
      </c>
    </row>
    <row r="18" spans="1:49" ht="24.95" customHeight="1" x14ac:dyDescent="0.25">
      <c r="A18" s="175">
        <v>14315</v>
      </c>
      <c r="B18" s="175" t="s">
        <v>98</v>
      </c>
      <c r="C18" s="175" t="s">
        <v>41</v>
      </c>
      <c r="D18" s="176">
        <v>1</v>
      </c>
      <c r="E18" s="176">
        <v>2025</v>
      </c>
      <c r="F18" s="176">
        <v>2025</v>
      </c>
      <c r="G18" s="175" t="s">
        <v>23</v>
      </c>
      <c r="H18" s="175" t="s">
        <v>98</v>
      </c>
      <c r="I18" s="175" t="s">
        <v>1175</v>
      </c>
      <c r="J18" s="177" t="s">
        <v>869</v>
      </c>
      <c r="K18" s="175" t="s">
        <v>868</v>
      </c>
      <c r="L18" s="175" t="s">
        <v>345</v>
      </c>
      <c r="M18" s="175" t="s">
        <v>346</v>
      </c>
      <c r="N18" s="175">
        <v>13</v>
      </c>
      <c r="O18" s="175" t="s">
        <v>382</v>
      </c>
      <c r="P18" s="175" t="s">
        <v>730</v>
      </c>
      <c r="Q18" s="175" t="s">
        <v>1201</v>
      </c>
      <c r="R18" s="175" t="s">
        <v>339</v>
      </c>
      <c r="S18" s="175" t="s">
        <v>19</v>
      </c>
      <c r="T18" s="175" t="s">
        <v>337</v>
      </c>
      <c r="U18" s="176">
        <v>19</v>
      </c>
      <c r="V18" s="176">
        <v>176</v>
      </c>
      <c r="W18" s="176">
        <v>12</v>
      </c>
      <c r="X18" s="179">
        <f t="shared" si="10"/>
        <v>188</v>
      </c>
      <c r="Y18" s="176">
        <v>4</v>
      </c>
      <c r="Z18" s="176" t="s">
        <v>20</v>
      </c>
      <c r="AA18" s="176" t="s">
        <v>18</v>
      </c>
      <c r="AB18" s="176" t="s">
        <v>18</v>
      </c>
      <c r="AC18" s="186" t="s">
        <v>21</v>
      </c>
      <c r="AD18" s="181" t="s">
        <v>1510</v>
      </c>
      <c r="AE18" s="179" t="s">
        <v>20</v>
      </c>
      <c r="AF18" s="181" t="s">
        <v>995</v>
      </c>
      <c r="AG18" s="175" t="s">
        <v>1173</v>
      </c>
      <c r="AH18" s="179">
        <f t="shared" si="1"/>
        <v>47</v>
      </c>
      <c r="AI18" s="179">
        <f>VLOOKUP(K18,[1]TRAMO!$A:$B,2,0)</f>
        <v>3</v>
      </c>
      <c r="AJ18" s="183">
        <f t="shared" si="2"/>
        <v>7434</v>
      </c>
      <c r="AK18" s="179">
        <f t="shared" si="3"/>
        <v>47</v>
      </c>
      <c r="AL18" s="183">
        <v>300000</v>
      </c>
      <c r="AM18" s="183">
        <f t="shared" si="11"/>
        <v>3572000</v>
      </c>
      <c r="AN18" s="183">
        <f t="shared" si="5"/>
        <v>0</v>
      </c>
      <c r="AO18" s="183">
        <f t="shared" si="6"/>
        <v>0</v>
      </c>
      <c r="AP18" s="183">
        <f t="shared" si="7"/>
        <v>26554248</v>
      </c>
      <c r="AR18" s="183">
        <f t="shared" si="8"/>
        <v>5700000</v>
      </c>
      <c r="AS18" s="183">
        <f t="shared" si="9"/>
        <v>35826248</v>
      </c>
      <c r="AT18" s="175" t="s">
        <v>1511</v>
      </c>
      <c r="AU18" s="175" t="s">
        <v>1512</v>
      </c>
      <c r="AV18" s="175" t="s">
        <v>1513</v>
      </c>
      <c r="AW18" s="175" t="s">
        <v>1514</v>
      </c>
    </row>
    <row r="19" spans="1:49" ht="24.95" customHeight="1" x14ac:dyDescent="0.25">
      <c r="A19" s="175">
        <v>14389</v>
      </c>
      <c r="B19" s="175" t="s">
        <v>98</v>
      </c>
      <c r="C19" s="175" t="s">
        <v>41</v>
      </c>
      <c r="D19" s="176">
        <v>1</v>
      </c>
      <c r="E19" s="176">
        <v>2025</v>
      </c>
      <c r="F19" s="176">
        <v>2025</v>
      </c>
      <c r="G19" s="175" t="s">
        <v>23</v>
      </c>
      <c r="H19" s="175" t="s">
        <v>98</v>
      </c>
      <c r="I19" s="175" t="s">
        <v>1175</v>
      </c>
      <c r="J19" s="177" t="s">
        <v>869</v>
      </c>
      <c r="K19" s="175" t="s">
        <v>868</v>
      </c>
      <c r="L19" s="175" t="s">
        <v>345</v>
      </c>
      <c r="M19" s="175" t="s">
        <v>346</v>
      </c>
      <c r="N19" s="175">
        <v>13</v>
      </c>
      <c r="O19" s="175" t="s">
        <v>382</v>
      </c>
      <c r="P19" s="175" t="s">
        <v>724</v>
      </c>
      <c r="Q19" s="175" t="s">
        <v>1178</v>
      </c>
      <c r="R19" s="175" t="s">
        <v>339</v>
      </c>
      <c r="S19" s="175" t="s">
        <v>19</v>
      </c>
      <c r="T19" s="175" t="s">
        <v>348</v>
      </c>
      <c r="U19" s="176">
        <v>14</v>
      </c>
      <c r="V19" s="176">
        <v>176</v>
      </c>
      <c r="W19" s="176">
        <v>12</v>
      </c>
      <c r="X19" s="179">
        <f t="shared" si="10"/>
        <v>188</v>
      </c>
      <c r="Y19" s="176">
        <v>4</v>
      </c>
      <c r="Z19" s="176" t="s">
        <v>20</v>
      </c>
      <c r="AA19" s="176" t="s">
        <v>18</v>
      </c>
      <c r="AB19" s="176" t="s">
        <v>20</v>
      </c>
      <c r="AC19" s="186" t="s">
        <v>21</v>
      </c>
      <c r="AD19" s="181" t="s">
        <v>1198</v>
      </c>
      <c r="AE19" s="179" t="s">
        <v>20</v>
      </c>
      <c r="AF19" s="181" t="s">
        <v>995</v>
      </c>
      <c r="AG19" s="175" t="s">
        <v>1173</v>
      </c>
      <c r="AH19" s="179">
        <f t="shared" si="1"/>
        <v>47</v>
      </c>
      <c r="AI19" s="179">
        <f>VLOOKUP(K19,[1]TRAMO!$A:$B,2,0)</f>
        <v>3</v>
      </c>
      <c r="AJ19" s="183">
        <f t="shared" si="2"/>
        <v>7434</v>
      </c>
      <c r="AK19" s="179">
        <f t="shared" si="3"/>
        <v>47</v>
      </c>
      <c r="AL19" s="183">
        <v>300000</v>
      </c>
      <c r="AM19" s="183">
        <f t="shared" si="11"/>
        <v>2632000</v>
      </c>
      <c r="AN19" s="183">
        <f t="shared" si="5"/>
        <v>0</v>
      </c>
      <c r="AO19" s="183">
        <f t="shared" si="6"/>
        <v>3780000</v>
      </c>
      <c r="AP19" s="183">
        <f t="shared" si="7"/>
        <v>19566288</v>
      </c>
      <c r="AR19" s="183">
        <f t="shared" si="8"/>
        <v>4200000</v>
      </c>
      <c r="AS19" s="183">
        <f t="shared" si="9"/>
        <v>30178288</v>
      </c>
      <c r="AT19" s="175" t="s">
        <v>1515</v>
      </c>
      <c r="AU19" s="175" t="s">
        <v>1516</v>
      </c>
      <c r="AV19" s="175" t="s">
        <v>1347</v>
      </c>
      <c r="AW19" s="175" t="s">
        <v>1346</v>
      </c>
    </row>
    <row r="20" spans="1:49" ht="24.95" customHeight="1" x14ac:dyDescent="0.25">
      <c r="A20" s="175">
        <v>14288</v>
      </c>
      <c r="B20" s="175" t="s">
        <v>98</v>
      </c>
      <c r="C20" s="175" t="s">
        <v>41</v>
      </c>
      <c r="D20" s="176">
        <v>1</v>
      </c>
      <c r="E20" s="176">
        <v>2025</v>
      </c>
      <c r="F20" s="176">
        <v>2025</v>
      </c>
      <c r="G20" s="175" t="s">
        <v>23</v>
      </c>
      <c r="H20" s="175" t="s">
        <v>98</v>
      </c>
      <c r="I20" s="175" t="s">
        <v>1175</v>
      </c>
      <c r="J20" s="177" t="s">
        <v>745</v>
      </c>
      <c r="K20" s="175" t="s">
        <v>744</v>
      </c>
      <c r="L20" s="175" t="s">
        <v>345</v>
      </c>
      <c r="M20" s="175" t="s">
        <v>346</v>
      </c>
      <c r="N20" s="175">
        <v>2</v>
      </c>
      <c r="O20" s="175" t="s">
        <v>798</v>
      </c>
      <c r="P20" s="175" t="s">
        <v>1517</v>
      </c>
      <c r="Q20" s="175" t="s">
        <v>1201</v>
      </c>
      <c r="R20" s="175" t="s">
        <v>339</v>
      </c>
      <c r="S20" s="175" t="s">
        <v>19</v>
      </c>
      <c r="T20" s="175" t="s">
        <v>337</v>
      </c>
      <c r="U20" s="176">
        <v>10</v>
      </c>
      <c r="V20" s="176">
        <v>260</v>
      </c>
      <c r="W20" s="176">
        <v>12</v>
      </c>
      <c r="X20" s="179">
        <f t="shared" si="10"/>
        <v>272</v>
      </c>
      <c r="Y20" s="176">
        <v>4</v>
      </c>
      <c r="Z20" s="176" t="s">
        <v>20</v>
      </c>
      <c r="AA20" s="176" t="s">
        <v>18</v>
      </c>
      <c r="AB20" s="176" t="s">
        <v>20</v>
      </c>
      <c r="AC20" s="186" t="s">
        <v>21</v>
      </c>
      <c r="AD20" s="181" t="s">
        <v>1518</v>
      </c>
      <c r="AE20" s="179" t="s">
        <v>20</v>
      </c>
      <c r="AF20" s="181" t="s">
        <v>995</v>
      </c>
      <c r="AG20" s="175" t="s">
        <v>1173</v>
      </c>
      <c r="AH20" s="179">
        <f t="shared" si="1"/>
        <v>68</v>
      </c>
      <c r="AI20" s="179">
        <f>VLOOKUP(K20,[1]TRAMO!$A:$B,2,0)</f>
        <v>3</v>
      </c>
      <c r="AJ20" s="183">
        <f t="shared" si="2"/>
        <v>7434</v>
      </c>
      <c r="AK20" s="179">
        <f t="shared" si="3"/>
        <v>68</v>
      </c>
      <c r="AL20" s="183">
        <v>300000</v>
      </c>
      <c r="AM20" s="183">
        <f t="shared" si="11"/>
        <v>2720000</v>
      </c>
      <c r="AN20" s="183">
        <f t="shared" si="5"/>
        <v>0</v>
      </c>
      <c r="AO20" s="183">
        <f t="shared" si="6"/>
        <v>2700000</v>
      </c>
      <c r="AP20" s="183">
        <f t="shared" si="7"/>
        <v>20220480</v>
      </c>
      <c r="AR20" s="183">
        <f t="shared" si="8"/>
        <v>3000000</v>
      </c>
      <c r="AS20" s="183">
        <f t="shared" si="9"/>
        <v>28640480</v>
      </c>
      <c r="AT20" s="175" t="s">
        <v>1519</v>
      </c>
      <c r="AU20" s="175" t="s">
        <v>1520</v>
      </c>
      <c r="AV20" s="175" t="s">
        <v>1521</v>
      </c>
      <c r="AW20" s="175" t="s">
        <v>1522</v>
      </c>
    </row>
    <row r="21" spans="1:49" ht="24.95" customHeight="1" x14ac:dyDescent="0.25">
      <c r="A21" s="175">
        <v>14422</v>
      </c>
      <c r="B21" s="175" t="s">
        <v>98</v>
      </c>
      <c r="C21" s="175" t="s">
        <v>41</v>
      </c>
      <c r="D21" s="176">
        <v>1</v>
      </c>
      <c r="E21" s="176">
        <v>2025</v>
      </c>
      <c r="F21" s="176">
        <v>2025</v>
      </c>
      <c r="G21" s="175" t="s">
        <v>23</v>
      </c>
      <c r="H21" s="175" t="s">
        <v>98</v>
      </c>
      <c r="I21" s="175" t="s">
        <v>1175</v>
      </c>
      <c r="J21" s="177" t="s">
        <v>745</v>
      </c>
      <c r="K21" s="175" t="s">
        <v>744</v>
      </c>
      <c r="L21" s="175" t="s">
        <v>345</v>
      </c>
      <c r="M21" s="175" t="s">
        <v>346</v>
      </c>
      <c r="N21" s="175">
        <v>8</v>
      </c>
      <c r="O21" s="175" t="s">
        <v>709</v>
      </c>
      <c r="P21" s="175" t="s">
        <v>764</v>
      </c>
      <c r="Q21" s="175" t="s">
        <v>1201</v>
      </c>
      <c r="R21" s="175" t="s">
        <v>339</v>
      </c>
      <c r="S21" s="175" t="s">
        <v>19</v>
      </c>
      <c r="T21" s="175" t="s">
        <v>337</v>
      </c>
      <c r="U21" s="176">
        <v>10</v>
      </c>
      <c r="V21" s="176">
        <v>260</v>
      </c>
      <c r="W21" s="176">
        <v>12</v>
      </c>
      <c r="X21" s="179">
        <f t="shared" si="10"/>
        <v>272</v>
      </c>
      <c r="Y21" s="176">
        <v>4</v>
      </c>
      <c r="Z21" s="176" t="s">
        <v>20</v>
      </c>
      <c r="AA21" s="176" t="s">
        <v>18</v>
      </c>
      <c r="AB21" s="176" t="s">
        <v>20</v>
      </c>
      <c r="AC21" s="186" t="s">
        <v>21</v>
      </c>
      <c r="AD21" s="181" t="s">
        <v>1523</v>
      </c>
      <c r="AE21" s="179" t="s">
        <v>20</v>
      </c>
      <c r="AF21" s="181" t="s">
        <v>995</v>
      </c>
      <c r="AG21" s="175" t="s">
        <v>1173</v>
      </c>
      <c r="AH21" s="179">
        <f t="shared" si="1"/>
        <v>68</v>
      </c>
      <c r="AI21" s="179">
        <f>VLOOKUP(K21,[1]TRAMO!$A:$B,2,0)</f>
        <v>3</v>
      </c>
      <c r="AJ21" s="183">
        <f t="shared" si="2"/>
        <v>7434</v>
      </c>
      <c r="AK21" s="179">
        <f t="shared" si="3"/>
        <v>68</v>
      </c>
      <c r="AL21" s="183">
        <v>300000</v>
      </c>
      <c r="AM21" s="183">
        <f t="shared" si="11"/>
        <v>2720000</v>
      </c>
      <c r="AN21" s="183">
        <f t="shared" si="5"/>
        <v>0</v>
      </c>
      <c r="AO21" s="183">
        <f t="shared" si="6"/>
        <v>2700000</v>
      </c>
      <c r="AP21" s="183">
        <f t="shared" si="7"/>
        <v>20220480</v>
      </c>
      <c r="AR21" s="183">
        <f t="shared" si="8"/>
        <v>3000000</v>
      </c>
      <c r="AS21" s="183">
        <f t="shared" si="9"/>
        <v>28640480</v>
      </c>
      <c r="AT21" s="175" t="s">
        <v>1524</v>
      </c>
      <c r="AU21" s="175" t="s">
        <v>1525</v>
      </c>
      <c r="AV21" s="175" t="s">
        <v>1526</v>
      </c>
      <c r="AW21" s="175" t="s">
        <v>873</v>
      </c>
    </row>
    <row r="22" spans="1:49" ht="24.95" customHeight="1" x14ac:dyDescent="0.25">
      <c r="A22" s="175">
        <v>14430</v>
      </c>
      <c r="B22" s="175" t="s">
        <v>98</v>
      </c>
      <c r="C22" s="175" t="s">
        <v>41</v>
      </c>
      <c r="D22" s="176">
        <v>1</v>
      </c>
      <c r="E22" s="176">
        <v>2025</v>
      </c>
      <c r="F22" s="176">
        <v>2025</v>
      </c>
      <c r="G22" s="175" t="s">
        <v>23</v>
      </c>
      <c r="H22" s="175" t="s">
        <v>98</v>
      </c>
      <c r="I22" s="175" t="s">
        <v>1175</v>
      </c>
      <c r="J22" s="177" t="s">
        <v>745</v>
      </c>
      <c r="K22" s="175" t="s">
        <v>744</v>
      </c>
      <c r="L22" s="175" t="s">
        <v>345</v>
      </c>
      <c r="M22" s="175" t="s">
        <v>346</v>
      </c>
      <c r="N22" s="175">
        <v>7</v>
      </c>
      <c r="O22" s="175" t="s">
        <v>428</v>
      </c>
      <c r="P22" s="175" t="s">
        <v>430</v>
      </c>
      <c r="Q22" s="175" t="s">
        <v>1201</v>
      </c>
      <c r="R22" s="175" t="s">
        <v>339</v>
      </c>
      <c r="S22" s="175" t="s">
        <v>19</v>
      </c>
      <c r="T22" s="175" t="s">
        <v>337</v>
      </c>
      <c r="U22" s="176">
        <v>10</v>
      </c>
      <c r="V22" s="176">
        <v>260</v>
      </c>
      <c r="W22" s="176">
        <v>12</v>
      </c>
      <c r="X22" s="179">
        <f t="shared" si="10"/>
        <v>272</v>
      </c>
      <c r="Y22" s="176">
        <v>4</v>
      </c>
      <c r="Z22" s="176" t="s">
        <v>20</v>
      </c>
      <c r="AA22" s="176" t="s">
        <v>18</v>
      </c>
      <c r="AB22" s="176" t="s">
        <v>20</v>
      </c>
      <c r="AC22" s="186" t="s">
        <v>21</v>
      </c>
      <c r="AD22" s="181" t="s">
        <v>1527</v>
      </c>
      <c r="AE22" s="179" t="s">
        <v>20</v>
      </c>
      <c r="AF22" s="181" t="s">
        <v>995</v>
      </c>
      <c r="AG22" s="175" t="s">
        <v>1173</v>
      </c>
      <c r="AH22" s="179">
        <f t="shared" si="1"/>
        <v>68</v>
      </c>
      <c r="AI22" s="179">
        <f>VLOOKUP(K22,[1]TRAMO!$A:$B,2,0)</f>
        <v>3</v>
      </c>
      <c r="AJ22" s="183">
        <f t="shared" si="2"/>
        <v>7434</v>
      </c>
      <c r="AK22" s="179">
        <f t="shared" si="3"/>
        <v>68</v>
      </c>
      <c r="AL22" s="183">
        <v>300000</v>
      </c>
      <c r="AM22" s="183">
        <f t="shared" si="11"/>
        <v>2720000</v>
      </c>
      <c r="AN22" s="183">
        <f t="shared" si="5"/>
        <v>0</v>
      </c>
      <c r="AO22" s="183">
        <f t="shared" si="6"/>
        <v>2700000</v>
      </c>
      <c r="AP22" s="183">
        <f t="shared" si="7"/>
        <v>20220480</v>
      </c>
      <c r="AR22" s="183">
        <f t="shared" si="8"/>
        <v>3000000</v>
      </c>
      <c r="AS22" s="183">
        <f t="shared" si="9"/>
        <v>28640480</v>
      </c>
      <c r="AT22" s="175" t="s">
        <v>1524</v>
      </c>
      <c r="AU22" s="175" t="s">
        <v>1525</v>
      </c>
      <c r="AV22" s="175" t="s">
        <v>1528</v>
      </c>
      <c r="AW22" s="175" t="s">
        <v>429</v>
      </c>
    </row>
    <row r="23" spans="1:49" ht="24.95" customHeight="1" x14ac:dyDescent="0.25">
      <c r="A23" s="174">
        <v>14614</v>
      </c>
      <c r="B23" s="175" t="s">
        <v>96</v>
      </c>
      <c r="C23" s="175" t="s">
        <v>39</v>
      </c>
      <c r="D23" s="176">
        <v>4</v>
      </c>
      <c r="E23" s="176">
        <v>2025</v>
      </c>
      <c r="F23" s="176">
        <v>2025</v>
      </c>
      <c r="G23" s="174" t="s">
        <v>1466</v>
      </c>
      <c r="H23" s="174" t="s">
        <v>336</v>
      </c>
      <c r="I23" s="174" t="s">
        <v>1467</v>
      </c>
      <c r="J23" s="177" t="s">
        <v>745</v>
      </c>
      <c r="K23" s="174" t="s">
        <v>744</v>
      </c>
      <c r="L23" s="174" t="s">
        <v>21</v>
      </c>
      <c r="M23" s="174" t="s">
        <v>21</v>
      </c>
      <c r="N23" s="174">
        <v>8</v>
      </c>
      <c r="O23" s="174" t="s">
        <v>709</v>
      </c>
      <c r="P23" s="174" t="s">
        <v>755</v>
      </c>
      <c r="Q23" s="174" t="s">
        <v>1469</v>
      </c>
      <c r="R23" s="174" t="s">
        <v>339</v>
      </c>
      <c r="S23" s="174" t="s">
        <v>19</v>
      </c>
      <c r="T23" s="174" t="s">
        <v>337</v>
      </c>
      <c r="U23" s="178">
        <v>15</v>
      </c>
      <c r="V23" s="178">
        <v>260</v>
      </c>
      <c r="W23" s="178" t="s">
        <v>21</v>
      </c>
      <c r="X23" s="179">
        <f>((SUM(V23:W23))*1)*1</f>
        <v>260</v>
      </c>
      <c r="Y23" s="178">
        <v>5</v>
      </c>
      <c r="Z23" s="178" t="s">
        <v>20</v>
      </c>
      <c r="AA23" s="178" t="s">
        <v>20</v>
      </c>
      <c r="AB23" s="187" t="s">
        <v>18</v>
      </c>
      <c r="AC23" s="180" t="s">
        <v>21</v>
      </c>
      <c r="AD23" s="181" t="s">
        <v>1529</v>
      </c>
      <c r="AE23" s="179" t="s">
        <v>20</v>
      </c>
      <c r="AF23" s="180" t="s">
        <v>995</v>
      </c>
      <c r="AG23" s="174" t="s">
        <v>1173</v>
      </c>
      <c r="AH23" s="179">
        <f t="shared" si="1"/>
        <v>52</v>
      </c>
      <c r="AI23" s="178">
        <v>3</v>
      </c>
      <c r="AJ23" s="178">
        <f t="shared" si="2"/>
        <v>7434</v>
      </c>
      <c r="AK23" s="179">
        <f t="shared" si="3"/>
        <v>52</v>
      </c>
      <c r="AL23" s="183">
        <v>300000</v>
      </c>
      <c r="AM23" s="183">
        <f t="shared" si="11"/>
        <v>3120000</v>
      </c>
      <c r="AN23" s="183">
        <f t="shared" si="5"/>
        <v>3900000</v>
      </c>
      <c r="AO23" s="183">
        <f t="shared" si="6"/>
        <v>0</v>
      </c>
      <c r="AP23" s="183">
        <f t="shared" si="7"/>
        <v>28992600</v>
      </c>
      <c r="AR23" s="183">
        <f t="shared" si="8"/>
        <v>4500000</v>
      </c>
      <c r="AS23" s="183">
        <f t="shared" si="9"/>
        <v>40512600</v>
      </c>
      <c r="AT23" s="174"/>
      <c r="AU23" s="174"/>
      <c r="AV23" s="174"/>
      <c r="AW23" s="174"/>
    </row>
    <row r="24" spans="1:49" ht="24.95" customHeight="1" x14ac:dyDescent="0.25">
      <c r="A24" s="174">
        <v>14621</v>
      </c>
      <c r="B24" s="175" t="s">
        <v>96</v>
      </c>
      <c r="C24" s="175" t="s">
        <v>39</v>
      </c>
      <c r="D24" s="176">
        <v>4</v>
      </c>
      <c r="E24" s="176">
        <v>2025</v>
      </c>
      <c r="F24" s="176">
        <v>2025</v>
      </c>
      <c r="G24" s="174" t="s">
        <v>1466</v>
      </c>
      <c r="H24" s="174" t="s">
        <v>336</v>
      </c>
      <c r="I24" s="174" t="s">
        <v>1467</v>
      </c>
      <c r="J24" s="177" t="s">
        <v>745</v>
      </c>
      <c r="K24" s="174" t="s">
        <v>744</v>
      </c>
      <c r="L24" s="174" t="s">
        <v>21</v>
      </c>
      <c r="M24" s="174" t="s">
        <v>21</v>
      </c>
      <c r="N24" s="174">
        <v>8</v>
      </c>
      <c r="O24" s="174" t="s">
        <v>709</v>
      </c>
      <c r="P24" s="174" t="s">
        <v>735</v>
      </c>
      <c r="Q24" s="174" t="s">
        <v>1493</v>
      </c>
      <c r="R24" s="174" t="s">
        <v>339</v>
      </c>
      <c r="S24" s="174" t="s">
        <v>19</v>
      </c>
      <c r="T24" s="174" t="s">
        <v>337</v>
      </c>
      <c r="U24" s="178">
        <v>15</v>
      </c>
      <c r="V24" s="178">
        <v>260</v>
      </c>
      <c r="W24" s="178" t="s">
        <v>21</v>
      </c>
      <c r="X24" s="179">
        <f>((SUM(V24:W24))*1)*1</f>
        <v>260</v>
      </c>
      <c r="Y24" s="178">
        <v>5</v>
      </c>
      <c r="Z24" s="178" t="s">
        <v>20</v>
      </c>
      <c r="AA24" s="178" t="s">
        <v>20</v>
      </c>
      <c r="AB24" s="187" t="s">
        <v>18</v>
      </c>
      <c r="AC24" s="180" t="s">
        <v>21</v>
      </c>
      <c r="AD24" s="181" t="s">
        <v>1530</v>
      </c>
      <c r="AE24" s="179" t="s">
        <v>20</v>
      </c>
      <c r="AF24" s="180" t="s">
        <v>995</v>
      </c>
      <c r="AG24" s="174" t="s">
        <v>1173</v>
      </c>
      <c r="AH24" s="179">
        <f t="shared" si="1"/>
        <v>52</v>
      </c>
      <c r="AI24" s="178">
        <v>3</v>
      </c>
      <c r="AJ24" s="178">
        <f t="shared" si="2"/>
        <v>7434</v>
      </c>
      <c r="AK24" s="179">
        <f t="shared" si="3"/>
        <v>52</v>
      </c>
      <c r="AL24" s="183">
        <v>300000</v>
      </c>
      <c r="AM24" s="183">
        <f t="shared" si="11"/>
        <v>3120000</v>
      </c>
      <c r="AN24" s="183">
        <f t="shared" si="5"/>
        <v>3900000</v>
      </c>
      <c r="AO24" s="183">
        <f t="shared" si="6"/>
        <v>0</v>
      </c>
      <c r="AP24" s="183">
        <f t="shared" si="7"/>
        <v>28992600</v>
      </c>
      <c r="AR24" s="183">
        <f t="shared" si="8"/>
        <v>4500000</v>
      </c>
      <c r="AS24" s="183">
        <f t="shared" si="9"/>
        <v>40512600</v>
      </c>
      <c r="AT24" s="174"/>
      <c r="AU24" s="174"/>
      <c r="AV24" s="174"/>
      <c r="AW24" s="174"/>
    </row>
    <row r="25" spans="1:49" ht="24.95" customHeight="1" x14ac:dyDescent="0.25">
      <c r="A25" s="184">
        <v>14537</v>
      </c>
      <c r="B25" s="184" t="s">
        <v>1491</v>
      </c>
      <c r="C25" s="184" t="s">
        <v>1492</v>
      </c>
      <c r="D25" s="179">
        <v>1</v>
      </c>
      <c r="E25" s="179">
        <v>2025</v>
      </c>
      <c r="F25" s="179">
        <v>2025</v>
      </c>
      <c r="G25" s="177" t="s">
        <v>1466</v>
      </c>
      <c r="H25" s="184" t="s">
        <v>336</v>
      </c>
      <c r="I25" s="184" t="s">
        <v>1467</v>
      </c>
      <c r="J25" s="177" t="s">
        <v>741</v>
      </c>
      <c r="K25" s="184" t="s">
        <v>357</v>
      </c>
      <c r="L25" s="184" t="s">
        <v>21</v>
      </c>
      <c r="M25" s="184" t="s">
        <v>21</v>
      </c>
      <c r="N25" s="184">
        <v>9</v>
      </c>
      <c r="O25" s="184" t="s">
        <v>424</v>
      </c>
      <c r="P25" s="184" t="s">
        <v>921</v>
      </c>
      <c r="Q25" s="184" t="s">
        <v>1493</v>
      </c>
      <c r="R25" s="184" t="s">
        <v>339</v>
      </c>
      <c r="S25" s="184" t="s">
        <v>22</v>
      </c>
      <c r="T25" s="184" t="s">
        <v>337</v>
      </c>
      <c r="U25" s="185">
        <v>20</v>
      </c>
      <c r="V25" s="185">
        <v>90</v>
      </c>
      <c r="W25" s="185" t="s">
        <v>21</v>
      </c>
      <c r="X25" s="179">
        <f t="shared" ref="X25:X35" si="12">(SUM(V25:W25))*1</f>
        <v>90</v>
      </c>
      <c r="Y25" s="185">
        <v>4</v>
      </c>
      <c r="Z25" s="185" t="s">
        <v>20</v>
      </c>
      <c r="AA25" s="185" t="s">
        <v>20</v>
      </c>
      <c r="AB25" s="185" t="s">
        <v>18</v>
      </c>
      <c r="AC25" s="186" t="s">
        <v>21</v>
      </c>
      <c r="AD25" s="181" t="s">
        <v>1531</v>
      </c>
      <c r="AE25" s="179" t="s">
        <v>20</v>
      </c>
      <c r="AF25" s="186" t="s">
        <v>1532</v>
      </c>
      <c r="AG25" s="184" t="s">
        <v>1495</v>
      </c>
      <c r="AH25" s="179">
        <f t="shared" si="1"/>
        <v>23</v>
      </c>
      <c r="AI25" s="179">
        <v>2</v>
      </c>
      <c r="AJ25" s="183">
        <f t="shared" si="2"/>
        <v>6372</v>
      </c>
      <c r="AK25" s="179">
        <f t="shared" si="3"/>
        <v>22.5</v>
      </c>
      <c r="AL25" s="183">
        <v>20000</v>
      </c>
      <c r="AM25" s="183">
        <f t="shared" si="11"/>
        <v>1840000</v>
      </c>
      <c r="AN25" s="183">
        <f t="shared" si="5"/>
        <v>2300000</v>
      </c>
      <c r="AO25" s="183">
        <f t="shared" si="6"/>
        <v>0</v>
      </c>
      <c r="AP25" s="183">
        <f t="shared" si="7"/>
        <v>11469600</v>
      </c>
      <c r="AR25" s="183">
        <f t="shared" si="8"/>
        <v>400000</v>
      </c>
      <c r="AS25" s="183">
        <f t="shared" si="9"/>
        <v>16009600</v>
      </c>
    </row>
    <row r="26" spans="1:49" ht="24.95" customHeight="1" x14ac:dyDescent="0.25">
      <c r="A26" s="184">
        <v>14538</v>
      </c>
      <c r="B26" s="184" t="s">
        <v>1491</v>
      </c>
      <c r="C26" s="184" t="s">
        <v>1492</v>
      </c>
      <c r="D26" s="179">
        <v>1</v>
      </c>
      <c r="E26" s="179">
        <v>2025</v>
      </c>
      <c r="F26" s="179">
        <v>2025</v>
      </c>
      <c r="G26" s="177" t="s">
        <v>1466</v>
      </c>
      <c r="H26" s="184" t="s">
        <v>336</v>
      </c>
      <c r="I26" s="184" t="s">
        <v>1467</v>
      </c>
      <c r="J26" s="177" t="s">
        <v>741</v>
      </c>
      <c r="K26" s="184" t="s">
        <v>357</v>
      </c>
      <c r="L26" s="184" t="s">
        <v>21</v>
      </c>
      <c r="M26" s="184" t="s">
        <v>21</v>
      </c>
      <c r="N26" s="184">
        <v>9</v>
      </c>
      <c r="O26" s="184" t="s">
        <v>424</v>
      </c>
      <c r="P26" s="184" t="s">
        <v>872</v>
      </c>
      <c r="Q26" s="184" t="s">
        <v>1493</v>
      </c>
      <c r="R26" s="184" t="s">
        <v>339</v>
      </c>
      <c r="S26" s="184" t="s">
        <v>22</v>
      </c>
      <c r="T26" s="184" t="s">
        <v>337</v>
      </c>
      <c r="U26" s="185">
        <v>20</v>
      </c>
      <c r="V26" s="185">
        <v>90</v>
      </c>
      <c r="W26" s="185" t="s">
        <v>21</v>
      </c>
      <c r="X26" s="179">
        <f t="shared" si="12"/>
        <v>90</v>
      </c>
      <c r="Y26" s="185">
        <v>4</v>
      </c>
      <c r="Z26" s="185" t="s">
        <v>20</v>
      </c>
      <c r="AA26" s="185" t="s">
        <v>20</v>
      </c>
      <c r="AB26" s="185" t="s">
        <v>18</v>
      </c>
      <c r="AC26" s="186" t="s">
        <v>21</v>
      </c>
      <c r="AD26" s="181" t="s">
        <v>1531</v>
      </c>
      <c r="AE26" s="179" t="s">
        <v>20</v>
      </c>
      <c r="AF26" s="186" t="s">
        <v>1532</v>
      </c>
      <c r="AG26" s="184" t="s">
        <v>1495</v>
      </c>
      <c r="AH26" s="179">
        <f t="shared" si="1"/>
        <v>23</v>
      </c>
      <c r="AI26" s="179">
        <v>2</v>
      </c>
      <c r="AJ26" s="183">
        <f t="shared" si="2"/>
        <v>6372</v>
      </c>
      <c r="AK26" s="179">
        <f t="shared" si="3"/>
        <v>22.5</v>
      </c>
      <c r="AL26" s="183">
        <v>20000</v>
      </c>
      <c r="AM26" s="183">
        <f t="shared" si="11"/>
        <v>1840000</v>
      </c>
      <c r="AN26" s="183">
        <f t="shared" si="5"/>
        <v>2300000</v>
      </c>
      <c r="AO26" s="183">
        <f t="shared" si="6"/>
        <v>0</v>
      </c>
      <c r="AP26" s="183">
        <f t="shared" si="7"/>
        <v>11469600</v>
      </c>
      <c r="AR26" s="183">
        <f t="shared" si="8"/>
        <v>400000</v>
      </c>
      <c r="AS26" s="183">
        <f t="shared" si="9"/>
        <v>16009600</v>
      </c>
    </row>
    <row r="27" spans="1:49" ht="24.95" customHeight="1" x14ac:dyDescent="0.25">
      <c r="A27" s="184">
        <v>14539</v>
      </c>
      <c r="B27" s="184" t="s">
        <v>1491</v>
      </c>
      <c r="C27" s="184" t="s">
        <v>1492</v>
      </c>
      <c r="D27" s="179">
        <v>1</v>
      </c>
      <c r="E27" s="179">
        <v>2025</v>
      </c>
      <c r="F27" s="179">
        <v>2025</v>
      </c>
      <c r="G27" s="177" t="s">
        <v>1466</v>
      </c>
      <c r="H27" s="184" t="s">
        <v>336</v>
      </c>
      <c r="I27" s="184" t="s">
        <v>1467</v>
      </c>
      <c r="J27" s="177" t="s">
        <v>741</v>
      </c>
      <c r="K27" s="184" t="s">
        <v>357</v>
      </c>
      <c r="L27" s="184" t="s">
        <v>21</v>
      </c>
      <c r="M27" s="184" t="s">
        <v>21</v>
      </c>
      <c r="N27" s="184">
        <v>9</v>
      </c>
      <c r="O27" s="184" t="s">
        <v>424</v>
      </c>
      <c r="P27" s="184" t="s">
        <v>1533</v>
      </c>
      <c r="Q27" s="184" t="s">
        <v>1493</v>
      </c>
      <c r="R27" s="184" t="s">
        <v>339</v>
      </c>
      <c r="S27" s="184" t="s">
        <v>22</v>
      </c>
      <c r="T27" s="184" t="s">
        <v>337</v>
      </c>
      <c r="U27" s="185">
        <v>20</v>
      </c>
      <c r="V27" s="185">
        <v>90</v>
      </c>
      <c r="W27" s="185" t="s">
        <v>21</v>
      </c>
      <c r="X27" s="179">
        <f t="shared" si="12"/>
        <v>90</v>
      </c>
      <c r="Y27" s="185">
        <v>4</v>
      </c>
      <c r="Z27" s="185" t="s">
        <v>20</v>
      </c>
      <c r="AA27" s="185" t="s">
        <v>20</v>
      </c>
      <c r="AB27" s="185" t="s">
        <v>18</v>
      </c>
      <c r="AC27" s="186" t="s">
        <v>21</v>
      </c>
      <c r="AD27" s="181" t="s">
        <v>1531</v>
      </c>
      <c r="AE27" s="179" t="s">
        <v>20</v>
      </c>
      <c r="AF27" s="186" t="s">
        <v>1532</v>
      </c>
      <c r="AG27" s="184" t="s">
        <v>1495</v>
      </c>
      <c r="AH27" s="179">
        <f t="shared" si="1"/>
        <v>23</v>
      </c>
      <c r="AI27" s="179">
        <v>2</v>
      </c>
      <c r="AJ27" s="183">
        <f t="shared" si="2"/>
        <v>6372</v>
      </c>
      <c r="AK27" s="179">
        <f t="shared" si="3"/>
        <v>22.5</v>
      </c>
      <c r="AL27" s="183">
        <v>20000</v>
      </c>
      <c r="AM27" s="183">
        <f t="shared" si="11"/>
        <v>1840000</v>
      </c>
      <c r="AN27" s="183">
        <f t="shared" si="5"/>
        <v>2300000</v>
      </c>
      <c r="AO27" s="183">
        <f t="shared" si="6"/>
        <v>0</v>
      </c>
      <c r="AP27" s="183">
        <f t="shared" si="7"/>
        <v>11469600</v>
      </c>
      <c r="AR27" s="183">
        <f t="shared" si="8"/>
        <v>400000</v>
      </c>
      <c r="AS27" s="183">
        <f t="shared" si="9"/>
        <v>16009600</v>
      </c>
    </row>
    <row r="28" spans="1:49" ht="24.95" customHeight="1" x14ac:dyDescent="0.25">
      <c r="A28" s="184">
        <v>14540</v>
      </c>
      <c r="B28" s="184" t="s">
        <v>1491</v>
      </c>
      <c r="C28" s="184" t="s">
        <v>1492</v>
      </c>
      <c r="D28" s="179">
        <v>1</v>
      </c>
      <c r="E28" s="179">
        <v>2025</v>
      </c>
      <c r="F28" s="179">
        <v>2025</v>
      </c>
      <c r="G28" s="177" t="s">
        <v>1466</v>
      </c>
      <c r="H28" s="184" t="s">
        <v>336</v>
      </c>
      <c r="I28" s="184" t="s">
        <v>1467</v>
      </c>
      <c r="J28" s="177" t="s">
        <v>741</v>
      </c>
      <c r="K28" s="184" t="s">
        <v>357</v>
      </c>
      <c r="L28" s="184" t="s">
        <v>21</v>
      </c>
      <c r="M28" s="184" t="s">
        <v>21</v>
      </c>
      <c r="N28" s="184">
        <v>9</v>
      </c>
      <c r="O28" s="184" t="s">
        <v>424</v>
      </c>
      <c r="P28" s="184" t="s">
        <v>835</v>
      </c>
      <c r="Q28" s="184" t="s">
        <v>1493</v>
      </c>
      <c r="R28" s="184" t="s">
        <v>339</v>
      </c>
      <c r="S28" s="184" t="s">
        <v>22</v>
      </c>
      <c r="T28" s="184" t="s">
        <v>337</v>
      </c>
      <c r="U28" s="185">
        <v>20</v>
      </c>
      <c r="V28" s="185">
        <v>90</v>
      </c>
      <c r="W28" s="185" t="s">
        <v>21</v>
      </c>
      <c r="X28" s="179">
        <f t="shared" si="12"/>
        <v>90</v>
      </c>
      <c r="Y28" s="185">
        <v>4</v>
      </c>
      <c r="Z28" s="185" t="s">
        <v>20</v>
      </c>
      <c r="AA28" s="185" t="s">
        <v>20</v>
      </c>
      <c r="AB28" s="185" t="s">
        <v>18</v>
      </c>
      <c r="AC28" s="186" t="s">
        <v>21</v>
      </c>
      <c r="AD28" s="181" t="s">
        <v>1531</v>
      </c>
      <c r="AE28" s="179" t="s">
        <v>20</v>
      </c>
      <c r="AF28" s="186" t="s">
        <v>1532</v>
      </c>
      <c r="AG28" s="184" t="s">
        <v>1495</v>
      </c>
      <c r="AH28" s="179">
        <f t="shared" si="1"/>
        <v>23</v>
      </c>
      <c r="AI28" s="179">
        <v>2</v>
      </c>
      <c r="AJ28" s="183">
        <f t="shared" si="2"/>
        <v>6372</v>
      </c>
      <c r="AK28" s="179">
        <f t="shared" si="3"/>
        <v>22.5</v>
      </c>
      <c r="AL28" s="183">
        <v>20000</v>
      </c>
      <c r="AM28" s="183">
        <f t="shared" si="11"/>
        <v>1840000</v>
      </c>
      <c r="AN28" s="183">
        <f t="shared" si="5"/>
        <v>2300000</v>
      </c>
      <c r="AO28" s="183">
        <f t="shared" si="6"/>
        <v>0</v>
      </c>
      <c r="AP28" s="183">
        <f t="shared" si="7"/>
        <v>11469600</v>
      </c>
      <c r="AR28" s="183">
        <f t="shared" si="8"/>
        <v>400000</v>
      </c>
      <c r="AS28" s="183">
        <f t="shared" si="9"/>
        <v>16009600</v>
      </c>
    </row>
    <row r="29" spans="1:49" ht="24.95" customHeight="1" x14ac:dyDescent="0.25">
      <c r="A29" s="175">
        <v>14367</v>
      </c>
      <c r="B29" s="175" t="s">
        <v>83</v>
      </c>
      <c r="C29" s="175" t="s">
        <v>1022</v>
      </c>
      <c r="D29" s="176">
        <v>1</v>
      </c>
      <c r="E29" s="176">
        <v>2025</v>
      </c>
      <c r="F29" s="176">
        <v>2025</v>
      </c>
      <c r="G29" s="175" t="s">
        <v>23</v>
      </c>
      <c r="H29" s="175" t="s">
        <v>83</v>
      </c>
      <c r="I29" s="175" t="s">
        <v>102</v>
      </c>
      <c r="J29" s="177" t="s">
        <v>741</v>
      </c>
      <c r="K29" s="175" t="s">
        <v>357</v>
      </c>
      <c r="L29" s="175" t="s">
        <v>21</v>
      </c>
      <c r="M29" s="175" t="s">
        <v>21</v>
      </c>
      <c r="N29" s="175">
        <v>13</v>
      </c>
      <c r="O29" s="175" t="s">
        <v>382</v>
      </c>
      <c r="P29" s="175" t="s">
        <v>714</v>
      </c>
      <c r="Q29" s="175" t="s">
        <v>1201</v>
      </c>
      <c r="R29" s="175" t="s">
        <v>339</v>
      </c>
      <c r="S29" s="175" t="s">
        <v>22</v>
      </c>
      <c r="T29" s="175" t="s">
        <v>337</v>
      </c>
      <c r="U29" s="176">
        <v>20</v>
      </c>
      <c r="V29" s="176">
        <v>90</v>
      </c>
      <c r="W29" s="176" t="s">
        <v>21</v>
      </c>
      <c r="X29" s="179">
        <f t="shared" si="12"/>
        <v>90</v>
      </c>
      <c r="Y29" s="176">
        <v>4</v>
      </c>
      <c r="Z29" s="176" t="s">
        <v>20</v>
      </c>
      <c r="AA29" s="176" t="s">
        <v>18</v>
      </c>
      <c r="AB29" s="185" t="s">
        <v>18</v>
      </c>
      <c r="AC29" s="186" t="s">
        <v>21</v>
      </c>
      <c r="AD29" s="181" t="s">
        <v>1534</v>
      </c>
      <c r="AE29" s="179" t="s">
        <v>20</v>
      </c>
      <c r="AF29" s="181" t="s">
        <v>1532</v>
      </c>
      <c r="AG29" s="175" t="s">
        <v>1173</v>
      </c>
      <c r="AH29" s="179">
        <f t="shared" si="1"/>
        <v>23</v>
      </c>
      <c r="AI29" s="179">
        <f>VLOOKUP(K29,[1]TRAMO!$A:$B,2,0)</f>
        <v>1</v>
      </c>
      <c r="AJ29" s="183">
        <f t="shared" si="2"/>
        <v>5074</v>
      </c>
      <c r="AK29" s="179">
        <f t="shared" si="3"/>
        <v>22.5</v>
      </c>
      <c r="AL29" s="183">
        <v>20000</v>
      </c>
      <c r="AM29" s="183">
        <f t="shared" si="11"/>
        <v>1840000</v>
      </c>
      <c r="AN29" s="183">
        <f t="shared" si="5"/>
        <v>0</v>
      </c>
      <c r="AO29" s="183">
        <f t="shared" si="6"/>
        <v>0</v>
      </c>
      <c r="AP29" s="183">
        <f t="shared" si="7"/>
        <v>9133200</v>
      </c>
      <c r="AR29" s="183">
        <f t="shared" si="8"/>
        <v>400000</v>
      </c>
      <c r="AS29" s="183">
        <f t="shared" si="9"/>
        <v>11373200</v>
      </c>
      <c r="AT29" s="175" t="s">
        <v>1535</v>
      </c>
      <c r="AU29" s="175" t="s">
        <v>1536</v>
      </c>
      <c r="AV29" s="175" t="s">
        <v>1537</v>
      </c>
      <c r="AW29" s="175" t="s">
        <v>1538</v>
      </c>
    </row>
    <row r="30" spans="1:49" ht="24.95" customHeight="1" x14ac:dyDescent="0.25">
      <c r="A30" s="175">
        <v>14449</v>
      </c>
      <c r="B30" s="175" t="s">
        <v>98</v>
      </c>
      <c r="C30" s="175" t="s">
        <v>41</v>
      </c>
      <c r="D30" s="176">
        <v>1</v>
      </c>
      <c r="E30" s="176">
        <v>2025</v>
      </c>
      <c r="F30" s="176">
        <v>2025</v>
      </c>
      <c r="G30" s="175" t="s">
        <v>23</v>
      </c>
      <c r="H30" s="175" t="s">
        <v>98</v>
      </c>
      <c r="I30" s="175" t="s">
        <v>1175</v>
      </c>
      <c r="J30" s="177" t="s">
        <v>741</v>
      </c>
      <c r="K30" s="175" t="s">
        <v>357</v>
      </c>
      <c r="L30" s="175" t="s">
        <v>21</v>
      </c>
      <c r="M30" s="175" t="s">
        <v>21</v>
      </c>
      <c r="N30" s="175">
        <v>8</v>
      </c>
      <c r="O30" s="175" t="s">
        <v>709</v>
      </c>
      <c r="P30" s="175" t="s">
        <v>1539</v>
      </c>
      <c r="Q30" s="175" t="s">
        <v>1201</v>
      </c>
      <c r="R30" s="175" t="s">
        <v>339</v>
      </c>
      <c r="S30" s="175" t="s">
        <v>22</v>
      </c>
      <c r="T30" s="175" t="s">
        <v>337</v>
      </c>
      <c r="U30" s="176">
        <v>10</v>
      </c>
      <c r="V30" s="176">
        <v>90</v>
      </c>
      <c r="W30" s="176" t="s">
        <v>21</v>
      </c>
      <c r="X30" s="179">
        <f t="shared" si="12"/>
        <v>90</v>
      </c>
      <c r="Y30" s="176">
        <v>4</v>
      </c>
      <c r="Z30" s="176" t="s">
        <v>20</v>
      </c>
      <c r="AA30" s="176" t="s">
        <v>18</v>
      </c>
      <c r="AB30" s="185" t="s">
        <v>18</v>
      </c>
      <c r="AC30" s="186" t="s">
        <v>21</v>
      </c>
      <c r="AD30" s="181" t="s">
        <v>1540</v>
      </c>
      <c r="AE30" s="179" t="s">
        <v>20</v>
      </c>
      <c r="AF30" s="181" t="s">
        <v>1532</v>
      </c>
      <c r="AG30" s="175" t="s">
        <v>1173</v>
      </c>
      <c r="AH30" s="179">
        <f t="shared" si="1"/>
        <v>23</v>
      </c>
      <c r="AI30" s="179">
        <f>VLOOKUP(K30,[1]TRAMO!$A:$B,2,0)</f>
        <v>1</v>
      </c>
      <c r="AJ30" s="183">
        <f t="shared" si="2"/>
        <v>5074</v>
      </c>
      <c r="AK30" s="179">
        <f t="shared" si="3"/>
        <v>22.5</v>
      </c>
      <c r="AL30" s="183">
        <v>20000</v>
      </c>
      <c r="AM30" s="183">
        <f t="shared" si="11"/>
        <v>920000</v>
      </c>
      <c r="AN30" s="183">
        <f t="shared" si="5"/>
        <v>0</v>
      </c>
      <c r="AO30" s="183">
        <f t="shared" si="6"/>
        <v>0</v>
      </c>
      <c r="AP30" s="183">
        <f t="shared" si="7"/>
        <v>4566600</v>
      </c>
      <c r="AR30" s="183">
        <f t="shared" si="8"/>
        <v>200000</v>
      </c>
      <c r="AS30" s="183">
        <f t="shared" si="9"/>
        <v>5686600</v>
      </c>
      <c r="AT30" s="175" t="s">
        <v>1524</v>
      </c>
      <c r="AU30" s="175" t="s">
        <v>1525</v>
      </c>
      <c r="AV30" s="175" t="s">
        <v>1541</v>
      </c>
      <c r="AW30" s="175" t="s">
        <v>1542</v>
      </c>
    </row>
    <row r="31" spans="1:49" ht="24.95" customHeight="1" x14ac:dyDescent="0.25">
      <c r="A31" s="175">
        <v>14514</v>
      </c>
      <c r="B31" s="175" t="s">
        <v>83</v>
      </c>
      <c r="C31" s="175" t="s">
        <v>1022</v>
      </c>
      <c r="D31" s="176">
        <v>1</v>
      </c>
      <c r="E31" s="176">
        <v>2025</v>
      </c>
      <c r="F31" s="176">
        <v>2025</v>
      </c>
      <c r="G31" s="175" t="s">
        <v>23</v>
      </c>
      <c r="H31" s="175" t="s">
        <v>83</v>
      </c>
      <c r="I31" s="175" t="s">
        <v>102</v>
      </c>
      <c r="J31" s="177" t="s">
        <v>741</v>
      </c>
      <c r="K31" s="175" t="s">
        <v>357</v>
      </c>
      <c r="L31" s="175" t="s">
        <v>21</v>
      </c>
      <c r="M31" s="175" t="s">
        <v>21</v>
      </c>
      <c r="N31" s="175">
        <v>13</v>
      </c>
      <c r="O31" s="175" t="s">
        <v>382</v>
      </c>
      <c r="P31" s="175" t="s">
        <v>748</v>
      </c>
      <c r="Q31" s="175" t="s">
        <v>1201</v>
      </c>
      <c r="R31" s="175" t="s">
        <v>339</v>
      </c>
      <c r="S31" s="175" t="s">
        <v>22</v>
      </c>
      <c r="T31" s="175" t="s">
        <v>337</v>
      </c>
      <c r="U31" s="176">
        <v>20</v>
      </c>
      <c r="V31" s="176">
        <v>90</v>
      </c>
      <c r="W31" s="176" t="s">
        <v>21</v>
      </c>
      <c r="X31" s="179">
        <f t="shared" si="12"/>
        <v>90</v>
      </c>
      <c r="Y31" s="176">
        <v>4</v>
      </c>
      <c r="Z31" s="176" t="s">
        <v>20</v>
      </c>
      <c r="AA31" s="176" t="s">
        <v>18</v>
      </c>
      <c r="AB31" s="185" t="s">
        <v>18</v>
      </c>
      <c r="AC31" s="186" t="s">
        <v>21</v>
      </c>
      <c r="AD31" s="181" t="s">
        <v>1543</v>
      </c>
      <c r="AE31" s="179" t="s">
        <v>20</v>
      </c>
      <c r="AF31" s="181" t="s">
        <v>1532</v>
      </c>
      <c r="AG31" s="175" t="s">
        <v>1173</v>
      </c>
      <c r="AH31" s="179">
        <f t="shared" si="1"/>
        <v>23</v>
      </c>
      <c r="AI31" s="179">
        <f>VLOOKUP(K31,[1]TRAMO!$A:$B,2,0)</f>
        <v>1</v>
      </c>
      <c r="AJ31" s="183">
        <f t="shared" si="2"/>
        <v>5074</v>
      </c>
      <c r="AK31" s="179">
        <f t="shared" si="3"/>
        <v>22.5</v>
      </c>
      <c r="AL31" s="183">
        <v>20000</v>
      </c>
      <c r="AM31" s="183">
        <f t="shared" si="11"/>
        <v>1840000</v>
      </c>
      <c r="AN31" s="183">
        <f t="shared" si="5"/>
        <v>0</v>
      </c>
      <c r="AO31" s="183">
        <f t="shared" si="6"/>
        <v>0</v>
      </c>
      <c r="AP31" s="183">
        <f t="shared" si="7"/>
        <v>9133200</v>
      </c>
      <c r="AR31" s="183">
        <f t="shared" si="8"/>
        <v>400000</v>
      </c>
      <c r="AS31" s="183">
        <f t="shared" si="9"/>
        <v>11373200</v>
      </c>
      <c r="AT31" s="175" t="s">
        <v>1535</v>
      </c>
      <c r="AU31" s="175" t="s">
        <v>1536</v>
      </c>
      <c r="AV31" s="175" t="s">
        <v>1544</v>
      </c>
      <c r="AW31" s="175" t="s">
        <v>1545</v>
      </c>
    </row>
    <row r="32" spans="1:49" ht="24.95" customHeight="1" x14ac:dyDescent="0.25">
      <c r="A32" s="175">
        <v>14341</v>
      </c>
      <c r="B32" s="175" t="s">
        <v>98</v>
      </c>
      <c r="C32" s="175" t="s">
        <v>41</v>
      </c>
      <c r="D32" s="176">
        <v>1</v>
      </c>
      <c r="E32" s="176">
        <v>2025</v>
      </c>
      <c r="F32" s="176">
        <v>2025</v>
      </c>
      <c r="G32" s="175" t="s">
        <v>23</v>
      </c>
      <c r="H32" s="175" t="s">
        <v>98</v>
      </c>
      <c r="I32" s="175" t="s">
        <v>1175</v>
      </c>
      <c r="J32" s="177" t="s">
        <v>741</v>
      </c>
      <c r="K32" s="175" t="s">
        <v>357</v>
      </c>
      <c r="L32" s="175" t="s">
        <v>875</v>
      </c>
      <c r="M32" s="175" t="s">
        <v>874</v>
      </c>
      <c r="N32" s="175">
        <v>13</v>
      </c>
      <c r="O32" s="175" t="s">
        <v>382</v>
      </c>
      <c r="P32" s="175" t="s">
        <v>416</v>
      </c>
      <c r="Q32" s="175" t="s">
        <v>1201</v>
      </c>
      <c r="R32" s="175" t="s">
        <v>339</v>
      </c>
      <c r="S32" s="175" t="s">
        <v>22</v>
      </c>
      <c r="T32" s="175" t="s">
        <v>347</v>
      </c>
      <c r="U32" s="176">
        <v>10</v>
      </c>
      <c r="V32" s="176">
        <v>90</v>
      </c>
      <c r="W32" s="176">
        <v>8</v>
      </c>
      <c r="X32" s="179">
        <f t="shared" si="12"/>
        <v>98</v>
      </c>
      <c r="Y32" s="176">
        <v>3</v>
      </c>
      <c r="Z32" s="176" t="s">
        <v>20</v>
      </c>
      <c r="AA32" s="176" t="s">
        <v>18</v>
      </c>
      <c r="AB32" s="185" t="s">
        <v>18</v>
      </c>
      <c r="AC32" s="186" t="s">
        <v>21</v>
      </c>
      <c r="AD32" s="181" t="s">
        <v>1546</v>
      </c>
      <c r="AE32" s="179" t="s">
        <v>20</v>
      </c>
      <c r="AF32" s="181" t="s">
        <v>1532</v>
      </c>
      <c r="AG32" s="175" t="s">
        <v>1173</v>
      </c>
      <c r="AH32" s="179">
        <f t="shared" si="1"/>
        <v>33</v>
      </c>
      <c r="AI32" s="179">
        <f>VLOOKUP(K32,[1]TRAMO!$A:$B,2,0)</f>
        <v>1</v>
      </c>
      <c r="AJ32" s="183">
        <f t="shared" si="2"/>
        <v>5074</v>
      </c>
      <c r="AK32" s="179">
        <f t="shared" si="3"/>
        <v>32.666666666666664</v>
      </c>
      <c r="AL32" s="183">
        <v>20000</v>
      </c>
      <c r="AM32" s="183">
        <f t="shared" si="11"/>
        <v>1320000</v>
      </c>
      <c r="AN32" s="183">
        <f t="shared" si="5"/>
        <v>0</v>
      </c>
      <c r="AO32" s="183">
        <f t="shared" si="6"/>
        <v>0</v>
      </c>
      <c r="AP32" s="183">
        <f t="shared" si="7"/>
        <v>4972520</v>
      </c>
      <c r="AR32" s="183">
        <f t="shared" si="8"/>
        <v>200000</v>
      </c>
      <c r="AS32" s="183">
        <f t="shared" si="9"/>
        <v>6492520</v>
      </c>
      <c r="AT32" s="175" t="s">
        <v>1547</v>
      </c>
      <c r="AU32" s="175" t="s">
        <v>1548</v>
      </c>
      <c r="AV32" s="175" t="s">
        <v>1549</v>
      </c>
      <c r="AW32" s="175" t="s">
        <v>1550</v>
      </c>
    </row>
    <row r="33" spans="1:49" ht="24.95" customHeight="1" x14ac:dyDescent="0.25">
      <c r="A33" s="175">
        <v>14373</v>
      </c>
      <c r="B33" s="175" t="s">
        <v>83</v>
      </c>
      <c r="C33" s="175" t="s">
        <v>1022</v>
      </c>
      <c r="D33" s="176">
        <v>1</v>
      </c>
      <c r="E33" s="176">
        <v>2025</v>
      </c>
      <c r="F33" s="176">
        <v>2025</v>
      </c>
      <c r="G33" s="175" t="s">
        <v>23</v>
      </c>
      <c r="H33" s="175" t="s">
        <v>83</v>
      </c>
      <c r="I33" s="175" t="s">
        <v>102</v>
      </c>
      <c r="J33" s="177" t="s">
        <v>766</v>
      </c>
      <c r="K33" s="175" t="s">
        <v>765</v>
      </c>
      <c r="L33" s="175" t="s">
        <v>21</v>
      </c>
      <c r="M33" s="175" t="s">
        <v>21</v>
      </c>
      <c r="N33" s="175">
        <v>13</v>
      </c>
      <c r="O33" s="175" t="s">
        <v>382</v>
      </c>
      <c r="P33" s="175" t="s">
        <v>714</v>
      </c>
      <c r="Q33" s="175" t="s">
        <v>1201</v>
      </c>
      <c r="R33" s="175" t="s">
        <v>339</v>
      </c>
      <c r="S33" s="175" t="s">
        <v>22</v>
      </c>
      <c r="T33" s="175" t="s">
        <v>337</v>
      </c>
      <c r="U33" s="176">
        <v>20</v>
      </c>
      <c r="V33" s="176">
        <v>152</v>
      </c>
      <c r="W33" s="176" t="s">
        <v>21</v>
      </c>
      <c r="X33" s="179">
        <f t="shared" si="12"/>
        <v>152</v>
      </c>
      <c r="Y33" s="176">
        <v>5</v>
      </c>
      <c r="Z33" s="176" t="s">
        <v>20</v>
      </c>
      <c r="AA33" s="176" t="s">
        <v>18</v>
      </c>
      <c r="AB33" s="185" t="s">
        <v>18</v>
      </c>
      <c r="AC33" s="186" t="s">
        <v>21</v>
      </c>
      <c r="AD33" s="181" t="s">
        <v>1551</v>
      </c>
      <c r="AE33" s="179" t="s">
        <v>20</v>
      </c>
      <c r="AF33" s="181" t="s">
        <v>1028</v>
      </c>
      <c r="AG33" s="175" t="s">
        <v>1173</v>
      </c>
      <c r="AH33" s="179">
        <f t="shared" si="1"/>
        <v>31</v>
      </c>
      <c r="AI33" s="179">
        <f>VLOOKUP(K33,[1]TRAMO!$A:$B,2,0)</f>
        <v>1</v>
      </c>
      <c r="AJ33" s="183">
        <f t="shared" si="2"/>
        <v>5074</v>
      </c>
      <c r="AK33" s="179">
        <f t="shared" si="3"/>
        <v>30.4</v>
      </c>
      <c r="AL33" s="183">
        <v>20000</v>
      </c>
      <c r="AM33" s="183">
        <f t="shared" si="11"/>
        <v>2480000</v>
      </c>
      <c r="AN33" s="183">
        <f t="shared" si="5"/>
        <v>0</v>
      </c>
      <c r="AO33" s="183">
        <f t="shared" si="6"/>
        <v>0</v>
      </c>
      <c r="AP33" s="183">
        <f t="shared" si="7"/>
        <v>15424960</v>
      </c>
      <c r="AR33" s="183">
        <f t="shared" si="8"/>
        <v>400000</v>
      </c>
      <c r="AS33" s="183">
        <f t="shared" si="9"/>
        <v>18304960</v>
      </c>
      <c r="AT33" s="175" t="s">
        <v>1535</v>
      </c>
      <c r="AU33" s="175" t="s">
        <v>1536</v>
      </c>
      <c r="AV33" s="175" t="s">
        <v>1537</v>
      </c>
      <c r="AW33" s="175" t="s">
        <v>1538</v>
      </c>
    </row>
    <row r="34" spans="1:49" ht="24.95" customHeight="1" x14ac:dyDescent="0.25">
      <c r="A34" s="175">
        <v>14517</v>
      </c>
      <c r="B34" s="175" t="s">
        <v>83</v>
      </c>
      <c r="C34" s="175" t="s">
        <v>1022</v>
      </c>
      <c r="D34" s="176">
        <v>1</v>
      </c>
      <c r="E34" s="176">
        <v>2025</v>
      </c>
      <c r="F34" s="176">
        <v>2025</v>
      </c>
      <c r="G34" s="175" t="s">
        <v>23</v>
      </c>
      <c r="H34" s="175" t="s">
        <v>83</v>
      </c>
      <c r="I34" s="175" t="s">
        <v>102</v>
      </c>
      <c r="J34" s="177" t="s">
        <v>1552</v>
      </c>
      <c r="K34" s="175" t="s">
        <v>1553</v>
      </c>
      <c r="L34" s="175" t="s">
        <v>21</v>
      </c>
      <c r="M34" s="175" t="s">
        <v>21</v>
      </c>
      <c r="N34" s="175">
        <v>10</v>
      </c>
      <c r="O34" s="175" t="s">
        <v>706</v>
      </c>
      <c r="P34" s="175" t="s">
        <v>707</v>
      </c>
      <c r="Q34" s="175" t="s">
        <v>1201</v>
      </c>
      <c r="R34" s="175" t="s">
        <v>339</v>
      </c>
      <c r="S34" s="175" t="s">
        <v>22</v>
      </c>
      <c r="T34" s="175" t="s">
        <v>337</v>
      </c>
      <c r="U34" s="176">
        <v>15</v>
      </c>
      <c r="V34" s="176">
        <v>176</v>
      </c>
      <c r="W34" s="176" t="s">
        <v>21</v>
      </c>
      <c r="X34" s="179">
        <f t="shared" si="12"/>
        <v>176</v>
      </c>
      <c r="Y34" s="176">
        <v>5</v>
      </c>
      <c r="Z34" s="176" t="s">
        <v>20</v>
      </c>
      <c r="AA34" s="176" t="s">
        <v>18</v>
      </c>
      <c r="AB34" s="185" t="s">
        <v>18</v>
      </c>
      <c r="AC34" s="186" t="s">
        <v>21</v>
      </c>
      <c r="AD34" s="181" t="s">
        <v>1554</v>
      </c>
      <c r="AE34" s="179" t="s">
        <v>20</v>
      </c>
      <c r="AF34" s="181" t="s">
        <v>1555</v>
      </c>
      <c r="AG34" s="175" t="s">
        <v>1173</v>
      </c>
      <c r="AH34" s="179">
        <f t="shared" si="1"/>
        <v>36</v>
      </c>
      <c r="AI34" s="179">
        <f>VLOOKUP(K34,[1]TRAMO!$A:$B,2,0)</f>
        <v>3</v>
      </c>
      <c r="AJ34" s="183">
        <f t="shared" si="2"/>
        <v>7434</v>
      </c>
      <c r="AK34" s="179">
        <f t="shared" si="3"/>
        <v>35.200000000000003</v>
      </c>
      <c r="AL34" s="183">
        <v>60000</v>
      </c>
      <c r="AM34" s="183">
        <f t="shared" si="11"/>
        <v>2160000</v>
      </c>
      <c r="AN34" s="183">
        <f t="shared" si="5"/>
        <v>0</v>
      </c>
      <c r="AO34" s="183">
        <f t="shared" si="6"/>
        <v>0</v>
      </c>
      <c r="AP34" s="183">
        <f t="shared" si="7"/>
        <v>19625760</v>
      </c>
      <c r="AR34" s="183">
        <f t="shared" si="8"/>
        <v>900000</v>
      </c>
      <c r="AS34" s="183">
        <f t="shared" si="9"/>
        <v>22685760</v>
      </c>
      <c r="AT34" s="175" t="s">
        <v>1535</v>
      </c>
      <c r="AU34" s="175" t="s">
        <v>1536</v>
      </c>
      <c r="AV34" s="175" t="s">
        <v>1556</v>
      </c>
      <c r="AW34" s="175" t="s">
        <v>1557</v>
      </c>
    </row>
    <row r="35" spans="1:49" ht="24.95" customHeight="1" x14ac:dyDescent="0.25">
      <c r="A35" s="175">
        <v>14387</v>
      </c>
      <c r="B35" s="175" t="s">
        <v>98</v>
      </c>
      <c r="C35" s="175" t="s">
        <v>41</v>
      </c>
      <c r="D35" s="176">
        <v>1</v>
      </c>
      <c r="E35" s="176">
        <v>2025</v>
      </c>
      <c r="F35" s="176">
        <v>2025</v>
      </c>
      <c r="G35" s="175" t="s">
        <v>23</v>
      </c>
      <c r="H35" s="175" t="s">
        <v>98</v>
      </c>
      <c r="I35" s="175" t="s">
        <v>1175</v>
      </c>
      <c r="J35" s="177" t="s">
        <v>1199</v>
      </c>
      <c r="K35" s="175" t="s">
        <v>1200</v>
      </c>
      <c r="L35" s="175" t="s">
        <v>21</v>
      </c>
      <c r="M35" s="175" t="s">
        <v>21</v>
      </c>
      <c r="N35" s="175">
        <v>13</v>
      </c>
      <c r="O35" s="175" t="s">
        <v>382</v>
      </c>
      <c r="P35" s="175" t="s">
        <v>724</v>
      </c>
      <c r="Q35" s="175" t="s">
        <v>1201</v>
      </c>
      <c r="R35" s="175" t="s">
        <v>339</v>
      </c>
      <c r="S35" s="175" t="s">
        <v>22</v>
      </c>
      <c r="T35" s="175" t="s">
        <v>348</v>
      </c>
      <c r="U35" s="176">
        <v>14</v>
      </c>
      <c r="V35" s="176">
        <v>240</v>
      </c>
      <c r="W35" s="176" t="s">
        <v>21</v>
      </c>
      <c r="X35" s="179">
        <f t="shared" si="12"/>
        <v>240</v>
      </c>
      <c r="Y35" s="176">
        <v>7</v>
      </c>
      <c r="Z35" s="176" t="s">
        <v>20</v>
      </c>
      <c r="AA35" s="176" t="s">
        <v>18</v>
      </c>
      <c r="AB35" s="185" t="s">
        <v>18</v>
      </c>
      <c r="AC35" s="186" t="s">
        <v>21</v>
      </c>
      <c r="AD35" s="181" t="s">
        <v>1202</v>
      </c>
      <c r="AE35" s="179" t="s">
        <v>20</v>
      </c>
      <c r="AF35" s="181" t="s">
        <v>1555</v>
      </c>
      <c r="AG35" s="175" t="s">
        <v>1173</v>
      </c>
      <c r="AH35" s="179">
        <f t="shared" si="1"/>
        <v>35</v>
      </c>
      <c r="AI35" s="179">
        <f>VLOOKUP(K35,[1]TRAMO!$A:$B,2,0)</f>
        <v>3</v>
      </c>
      <c r="AJ35" s="183">
        <f t="shared" si="2"/>
        <v>7434</v>
      </c>
      <c r="AK35" s="179">
        <f t="shared" si="3"/>
        <v>34.285714285714285</v>
      </c>
      <c r="AL35" s="183">
        <v>60000</v>
      </c>
      <c r="AM35" s="183">
        <f t="shared" si="11"/>
        <v>1960000</v>
      </c>
      <c r="AN35" s="183">
        <f t="shared" si="5"/>
        <v>0</v>
      </c>
      <c r="AO35" s="183">
        <f t="shared" si="6"/>
        <v>0</v>
      </c>
      <c r="AP35" s="183">
        <f t="shared" si="7"/>
        <v>24978240</v>
      </c>
      <c r="AR35" s="183">
        <f t="shared" si="8"/>
        <v>840000</v>
      </c>
      <c r="AS35" s="183">
        <f t="shared" si="9"/>
        <v>27778240</v>
      </c>
      <c r="AT35" s="175" t="s">
        <v>1515</v>
      </c>
      <c r="AU35" s="175" t="s">
        <v>1516</v>
      </c>
      <c r="AV35" s="175" t="s">
        <v>1347</v>
      </c>
      <c r="AW35" s="175" t="s">
        <v>1346</v>
      </c>
    </row>
    <row r="36" spans="1:49" ht="24.95" customHeight="1" x14ac:dyDescent="0.25">
      <c r="A36" s="174">
        <v>14618</v>
      </c>
      <c r="B36" s="175" t="s">
        <v>96</v>
      </c>
      <c r="C36" s="175" t="s">
        <v>39</v>
      </c>
      <c r="D36" s="176">
        <v>4</v>
      </c>
      <c r="E36" s="176">
        <v>2025</v>
      </c>
      <c r="F36" s="176">
        <v>2025</v>
      </c>
      <c r="G36" s="174" t="s">
        <v>1466</v>
      </c>
      <c r="H36" s="174" t="s">
        <v>336</v>
      </c>
      <c r="I36" s="174" t="s">
        <v>1467</v>
      </c>
      <c r="J36" s="177" t="s">
        <v>422</v>
      </c>
      <c r="K36" s="174" t="s">
        <v>423</v>
      </c>
      <c r="L36" s="174" t="s">
        <v>21</v>
      </c>
      <c r="M36" s="174" t="s">
        <v>21</v>
      </c>
      <c r="N36" s="174">
        <v>8</v>
      </c>
      <c r="O36" s="174" t="s">
        <v>709</v>
      </c>
      <c r="P36" s="174" t="s">
        <v>727</v>
      </c>
      <c r="Q36" s="174" t="s">
        <v>1493</v>
      </c>
      <c r="R36" s="174" t="s">
        <v>339</v>
      </c>
      <c r="S36" s="174" t="s">
        <v>19</v>
      </c>
      <c r="T36" s="174" t="s">
        <v>337</v>
      </c>
      <c r="U36" s="178">
        <v>15</v>
      </c>
      <c r="V36" s="178">
        <v>200</v>
      </c>
      <c r="W36" s="178" t="s">
        <v>21</v>
      </c>
      <c r="X36" s="179">
        <f>((SUM(V36:W36))*1)*1</f>
        <v>200</v>
      </c>
      <c r="Y36" s="178">
        <v>5</v>
      </c>
      <c r="Z36" s="178" t="s">
        <v>20</v>
      </c>
      <c r="AA36" s="178" t="s">
        <v>20</v>
      </c>
      <c r="AB36" s="187" t="s">
        <v>18</v>
      </c>
      <c r="AC36" s="180" t="s">
        <v>21</v>
      </c>
      <c r="AD36" s="181" t="s">
        <v>1558</v>
      </c>
      <c r="AE36" s="179" t="s">
        <v>20</v>
      </c>
      <c r="AF36" s="182" t="s">
        <v>1559</v>
      </c>
      <c r="AG36" s="174" t="s">
        <v>1173</v>
      </c>
      <c r="AH36" s="179">
        <f t="shared" si="1"/>
        <v>40</v>
      </c>
      <c r="AI36" s="178">
        <v>3</v>
      </c>
      <c r="AJ36" s="178">
        <f t="shared" si="2"/>
        <v>7434</v>
      </c>
      <c r="AK36" s="179">
        <f t="shared" si="3"/>
        <v>40</v>
      </c>
      <c r="AL36" s="183">
        <v>70000</v>
      </c>
      <c r="AM36" s="183">
        <f t="shared" si="11"/>
        <v>2400000</v>
      </c>
      <c r="AN36" s="183">
        <f t="shared" si="5"/>
        <v>3000000</v>
      </c>
      <c r="AO36" s="183">
        <f t="shared" si="6"/>
        <v>0</v>
      </c>
      <c r="AP36" s="183">
        <f t="shared" si="7"/>
        <v>22302000</v>
      </c>
      <c r="AR36" s="183">
        <f t="shared" si="8"/>
        <v>1050000</v>
      </c>
      <c r="AS36" s="183">
        <f t="shared" si="9"/>
        <v>28752000</v>
      </c>
      <c r="AT36" s="174"/>
      <c r="AU36" s="174"/>
      <c r="AV36" s="174"/>
      <c r="AW36" s="174"/>
    </row>
    <row r="37" spans="1:49" ht="24.95" customHeight="1" x14ac:dyDescent="0.25">
      <c r="A37" s="175">
        <v>14331</v>
      </c>
      <c r="B37" s="175" t="s">
        <v>98</v>
      </c>
      <c r="C37" s="175" t="s">
        <v>41</v>
      </c>
      <c r="D37" s="176">
        <v>1</v>
      </c>
      <c r="E37" s="176">
        <v>2025</v>
      </c>
      <c r="F37" s="176">
        <v>2025</v>
      </c>
      <c r="G37" s="175" t="s">
        <v>23</v>
      </c>
      <c r="H37" s="175" t="s">
        <v>98</v>
      </c>
      <c r="I37" s="175" t="s">
        <v>1175</v>
      </c>
      <c r="J37" s="177" t="s">
        <v>391</v>
      </c>
      <c r="K37" s="175" t="s">
        <v>987</v>
      </c>
      <c r="L37" s="175" t="s">
        <v>21</v>
      </c>
      <c r="M37" s="175" t="s">
        <v>21</v>
      </c>
      <c r="N37" s="175">
        <v>5</v>
      </c>
      <c r="O37" s="175" t="s">
        <v>395</v>
      </c>
      <c r="P37" s="175" t="s">
        <v>1030</v>
      </c>
      <c r="Q37" s="175" t="s">
        <v>1201</v>
      </c>
      <c r="R37" s="175" t="s">
        <v>339</v>
      </c>
      <c r="S37" s="175" t="s">
        <v>19</v>
      </c>
      <c r="T37" s="175" t="s">
        <v>337</v>
      </c>
      <c r="U37" s="176">
        <v>15</v>
      </c>
      <c r="V37" s="176">
        <v>24</v>
      </c>
      <c r="W37" s="176" t="s">
        <v>21</v>
      </c>
      <c r="X37" s="179">
        <f t="shared" ref="X37:X53" si="13">(SUM(V37:W37))*1</f>
        <v>24</v>
      </c>
      <c r="Y37" s="176">
        <v>4</v>
      </c>
      <c r="Z37" s="176" t="s">
        <v>20</v>
      </c>
      <c r="AA37" s="176" t="s">
        <v>18</v>
      </c>
      <c r="AB37" s="185" t="s">
        <v>18</v>
      </c>
      <c r="AC37" s="186" t="s">
        <v>21</v>
      </c>
      <c r="AD37" s="181" t="s">
        <v>1560</v>
      </c>
      <c r="AE37" s="179" t="s">
        <v>20</v>
      </c>
      <c r="AF37" s="181" t="s">
        <v>988</v>
      </c>
      <c r="AG37" s="175" t="s">
        <v>1173</v>
      </c>
      <c r="AH37" s="179">
        <f t="shared" si="1"/>
        <v>6</v>
      </c>
      <c r="AI37" s="179">
        <f>VLOOKUP(K37,[1]TRAMO!$A:$B,2,0)</f>
        <v>2</v>
      </c>
      <c r="AJ37" s="183">
        <f t="shared" si="2"/>
        <v>6372</v>
      </c>
      <c r="AK37" s="179">
        <f t="shared" si="3"/>
        <v>6</v>
      </c>
      <c r="AL37" s="183">
        <v>60000</v>
      </c>
      <c r="AM37" s="183">
        <f t="shared" si="11"/>
        <v>360000</v>
      </c>
      <c r="AN37" s="183">
        <f t="shared" si="5"/>
        <v>0</v>
      </c>
      <c r="AO37" s="183">
        <f t="shared" si="6"/>
        <v>0</v>
      </c>
      <c r="AP37" s="183">
        <f t="shared" si="7"/>
        <v>2293920</v>
      </c>
      <c r="AR37" s="183">
        <f t="shared" si="8"/>
        <v>900000</v>
      </c>
      <c r="AS37" s="183">
        <f t="shared" si="9"/>
        <v>3553920</v>
      </c>
      <c r="AT37" s="175" t="s">
        <v>1561</v>
      </c>
      <c r="AU37" s="175" t="s">
        <v>1562</v>
      </c>
      <c r="AV37" s="175" t="s">
        <v>1563</v>
      </c>
      <c r="AW37" s="175" t="s">
        <v>816</v>
      </c>
    </row>
    <row r="38" spans="1:49" ht="24.95" customHeight="1" x14ac:dyDescent="0.25">
      <c r="A38" s="175">
        <v>14333</v>
      </c>
      <c r="B38" s="175" t="s">
        <v>98</v>
      </c>
      <c r="C38" s="175" t="s">
        <v>41</v>
      </c>
      <c r="D38" s="176">
        <v>1</v>
      </c>
      <c r="E38" s="176">
        <v>2025</v>
      </c>
      <c r="F38" s="176">
        <v>2025</v>
      </c>
      <c r="G38" s="175" t="s">
        <v>23</v>
      </c>
      <c r="H38" s="175" t="s">
        <v>98</v>
      </c>
      <c r="I38" s="175" t="s">
        <v>1175</v>
      </c>
      <c r="J38" s="177" t="s">
        <v>391</v>
      </c>
      <c r="K38" s="175" t="s">
        <v>987</v>
      </c>
      <c r="L38" s="175" t="s">
        <v>21</v>
      </c>
      <c r="M38" s="175" t="s">
        <v>21</v>
      </c>
      <c r="N38" s="175">
        <v>2</v>
      </c>
      <c r="O38" s="175" t="s">
        <v>798</v>
      </c>
      <c r="P38" s="175" t="s">
        <v>1564</v>
      </c>
      <c r="Q38" s="175" t="s">
        <v>1201</v>
      </c>
      <c r="R38" s="175" t="s">
        <v>339</v>
      </c>
      <c r="S38" s="175" t="s">
        <v>19</v>
      </c>
      <c r="T38" s="175" t="s">
        <v>337</v>
      </c>
      <c r="U38" s="176">
        <v>15</v>
      </c>
      <c r="V38" s="176">
        <v>24</v>
      </c>
      <c r="W38" s="176" t="s">
        <v>21</v>
      </c>
      <c r="X38" s="179">
        <f t="shared" si="13"/>
        <v>24</v>
      </c>
      <c r="Y38" s="176">
        <v>4</v>
      </c>
      <c r="Z38" s="176" t="s">
        <v>20</v>
      </c>
      <c r="AA38" s="176" t="s">
        <v>18</v>
      </c>
      <c r="AB38" s="185" t="s">
        <v>18</v>
      </c>
      <c r="AC38" s="186" t="s">
        <v>21</v>
      </c>
      <c r="AD38" s="181" t="s">
        <v>1565</v>
      </c>
      <c r="AE38" s="179" t="s">
        <v>20</v>
      </c>
      <c r="AF38" s="181" t="s">
        <v>988</v>
      </c>
      <c r="AG38" s="175" t="s">
        <v>1173</v>
      </c>
      <c r="AH38" s="179">
        <f t="shared" si="1"/>
        <v>6</v>
      </c>
      <c r="AI38" s="179">
        <f>VLOOKUP(K38,[1]TRAMO!$A:$B,2,0)</f>
        <v>2</v>
      </c>
      <c r="AJ38" s="183">
        <f t="shared" si="2"/>
        <v>6372</v>
      </c>
      <c r="AK38" s="179">
        <f t="shared" si="3"/>
        <v>6</v>
      </c>
      <c r="AL38" s="183">
        <v>60000</v>
      </c>
      <c r="AM38" s="183">
        <f t="shared" si="11"/>
        <v>360000</v>
      </c>
      <c r="AN38" s="183">
        <f t="shared" si="5"/>
        <v>0</v>
      </c>
      <c r="AO38" s="183">
        <f t="shared" si="6"/>
        <v>0</v>
      </c>
      <c r="AP38" s="183">
        <f t="shared" si="7"/>
        <v>2293920</v>
      </c>
      <c r="AR38" s="183">
        <f t="shared" si="8"/>
        <v>900000</v>
      </c>
      <c r="AS38" s="183">
        <f t="shared" si="9"/>
        <v>3553920</v>
      </c>
      <c r="AT38" s="175" t="s">
        <v>1561</v>
      </c>
      <c r="AU38" s="175" t="s">
        <v>1562</v>
      </c>
      <c r="AV38" s="175" t="s">
        <v>1566</v>
      </c>
      <c r="AW38" s="175" t="s">
        <v>1567</v>
      </c>
    </row>
    <row r="39" spans="1:49" ht="24.95" customHeight="1" x14ac:dyDescent="0.25">
      <c r="A39" s="175">
        <v>14337</v>
      </c>
      <c r="B39" s="175" t="s">
        <v>98</v>
      </c>
      <c r="C39" s="175" t="s">
        <v>41</v>
      </c>
      <c r="D39" s="176">
        <v>1</v>
      </c>
      <c r="E39" s="176">
        <v>2025</v>
      </c>
      <c r="F39" s="176">
        <v>2025</v>
      </c>
      <c r="G39" s="175" t="s">
        <v>23</v>
      </c>
      <c r="H39" s="175" t="s">
        <v>98</v>
      </c>
      <c r="I39" s="175" t="s">
        <v>1175</v>
      </c>
      <c r="J39" s="177" t="s">
        <v>391</v>
      </c>
      <c r="K39" s="175" t="s">
        <v>987</v>
      </c>
      <c r="L39" s="175" t="s">
        <v>21</v>
      </c>
      <c r="M39" s="175" t="s">
        <v>21</v>
      </c>
      <c r="N39" s="175">
        <v>13</v>
      </c>
      <c r="O39" s="175" t="s">
        <v>382</v>
      </c>
      <c r="P39" s="175" t="s">
        <v>416</v>
      </c>
      <c r="Q39" s="175" t="s">
        <v>1178</v>
      </c>
      <c r="R39" s="175" t="s">
        <v>339</v>
      </c>
      <c r="S39" s="175" t="s">
        <v>19</v>
      </c>
      <c r="T39" s="175" t="s">
        <v>347</v>
      </c>
      <c r="U39" s="176">
        <v>18</v>
      </c>
      <c r="V39" s="176">
        <v>24</v>
      </c>
      <c r="W39" s="176" t="s">
        <v>21</v>
      </c>
      <c r="X39" s="179">
        <f t="shared" si="13"/>
        <v>24</v>
      </c>
      <c r="Y39" s="176">
        <v>4</v>
      </c>
      <c r="Z39" s="176" t="s">
        <v>20</v>
      </c>
      <c r="AA39" s="176" t="s">
        <v>18</v>
      </c>
      <c r="AB39" s="185" t="s">
        <v>18</v>
      </c>
      <c r="AC39" s="186" t="s">
        <v>21</v>
      </c>
      <c r="AD39" s="181" t="s">
        <v>1180</v>
      </c>
      <c r="AE39" s="179" t="s">
        <v>20</v>
      </c>
      <c r="AF39" s="181" t="s">
        <v>988</v>
      </c>
      <c r="AG39" s="175" t="s">
        <v>1173</v>
      </c>
      <c r="AH39" s="179">
        <f t="shared" si="1"/>
        <v>6</v>
      </c>
      <c r="AI39" s="179">
        <f>VLOOKUP(K39,[1]TRAMO!$A:$B,2,0)</f>
        <v>2</v>
      </c>
      <c r="AJ39" s="183">
        <f t="shared" si="2"/>
        <v>6372</v>
      </c>
      <c r="AK39" s="179">
        <f t="shared" si="3"/>
        <v>6</v>
      </c>
      <c r="AL39" s="183">
        <v>60000</v>
      </c>
      <c r="AM39" s="183">
        <f t="shared" si="11"/>
        <v>432000</v>
      </c>
      <c r="AN39" s="183">
        <f t="shared" si="5"/>
        <v>0</v>
      </c>
      <c r="AO39" s="183">
        <f t="shared" si="6"/>
        <v>0</v>
      </c>
      <c r="AP39" s="183">
        <f t="shared" si="7"/>
        <v>2752704</v>
      </c>
      <c r="AR39" s="183">
        <f t="shared" si="8"/>
        <v>1080000</v>
      </c>
      <c r="AS39" s="183">
        <f t="shared" si="9"/>
        <v>4264704</v>
      </c>
      <c r="AT39" s="175" t="s">
        <v>1568</v>
      </c>
      <c r="AU39" s="175" t="s">
        <v>1569</v>
      </c>
      <c r="AV39" s="175" t="s">
        <v>1349</v>
      </c>
      <c r="AW39" s="175" t="s">
        <v>98</v>
      </c>
    </row>
    <row r="40" spans="1:49" ht="24.95" customHeight="1" x14ac:dyDescent="0.25">
      <c r="A40" s="175">
        <v>14339</v>
      </c>
      <c r="B40" s="175" t="s">
        <v>98</v>
      </c>
      <c r="C40" s="175" t="s">
        <v>41</v>
      </c>
      <c r="D40" s="176">
        <v>1</v>
      </c>
      <c r="E40" s="176">
        <v>2025</v>
      </c>
      <c r="F40" s="176">
        <v>2025</v>
      </c>
      <c r="G40" s="175" t="s">
        <v>23</v>
      </c>
      <c r="H40" s="175" t="s">
        <v>98</v>
      </c>
      <c r="I40" s="175" t="s">
        <v>1175</v>
      </c>
      <c r="J40" s="177" t="s">
        <v>391</v>
      </c>
      <c r="K40" s="175" t="s">
        <v>987</v>
      </c>
      <c r="L40" s="175" t="s">
        <v>21</v>
      </c>
      <c r="M40" s="175" t="s">
        <v>21</v>
      </c>
      <c r="N40" s="175">
        <v>13</v>
      </c>
      <c r="O40" s="175" t="s">
        <v>382</v>
      </c>
      <c r="P40" s="175" t="s">
        <v>416</v>
      </c>
      <c r="Q40" s="175" t="s">
        <v>1201</v>
      </c>
      <c r="R40" s="175" t="s">
        <v>339</v>
      </c>
      <c r="S40" s="175" t="s">
        <v>19</v>
      </c>
      <c r="T40" s="175" t="s">
        <v>347</v>
      </c>
      <c r="U40" s="176">
        <v>18</v>
      </c>
      <c r="V40" s="176">
        <v>24</v>
      </c>
      <c r="W40" s="176" t="s">
        <v>21</v>
      </c>
      <c r="X40" s="179">
        <f t="shared" si="13"/>
        <v>24</v>
      </c>
      <c r="Y40" s="176">
        <v>4</v>
      </c>
      <c r="Z40" s="176" t="s">
        <v>20</v>
      </c>
      <c r="AA40" s="176" t="s">
        <v>18</v>
      </c>
      <c r="AB40" s="185" t="s">
        <v>18</v>
      </c>
      <c r="AC40" s="186" t="s">
        <v>21</v>
      </c>
      <c r="AD40" s="181" t="s">
        <v>1180</v>
      </c>
      <c r="AE40" s="179" t="s">
        <v>20</v>
      </c>
      <c r="AF40" s="181" t="s">
        <v>988</v>
      </c>
      <c r="AG40" s="175" t="s">
        <v>1173</v>
      </c>
      <c r="AH40" s="179">
        <f t="shared" si="1"/>
        <v>6</v>
      </c>
      <c r="AI40" s="179">
        <f>VLOOKUP(K40,[1]TRAMO!$A:$B,2,0)</f>
        <v>2</v>
      </c>
      <c r="AJ40" s="183">
        <f t="shared" si="2"/>
        <v>6372</v>
      </c>
      <c r="AK40" s="179">
        <f t="shared" si="3"/>
        <v>6</v>
      </c>
      <c r="AL40" s="183">
        <v>60000</v>
      </c>
      <c r="AM40" s="183">
        <f t="shared" si="11"/>
        <v>432000</v>
      </c>
      <c r="AN40" s="183">
        <f t="shared" si="5"/>
        <v>0</v>
      </c>
      <c r="AO40" s="183">
        <f t="shared" si="6"/>
        <v>0</v>
      </c>
      <c r="AP40" s="183">
        <f t="shared" si="7"/>
        <v>2752704</v>
      </c>
      <c r="AR40" s="183">
        <f t="shared" si="8"/>
        <v>1080000</v>
      </c>
      <c r="AS40" s="183">
        <f t="shared" si="9"/>
        <v>4264704</v>
      </c>
      <c r="AT40" s="175" t="s">
        <v>1568</v>
      </c>
      <c r="AU40" s="175" t="s">
        <v>1569</v>
      </c>
      <c r="AV40" s="175" t="s">
        <v>1349</v>
      </c>
      <c r="AW40" s="175" t="s">
        <v>98</v>
      </c>
    </row>
    <row r="41" spans="1:49" ht="24.95" customHeight="1" x14ac:dyDescent="0.25">
      <c r="A41" s="175">
        <v>14395</v>
      </c>
      <c r="B41" s="175" t="s">
        <v>98</v>
      </c>
      <c r="C41" s="175" t="s">
        <v>41</v>
      </c>
      <c r="D41" s="176">
        <v>1</v>
      </c>
      <c r="E41" s="176">
        <v>2025</v>
      </c>
      <c r="F41" s="176">
        <v>2025</v>
      </c>
      <c r="G41" s="175" t="s">
        <v>23</v>
      </c>
      <c r="H41" s="175" t="s">
        <v>98</v>
      </c>
      <c r="I41" s="175" t="s">
        <v>1175</v>
      </c>
      <c r="J41" s="177" t="s">
        <v>391</v>
      </c>
      <c r="K41" s="175" t="s">
        <v>987</v>
      </c>
      <c r="L41" s="175" t="s">
        <v>21</v>
      </c>
      <c r="M41" s="175" t="s">
        <v>21</v>
      </c>
      <c r="N41" s="175">
        <v>9</v>
      </c>
      <c r="O41" s="175" t="s">
        <v>424</v>
      </c>
      <c r="P41" s="175" t="s">
        <v>842</v>
      </c>
      <c r="Q41" s="175" t="s">
        <v>1201</v>
      </c>
      <c r="R41" s="175" t="s">
        <v>339</v>
      </c>
      <c r="S41" s="175" t="s">
        <v>19</v>
      </c>
      <c r="T41" s="175" t="s">
        <v>337</v>
      </c>
      <c r="U41" s="176">
        <v>16</v>
      </c>
      <c r="V41" s="176">
        <v>24</v>
      </c>
      <c r="W41" s="176" t="s">
        <v>21</v>
      </c>
      <c r="X41" s="179">
        <f t="shared" si="13"/>
        <v>24</v>
      </c>
      <c r="Y41" s="176">
        <v>4</v>
      </c>
      <c r="Z41" s="176" t="s">
        <v>20</v>
      </c>
      <c r="AA41" s="176" t="s">
        <v>18</v>
      </c>
      <c r="AB41" s="185" t="s">
        <v>18</v>
      </c>
      <c r="AC41" s="186" t="s">
        <v>21</v>
      </c>
      <c r="AD41" s="181" t="s">
        <v>1570</v>
      </c>
      <c r="AE41" s="179" t="s">
        <v>20</v>
      </c>
      <c r="AF41" s="181" t="s">
        <v>988</v>
      </c>
      <c r="AG41" s="175" t="s">
        <v>1173</v>
      </c>
      <c r="AH41" s="179">
        <f t="shared" si="1"/>
        <v>6</v>
      </c>
      <c r="AI41" s="179">
        <f>VLOOKUP(K41,[1]TRAMO!$A:$B,2,0)</f>
        <v>2</v>
      </c>
      <c r="AJ41" s="183">
        <f t="shared" si="2"/>
        <v>6372</v>
      </c>
      <c r="AK41" s="179">
        <f t="shared" si="3"/>
        <v>6</v>
      </c>
      <c r="AL41" s="183">
        <v>60000</v>
      </c>
      <c r="AM41" s="183">
        <f t="shared" si="11"/>
        <v>384000</v>
      </c>
      <c r="AN41" s="183">
        <f t="shared" si="5"/>
        <v>0</v>
      </c>
      <c r="AO41" s="183">
        <f t="shared" si="6"/>
        <v>0</v>
      </c>
      <c r="AP41" s="183">
        <f t="shared" si="7"/>
        <v>2446848</v>
      </c>
      <c r="AR41" s="183">
        <f t="shared" si="8"/>
        <v>960000</v>
      </c>
      <c r="AS41" s="183">
        <f t="shared" si="9"/>
        <v>3790848</v>
      </c>
      <c r="AT41" s="175" t="s">
        <v>1571</v>
      </c>
      <c r="AU41" s="175" t="s">
        <v>1572</v>
      </c>
      <c r="AV41" s="175" t="s">
        <v>1573</v>
      </c>
      <c r="AW41" s="175" t="s">
        <v>843</v>
      </c>
    </row>
    <row r="42" spans="1:49" ht="24.95" customHeight="1" x14ac:dyDescent="0.25">
      <c r="A42" s="175">
        <v>14396</v>
      </c>
      <c r="B42" s="175" t="s">
        <v>98</v>
      </c>
      <c r="C42" s="175" t="s">
        <v>41</v>
      </c>
      <c r="D42" s="176">
        <v>1</v>
      </c>
      <c r="E42" s="176">
        <v>2025</v>
      </c>
      <c r="F42" s="176">
        <v>2025</v>
      </c>
      <c r="G42" s="175" t="s">
        <v>23</v>
      </c>
      <c r="H42" s="175" t="s">
        <v>98</v>
      </c>
      <c r="I42" s="175" t="s">
        <v>1175</v>
      </c>
      <c r="J42" s="177" t="s">
        <v>391</v>
      </c>
      <c r="K42" s="175" t="s">
        <v>987</v>
      </c>
      <c r="L42" s="175" t="s">
        <v>21</v>
      </c>
      <c r="M42" s="175" t="s">
        <v>21</v>
      </c>
      <c r="N42" s="175">
        <v>9</v>
      </c>
      <c r="O42" s="175" t="s">
        <v>424</v>
      </c>
      <c r="P42" s="175" t="s">
        <v>842</v>
      </c>
      <c r="Q42" s="175" t="s">
        <v>1201</v>
      </c>
      <c r="R42" s="175" t="s">
        <v>339</v>
      </c>
      <c r="S42" s="175" t="s">
        <v>19</v>
      </c>
      <c r="T42" s="175" t="s">
        <v>337</v>
      </c>
      <c r="U42" s="176">
        <v>16</v>
      </c>
      <c r="V42" s="176">
        <v>24</v>
      </c>
      <c r="W42" s="176" t="s">
        <v>21</v>
      </c>
      <c r="X42" s="179">
        <f t="shared" si="13"/>
        <v>24</v>
      </c>
      <c r="Y42" s="176">
        <v>4</v>
      </c>
      <c r="Z42" s="176" t="s">
        <v>20</v>
      </c>
      <c r="AA42" s="176" t="s">
        <v>18</v>
      </c>
      <c r="AB42" s="185" t="s">
        <v>18</v>
      </c>
      <c r="AC42" s="186" t="s">
        <v>21</v>
      </c>
      <c r="AD42" s="181" t="s">
        <v>1574</v>
      </c>
      <c r="AE42" s="179" t="s">
        <v>20</v>
      </c>
      <c r="AF42" s="181" t="s">
        <v>988</v>
      </c>
      <c r="AG42" s="175" t="s">
        <v>1173</v>
      </c>
      <c r="AH42" s="179">
        <f t="shared" si="1"/>
        <v>6</v>
      </c>
      <c r="AI42" s="179">
        <f>VLOOKUP(K42,[1]TRAMO!$A:$B,2,0)</f>
        <v>2</v>
      </c>
      <c r="AJ42" s="183">
        <f t="shared" si="2"/>
        <v>6372</v>
      </c>
      <c r="AK42" s="179">
        <f t="shared" si="3"/>
        <v>6</v>
      </c>
      <c r="AL42" s="183">
        <v>60000</v>
      </c>
      <c r="AM42" s="183">
        <f t="shared" si="11"/>
        <v>384000</v>
      </c>
      <c r="AN42" s="183">
        <f t="shared" si="5"/>
        <v>0</v>
      </c>
      <c r="AO42" s="183">
        <f t="shared" si="6"/>
        <v>0</v>
      </c>
      <c r="AP42" s="183">
        <f t="shared" si="7"/>
        <v>2446848</v>
      </c>
      <c r="AR42" s="183">
        <f t="shared" si="8"/>
        <v>960000</v>
      </c>
      <c r="AS42" s="183">
        <f t="shared" si="9"/>
        <v>3790848</v>
      </c>
      <c r="AT42" s="175" t="s">
        <v>1571</v>
      </c>
      <c r="AU42" s="175" t="s">
        <v>1572</v>
      </c>
      <c r="AV42" s="175" t="s">
        <v>1573</v>
      </c>
      <c r="AW42" s="175" t="s">
        <v>843</v>
      </c>
    </row>
    <row r="43" spans="1:49" ht="24.95" customHeight="1" x14ac:dyDescent="0.25">
      <c r="A43" s="175">
        <v>14397</v>
      </c>
      <c r="B43" s="175" t="s">
        <v>98</v>
      </c>
      <c r="C43" s="175" t="s">
        <v>41</v>
      </c>
      <c r="D43" s="176">
        <v>1</v>
      </c>
      <c r="E43" s="176">
        <v>2025</v>
      </c>
      <c r="F43" s="176">
        <v>2025</v>
      </c>
      <c r="G43" s="175" t="s">
        <v>23</v>
      </c>
      <c r="H43" s="175" t="s">
        <v>98</v>
      </c>
      <c r="I43" s="175" t="s">
        <v>1175</v>
      </c>
      <c r="J43" s="177" t="s">
        <v>391</v>
      </c>
      <c r="K43" s="175" t="s">
        <v>987</v>
      </c>
      <c r="L43" s="175" t="s">
        <v>21</v>
      </c>
      <c r="M43" s="175" t="s">
        <v>21</v>
      </c>
      <c r="N43" s="175">
        <v>9</v>
      </c>
      <c r="O43" s="175" t="s">
        <v>424</v>
      </c>
      <c r="P43" s="175" t="s">
        <v>1497</v>
      </c>
      <c r="Q43" s="175" t="s">
        <v>1201</v>
      </c>
      <c r="R43" s="175" t="s">
        <v>339</v>
      </c>
      <c r="S43" s="175" t="s">
        <v>19</v>
      </c>
      <c r="T43" s="175" t="s">
        <v>337</v>
      </c>
      <c r="U43" s="176">
        <v>16</v>
      </c>
      <c r="V43" s="176">
        <v>24</v>
      </c>
      <c r="W43" s="176" t="s">
        <v>21</v>
      </c>
      <c r="X43" s="179">
        <f t="shared" si="13"/>
        <v>24</v>
      </c>
      <c r="Y43" s="176">
        <v>4</v>
      </c>
      <c r="Z43" s="176" t="s">
        <v>20</v>
      </c>
      <c r="AA43" s="176" t="s">
        <v>18</v>
      </c>
      <c r="AB43" s="185" t="s">
        <v>18</v>
      </c>
      <c r="AC43" s="186" t="s">
        <v>21</v>
      </c>
      <c r="AD43" s="181" t="s">
        <v>1575</v>
      </c>
      <c r="AE43" s="179" t="s">
        <v>20</v>
      </c>
      <c r="AF43" s="181" t="s">
        <v>988</v>
      </c>
      <c r="AG43" s="175" t="s">
        <v>1173</v>
      </c>
      <c r="AH43" s="179">
        <f t="shared" si="1"/>
        <v>6</v>
      </c>
      <c r="AI43" s="179">
        <f>VLOOKUP(K43,[1]TRAMO!$A:$B,2,0)</f>
        <v>2</v>
      </c>
      <c r="AJ43" s="183">
        <f t="shared" si="2"/>
        <v>6372</v>
      </c>
      <c r="AK43" s="179">
        <f t="shared" si="3"/>
        <v>6</v>
      </c>
      <c r="AL43" s="183">
        <v>60000</v>
      </c>
      <c r="AM43" s="183">
        <f t="shared" si="11"/>
        <v>384000</v>
      </c>
      <c r="AN43" s="183">
        <f t="shared" si="5"/>
        <v>0</v>
      </c>
      <c r="AO43" s="183">
        <f t="shared" si="6"/>
        <v>0</v>
      </c>
      <c r="AP43" s="183">
        <f t="shared" si="7"/>
        <v>2446848</v>
      </c>
      <c r="AR43" s="183">
        <f t="shared" si="8"/>
        <v>960000</v>
      </c>
      <c r="AS43" s="183">
        <f t="shared" si="9"/>
        <v>3790848</v>
      </c>
      <c r="AT43" s="175" t="s">
        <v>1571</v>
      </c>
      <c r="AU43" s="175" t="s">
        <v>1572</v>
      </c>
      <c r="AV43" s="175" t="s">
        <v>1576</v>
      </c>
      <c r="AW43" s="175" t="s">
        <v>1577</v>
      </c>
    </row>
    <row r="44" spans="1:49" ht="24.95" customHeight="1" x14ac:dyDescent="0.25">
      <c r="A44" s="175">
        <v>14443</v>
      </c>
      <c r="B44" s="175" t="s">
        <v>98</v>
      </c>
      <c r="C44" s="175" t="s">
        <v>41</v>
      </c>
      <c r="D44" s="176">
        <v>1</v>
      </c>
      <c r="E44" s="176">
        <v>2025</v>
      </c>
      <c r="F44" s="176">
        <v>2025</v>
      </c>
      <c r="G44" s="175" t="s">
        <v>23</v>
      </c>
      <c r="H44" s="175" t="s">
        <v>98</v>
      </c>
      <c r="I44" s="175" t="s">
        <v>1175</v>
      </c>
      <c r="J44" s="177" t="s">
        <v>391</v>
      </c>
      <c r="K44" s="175" t="s">
        <v>987</v>
      </c>
      <c r="L44" s="175" t="s">
        <v>21</v>
      </c>
      <c r="M44" s="175" t="s">
        <v>21</v>
      </c>
      <c r="N44" s="175">
        <v>8</v>
      </c>
      <c r="O44" s="175" t="s">
        <v>709</v>
      </c>
      <c r="P44" s="175" t="s">
        <v>721</v>
      </c>
      <c r="Q44" s="175" t="s">
        <v>1201</v>
      </c>
      <c r="R44" s="175" t="s">
        <v>339</v>
      </c>
      <c r="S44" s="175" t="s">
        <v>22</v>
      </c>
      <c r="T44" s="175" t="s">
        <v>337</v>
      </c>
      <c r="U44" s="176">
        <v>10</v>
      </c>
      <c r="V44" s="176">
        <v>24</v>
      </c>
      <c r="W44" s="176" t="s">
        <v>21</v>
      </c>
      <c r="X44" s="179">
        <f t="shared" si="13"/>
        <v>24</v>
      </c>
      <c r="Y44" s="176">
        <v>4</v>
      </c>
      <c r="Z44" s="176" t="s">
        <v>20</v>
      </c>
      <c r="AA44" s="176" t="s">
        <v>18</v>
      </c>
      <c r="AB44" s="185" t="s">
        <v>18</v>
      </c>
      <c r="AC44" s="186" t="s">
        <v>21</v>
      </c>
      <c r="AD44" s="181" t="s">
        <v>1578</v>
      </c>
      <c r="AE44" s="179" t="s">
        <v>20</v>
      </c>
      <c r="AF44" s="181" t="s">
        <v>988</v>
      </c>
      <c r="AG44" s="175" t="s">
        <v>1173</v>
      </c>
      <c r="AH44" s="179">
        <f t="shared" si="1"/>
        <v>6</v>
      </c>
      <c r="AI44" s="179">
        <f>VLOOKUP(K44,[1]TRAMO!$A:$B,2,0)</f>
        <v>2</v>
      </c>
      <c r="AJ44" s="183">
        <f t="shared" si="2"/>
        <v>6372</v>
      </c>
      <c r="AK44" s="179">
        <f t="shared" si="3"/>
        <v>6</v>
      </c>
      <c r="AL44" s="183">
        <v>60000</v>
      </c>
      <c r="AM44" s="183">
        <f t="shared" si="11"/>
        <v>240000</v>
      </c>
      <c r="AN44" s="183">
        <f t="shared" si="5"/>
        <v>0</v>
      </c>
      <c r="AO44" s="183">
        <f t="shared" si="6"/>
        <v>0</v>
      </c>
      <c r="AP44" s="183">
        <f t="shared" si="7"/>
        <v>1529280</v>
      </c>
      <c r="AR44" s="183">
        <f t="shared" si="8"/>
        <v>600000</v>
      </c>
      <c r="AS44" s="183">
        <f t="shared" si="9"/>
        <v>2369280</v>
      </c>
      <c r="AT44" s="175" t="s">
        <v>1524</v>
      </c>
      <c r="AU44" s="175" t="s">
        <v>1525</v>
      </c>
      <c r="AV44" s="175" t="s">
        <v>1579</v>
      </c>
      <c r="AW44" s="175" t="s">
        <v>1013</v>
      </c>
    </row>
    <row r="45" spans="1:49" ht="24.95" customHeight="1" x14ac:dyDescent="0.25">
      <c r="A45" s="175">
        <v>14445</v>
      </c>
      <c r="B45" s="175" t="s">
        <v>98</v>
      </c>
      <c r="C45" s="175" t="s">
        <v>41</v>
      </c>
      <c r="D45" s="176">
        <v>1</v>
      </c>
      <c r="E45" s="176">
        <v>2025</v>
      </c>
      <c r="F45" s="176">
        <v>2025</v>
      </c>
      <c r="G45" s="175" t="s">
        <v>23</v>
      </c>
      <c r="H45" s="175" t="s">
        <v>98</v>
      </c>
      <c r="I45" s="175" t="s">
        <v>1175</v>
      </c>
      <c r="J45" s="177" t="s">
        <v>391</v>
      </c>
      <c r="K45" s="175" t="s">
        <v>987</v>
      </c>
      <c r="L45" s="175" t="s">
        <v>21</v>
      </c>
      <c r="M45" s="175" t="s">
        <v>21</v>
      </c>
      <c r="N45" s="175">
        <v>10</v>
      </c>
      <c r="O45" s="175" t="s">
        <v>706</v>
      </c>
      <c r="P45" s="175" t="s">
        <v>754</v>
      </c>
      <c r="Q45" s="175" t="s">
        <v>1201</v>
      </c>
      <c r="R45" s="175" t="s">
        <v>339</v>
      </c>
      <c r="S45" s="175" t="s">
        <v>22</v>
      </c>
      <c r="T45" s="175" t="s">
        <v>337</v>
      </c>
      <c r="U45" s="176">
        <v>10</v>
      </c>
      <c r="V45" s="176">
        <v>24</v>
      </c>
      <c r="W45" s="176" t="s">
        <v>21</v>
      </c>
      <c r="X45" s="179">
        <f t="shared" si="13"/>
        <v>24</v>
      </c>
      <c r="Y45" s="176">
        <v>4</v>
      </c>
      <c r="Z45" s="176" t="s">
        <v>20</v>
      </c>
      <c r="AA45" s="176" t="s">
        <v>18</v>
      </c>
      <c r="AB45" s="185" t="s">
        <v>18</v>
      </c>
      <c r="AC45" s="186" t="s">
        <v>21</v>
      </c>
      <c r="AD45" s="181" t="s">
        <v>1580</v>
      </c>
      <c r="AE45" s="179" t="s">
        <v>20</v>
      </c>
      <c r="AF45" s="181" t="s">
        <v>988</v>
      </c>
      <c r="AG45" s="175" t="s">
        <v>1173</v>
      </c>
      <c r="AH45" s="179">
        <f t="shared" si="1"/>
        <v>6</v>
      </c>
      <c r="AI45" s="179">
        <f>VLOOKUP(K45,[1]TRAMO!$A:$B,2,0)</f>
        <v>2</v>
      </c>
      <c r="AJ45" s="183">
        <f t="shared" si="2"/>
        <v>6372</v>
      </c>
      <c r="AK45" s="179">
        <f t="shared" si="3"/>
        <v>6</v>
      </c>
      <c r="AL45" s="183">
        <v>60000</v>
      </c>
      <c r="AM45" s="183">
        <f t="shared" si="11"/>
        <v>240000</v>
      </c>
      <c r="AN45" s="183">
        <f t="shared" si="5"/>
        <v>0</v>
      </c>
      <c r="AO45" s="183">
        <f t="shared" si="6"/>
        <v>0</v>
      </c>
      <c r="AP45" s="183">
        <f t="shared" si="7"/>
        <v>1529280</v>
      </c>
      <c r="AR45" s="183">
        <f t="shared" si="8"/>
        <v>600000</v>
      </c>
      <c r="AS45" s="183">
        <f t="shared" si="9"/>
        <v>2369280</v>
      </c>
      <c r="AT45" s="175" t="s">
        <v>1524</v>
      </c>
      <c r="AU45" s="175" t="s">
        <v>1525</v>
      </c>
      <c r="AV45" s="175" t="s">
        <v>1581</v>
      </c>
      <c r="AW45" s="175" t="s">
        <v>1582</v>
      </c>
    </row>
    <row r="46" spans="1:49" ht="24.95" customHeight="1" x14ac:dyDescent="0.25">
      <c r="A46" s="175">
        <v>14452</v>
      </c>
      <c r="B46" s="175" t="s">
        <v>98</v>
      </c>
      <c r="C46" s="175" t="s">
        <v>41</v>
      </c>
      <c r="D46" s="176">
        <v>1</v>
      </c>
      <c r="E46" s="176">
        <v>2025</v>
      </c>
      <c r="F46" s="176">
        <v>2025</v>
      </c>
      <c r="G46" s="175" t="s">
        <v>23</v>
      </c>
      <c r="H46" s="175" t="s">
        <v>98</v>
      </c>
      <c r="I46" s="175" t="s">
        <v>1175</v>
      </c>
      <c r="J46" s="177" t="s">
        <v>391</v>
      </c>
      <c r="K46" s="175" t="s">
        <v>987</v>
      </c>
      <c r="L46" s="175" t="s">
        <v>21</v>
      </c>
      <c r="M46" s="175" t="s">
        <v>21</v>
      </c>
      <c r="N46" s="175">
        <v>2</v>
      </c>
      <c r="O46" s="175" t="s">
        <v>798</v>
      </c>
      <c r="P46" s="175" t="s">
        <v>1583</v>
      </c>
      <c r="Q46" s="175" t="s">
        <v>1201</v>
      </c>
      <c r="R46" s="175" t="s">
        <v>339</v>
      </c>
      <c r="S46" s="175" t="s">
        <v>22</v>
      </c>
      <c r="T46" s="175" t="s">
        <v>337</v>
      </c>
      <c r="U46" s="176">
        <v>10</v>
      </c>
      <c r="V46" s="176">
        <v>24</v>
      </c>
      <c r="W46" s="176" t="s">
        <v>21</v>
      </c>
      <c r="X46" s="179">
        <f t="shared" si="13"/>
        <v>24</v>
      </c>
      <c r="Y46" s="176">
        <v>4</v>
      </c>
      <c r="Z46" s="176" t="s">
        <v>20</v>
      </c>
      <c r="AA46" s="176" t="s">
        <v>18</v>
      </c>
      <c r="AB46" s="185" t="s">
        <v>18</v>
      </c>
      <c r="AC46" s="186" t="s">
        <v>21</v>
      </c>
      <c r="AD46" s="181" t="s">
        <v>1584</v>
      </c>
      <c r="AE46" s="179" t="s">
        <v>20</v>
      </c>
      <c r="AF46" s="181" t="s">
        <v>988</v>
      </c>
      <c r="AG46" s="175" t="s">
        <v>1173</v>
      </c>
      <c r="AH46" s="179">
        <f t="shared" si="1"/>
        <v>6</v>
      </c>
      <c r="AI46" s="179">
        <f>VLOOKUP(K46,[1]TRAMO!$A:$B,2,0)</f>
        <v>2</v>
      </c>
      <c r="AJ46" s="183">
        <f t="shared" si="2"/>
        <v>6372</v>
      </c>
      <c r="AK46" s="179">
        <f t="shared" si="3"/>
        <v>6</v>
      </c>
      <c r="AL46" s="183">
        <v>60000</v>
      </c>
      <c r="AM46" s="183">
        <f t="shared" si="11"/>
        <v>240000</v>
      </c>
      <c r="AN46" s="183">
        <f t="shared" si="5"/>
        <v>0</v>
      </c>
      <c r="AO46" s="183">
        <f t="shared" si="6"/>
        <v>0</v>
      </c>
      <c r="AP46" s="183">
        <f t="shared" si="7"/>
        <v>1529280</v>
      </c>
      <c r="AR46" s="183">
        <f t="shared" si="8"/>
        <v>600000</v>
      </c>
      <c r="AS46" s="183">
        <f t="shared" si="9"/>
        <v>2369280</v>
      </c>
      <c r="AT46" s="175" t="s">
        <v>1524</v>
      </c>
      <c r="AU46" s="175" t="s">
        <v>1525</v>
      </c>
      <c r="AV46" s="175" t="s">
        <v>1585</v>
      </c>
      <c r="AW46" s="175" t="s">
        <v>1586</v>
      </c>
    </row>
    <row r="47" spans="1:49" ht="24.95" customHeight="1" x14ac:dyDescent="0.25">
      <c r="A47" s="175">
        <v>14508</v>
      </c>
      <c r="B47" s="175" t="s">
        <v>98</v>
      </c>
      <c r="C47" s="175" t="s">
        <v>41</v>
      </c>
      <c r="D47" s="176">
        <v>1</v>
      </c>
      <c r="E47" s="176">
        <v>2025</v>
      </c>
      <c r="F47" s="176">
        <v>2025</v>
      </c>
      <c r="G47" s="175" t="s">
        <v>23</v>
      </c>
      <c r="H47" s="175" t="s">
        <v>98</v>
      </c>
      <c r="I47" s="175" t="s">
        <v>1175</v>
      </c>
      <c r="J47" s="177" t="s">
        <v>391</v>
      </c>
      <c r="K47" s="175" t="s">
        <v>987</v>
      </c>
      <c r="L47" s="175" t="s">
        <v>21</v>
      </c>
      <c r="M47" s="175" t="s">
        <v>21</v>
      </c>
      <c r="N47" s="175">
        <v>8</v>
      </c>
      <c r="O47" s="175" t="s">
        <v>709</v>
      </c>
      <c r="P47" s="175" t="s">
        <v>755</v>
      </c>
      <c r="Q47" s="175" t="s">
        <v>388</v>
      </c>
      <c r="R47" s="175" t="s">
        <v>339</v>
      </c>
      <c r="S47" s="175" t="s">
        <v>19</v>
      </c>
      <c r="T47" s="175" t="s">
        <v>347</v>
      </c>
      <c r="U47" s="176">
        <v>10</v>
      </c>
      <c r="V47" s="176">
        <v>24</v>
      </c>
      <c r="W47" s="176" t="s">
        <v>21</v>
      </c>
      <c r="X47" s="179">
        <f t="shared" si="13"/>
        <v>24</v>
      </c>
      <c r="Y47" s="176">
        <v>5</v>
      </c>
      <c r="Z47" s="176" t="s">
        <v>20</v>
      </c>
      <c r="AA47" s="176" t="s">
        <v>18</v>
      </c>
      <c r="AB47" s="185" t="s">
        <v>18</v>
      </c>
      <c r="AC47" s="186" t="s">
        <v>21</v>
      </c>
      <c r="AD47" s="181" t="s">
        <v>1587</v>
      </c>
      <c r="AE47" s="179" t="s">
        <v>20</v>
      </c>
      <c r="AF47" s="181" t="s">
        <v>988</v>
      </c>
      <c r="AG47" s="175" t="s">
        <v>1173</v>
      </c>
      <c r="AH47" s="179">
        <f t="shared" si="1"/>
        <v>5</v>
      </c>
      <c r="AI47" s="179">
        <f>VLOOKUP(K47,[1]TRAMO!$A:$B,2,0)</f>
        <v>2</v>
      </c>
      <c r="AJ47" s="183">
        <f t="shared" si="2"/>
        <v>6372</v>
      </c>
      <c r="AK47" s="179">
        <f t="shared" si="3"/>
        <v>4.8</v>
      </c>
      <c r="AL47" s="183">
        <v>60000</v>
      </c>
      <c r="AM47" s="183">
        <f t="shared" si="11"/>
        <v>200000</v>
      </c>
      <c r="AN47" s="183">
        <f t="shared" si="5"/>
        <v>0</v>
      </c>
      <c r="AO47" s="183">
        <f t="shared" si="6"/>
        <v>0</v>
      </c>
      <c r="AP47" s="183">
        <f t="shared" si="7"/>
        <v>1529280</v>
      </c>
      <c r="AR47" s="183">
        <f t="shared" si="8"/>
        <v>600000</v>
      </c>
      <c r="AS47" s="183">
        <f t="shared" si="9"/>
        <v>2329280</v>
      </c>
      <c r="AT47" s="175" t="s">
        <v>1588</v>
      </c>
      <c r="AU47" s="175" t="s">
        <v>1589</v>
      </c>
      <c r="AV47" s="175" t="s">
        <v>1590</v>
      </c>
      <c r="AW47" s="175" t="s">
        <v>1591</v>
      </c>
    </row>
    <row r="48" spans="1:49" ht="24.95" customHeight="1" x14ac:dyDescent="0.25">
      <c r="A48" s="175">
        <v>14515</v>
      </c>
      <c r="B48" s="175" t="s">
        <v>83</v>
      </c>
      <c r="C48" s="175" t="s">
        <v>1022</v>
      </c>
      <c r="D48" s="176">
        <v>1</v>
      </c>
      <c r="E48" s="176">
        <v>2025</v>
      </c>
      <c r="F48" s="176">
        <v>2025</v>
      </c>
      <c r="G48" s="175" t="s">
        <v>23</v>
      </c>
      <c r="H48" s="175" t="s">
        <v>83</v>
      </c>
      <c r="I48" s="175" t="s">
        <v>102</v>
      </c>
      <c r="J48" s="177" t="s">
        <v>391</v>
      </c>
      <c r="K48" s="175" t="s">
        <v>987</v>
      </c>
      <c r="L48" s="175" t="s">
        <v>21</v>
      </c>
      <c r="M48" s="175" t="s">
        <v>21</v>
      </c>
      <c r="N48" s="175">
        <v>10</v>
      </c>
      <c r="O48" s="175" t="s">
        <v>706</v>
      </c>
      <c r="P48" s="175" t="s">
        <v>707</v>
      </c>
      <c r="Q48" s="175" t="s">
        <v>1201</v>
      </c>
      <c r="R48" s="175" t="s">
        <v>339</v>
      </c>
      <c r="S48" s="175" t="s">
        <v>22</v>
      </c>
      <c r="T48" s="175" t="s">
        <v>337</v>
      </c>
      <c r="U48" s="176">
        <v>15</v>
      </c>
      <c r="V48" s="176">
        <v>24</v>
      </c>
      <c r="W48" s="176" t="s">
        <v>21</v>
      </c>
      <c r="X48" s="179">
        <f t="shared" si="13"/>
        <v>24</v>
      </c>
      <c r="Y48" s="176">
        <v>4</v>
      </c>
      <c r="Z48" s="176" t="s">
        <v>20</v>
      </c>
      <c r="AA48" s="176" t="s">
        <v>18</v>
      </c>
      <c r="AB48" s="185" t="s">
        <v>18</v>
      </c>
      <c r="AC48" s="186" t="s">
        <v>21</v>
      </c>
      <c r="AD48" s="181" t="s">
        <v>1592</v>
      </c>
      <c r="AE48" s="179" t="s">
        <v>20</v>
      </c>
      <c r="AF48" s="181" t="s">
        <v>988</v>
      </c>
      <c r="AG48" s="175" t="s">
        <v>1173</v>
      </c>
      <c r="AH48" s="179">
        <f t="shared" si="1"/>
        <v>6</v>
      </c>
      <c r="AI48" s="179">
        <f>VLOOKUP(K48,[1]TRAMO!$A:$B,2,0)</f>
        <v>2</v>
      </c>
      <c r="AJ48" s="183">
        <f t="shared" si="2"/>
        <v>6372</v>
      </c>
      <c r="AK48" s="179">
        <f t="shared" si="3"/>
        <v>6</v>
      </c>
      <c r="AL48" s="183">
        <v>60000</v>
      </c>
      <c r="AM48" s="183">
        <f t="shared" si="11"/>
        <v>360000</v>
      </c>
      <c r="AN48" s="183">
        <f t="shared" si="5"/>
        <v>0</v>
      </c>
      <c r="AO48" s="183">
        <f t="shared" si="6"/>
        <v>0</v>
      </c>
      <c r="AP48" s="183">
        <f t="shared" si="7"/>
        <v>2293920</v>
      </c>
      <c r="AR48" s="183">
        <f t="shared" si="8"/>
        <v>900000</v>
      </c>
      <c r="AS48" s="183">
        <f t="shared" si="9"/>
        <v>3553920</v>
      </c>
      <c r="AT48" s="175" t="s">
        <v>1535</v>
      </c>
      <c r="AU48" s="175" t="s">
        <v>1536</v>
      </c>
      <c r="AV48" s="175" t="s">
        <v>1556</v>
      </c>
      <c r="AW48" s="175" t="s">
        <v>1557</v>
      </c>
    </row>
    <row r="49" spans="1:49" ht="24.95" customHeight="1" x14ac:dyDescent="0.25">
      <c r="A49" s="175">
        <v>14518</v>
      </c>
      <c r="B49" s="175" t="s">
        <v>83</v>
      </c>
      <c r="C49" s="175" t="s">
        <v>1022</v>
      </c>
      <c r="D49" s="176">
        <v>1</v>
      </c>
      <c r="E49" s="176">
        <v>2025</v>
      </c>
      <c r="F49" s="176">
        <v>2025</v>
      </c>
      <c r="G49" s="175" t="s">
        <v>23</v>
      </c>
      <c r="H49" s="175" t="s">
        <v>83</v>
      </c>
      <c r="I49" s="175" t="s">
        <v>102</v>
      </c>
      <c r="J49" s="177" t="s">
        <v>391</v>
      </c>
      <c r="K49" s="175" t="s">
        <v>987</v>
      </c>
      <c r="L49" s="175" t="s">
        <v>21</v>
      </c>
      <c r="M49" s="175" t="s">
        <v>21</v>
      </c>
      <c r="N49" s="175">
        <v>8</v>
      </c>
      <c r="O49" s="175" t="s">
        <v>709</v>
      </c>
      <c r="P49" s="175" t="s">
        <v>710</v>
      </c>
      <c r="Q49" s="175" t="s">
        <v>1201</v>
      </c>
      <c r="R49" s="175" t="s">
        <v>339</v>
      </c>
      <c r="S49" s="175" t="s">
        <v>22</v>
      </c>
      <c r="T49" s="175" t="s">
        <v>337</v>
      </c>
      <c r="U49" s="176">
        <v>15</v>
      </c>
      <c r="V49" s="176">
        <v>24</v>
      </c>
      <c r="W49" s="176" t="s">
        <v>21</v>
      </c>
      <c r="X49" s="179">
        <f t="shared" si="13"/>
        <v>24</v>
      </c>
      <c r="Y49" s="176">
        <v>4</v>
      </c>
      <c r="Z49" s="176" t="s">
        <v>20</v>
      </c>
      <c r="AA49" s="176" t="s">
        <v>18</v>
      </c>
      <c r="AB49" s="185" t="s">
        <v>18</v>
      </c>
      <c r="AC49" s="186" t="s">
        <v>21</v>
      </c>
      <c r="AD49" s="181" t="s">
        <v>1593</v>
      </c>
      <c r="AE49" s="179" t="s">
        <v>20</v>
      </c>
      <c r="AF49" s="181" t="s">
        <v>988</v>
      </c>
      <c r="AG49" s="175" t="s">
        <v>1173</v>
      </c>
      <c r="AH49" s="179">
        <f t="shared" si="1"/>
        <v>6</v>
      </c>
      <c r="AI49" s="179">
        <f>VLOOKUP(K49,[1]TRAMO!$A:$B,2,0)</f>
        <v>2</v>
      </c>
      <c r="AJ49" s="183">
        <f t="shared" si="2"/>
        <v>6372</v>
      </c>
      <c r="AK49" s="179">
        <f t="shared" si="3"/>
        <v>6</v>
      </c>
      <c r="AL49" s="183">
        <v>60000</v>
      </c>
      <c r="AM49" s="183">
        <f t="shared" si="11"/>
        <v>360000</v>
      </c>
      <c r="AN49" s="183">
        <f t="shared" si="5"/>
        <v>0</v>
      </c>
      <c r="AO49" s="183">
        <f t="shared" si="6"/>
        <v>0</v>
      </c>
      <c r="AP49" s="183">
        <f t="shared" si="7"/>
        <v>2293920</v>
      </c>
      <c r="AR49" s="183">
        <f t="shared" si="8"/>
        <v>900000</v>
      </c>
      <c r="AS49" s="183">
        <f t="shared" si="9"/>
        <v>3553920</v>
      </c>
      <c r="AT49" s="175" t="s">
        <v>1535</v>
      </c>
      <c r="AU49" s="175" t="s">
        <v>1536</v>
      </c>
      <c r="AV49" s="175" t="s">
        <v>1594</v>
      </c>
      <c r="AW49" s="175" t="s">
        <v>1595</v>
      </c>
    </row>
    <row r="50" spans="1:49" ht="24.95" customHeight="1" x14ac:dyDescent="0.25">
      <c r="A50" s="175">
        <v>14588</v>
      </c>
      <c r="B50" s="175" t="s">
        <v>98</v>
      </c>
      <c r="C50" s="175" t="s">
        <v>41</v>
      </c>
      <c r="D50" s="176">
        <v>1</v>
      </c>
      <c r="E50" s="176">
        <v>2025</v>
      </c>
      <c r="F50" s="176">
        <v>2025</v>
      </c>
      <c r="G50" s="175" t="s">
        <v>23</v>
      </c>
      <c r="H50" s="175" t="s">
        <v>98</v>
      </c>
      <c r="I50" s="175" t="s">
        <v>1175</v>
      </c>
      <c r="J50" s="177" t="s">
        <v>391</v>
      </c>
      <c r="K50" s="175" t="s">
        <v>987</v>
      </c>
      <c r="L50" s="175" t="s">
        <v>21</v>
      </c>
      <c r="M50" s="175" t="s">
        <v>21</v>
      </c>
      <c r="N50" s="175">
        <v>8</v>
      </c>
      <c r="O50" s="175" t="s">
        <v>709</v>
      </c>
      <c r="P50" s="175" t="s">
        <v>764</v>
      </c>
      <c r="Q50" s="175" t="s">
        <v>388</v>
      </c>
      <c r="R50" s="175" t="s">
        <v>339</v>
      </c>
      <c r="S50" s="175" t="s">
        <v>22</v>
      </c>
      <c r="T50" s="175" t="s">
        <v>337</v>
      </c>
      <c r="U50" s="176">
        <v>15</v>
      </c>
      <c r="V50" s="176">
        <v>24</v>
      </c>
      <c r="W50" s="176" t="s">
        <v>21</v>
      </c>
      <c r="X50" s="179">
        <f t="shared" si="13"/>
        <v>24</v>
      </c>
      <c r="Y50" s="176">
        <v>4</v>
      </c>
      <c r="Z50" s="176" t="s">
        <v>20</v>
      </c>
      <c r="AA50" s="176" t="s">
        <v>18</v>
      </c>
      <c r="AB50" s="185" t="s">
        <v>18</v>
      </c>
      <c r="AC50" s="186" t="s">
        <v>21</v>
      </c>
      <c r="AD50" s="181" t="s">
        <v>1596</v>
      </c>
      <c r="AE50" s="179" t="s">
        <v>20</v>
      </c>
      <c r="AF50" s="181" t="s">
        <v>988</v>
      </c>
      <c r="AG50" s="175" t="s">
        <v>1173</v>
      </c>
      <c r="AH50" s="179">
        <f t="shared" si="1"/>
        <v>6</v>
      </c>
      <c r="AI50" s="179">
        <f>VLOOKUP(K50,[1]TRAMO!$A:$B,2,0)</f>
        <v>2</v>
      </c>
      <c r="AJ50" s="183">
        <f t="shared" si="2"/>
        <v>6372</v>
      </c>
      <c r="AK50" s="179">
        <f t="shared" si="3"/>
        <v>6</v>
      </c>
      <c r="AL50" s="183">
        <v>60000</v>
      </c>
      <c r="AM50" s="183">
        <f t="shared" si="11"/>
        <v>360000</v>
      </c>
      <c r="AN50" s="183">
        <f t="shared" si="5"/>
        <v>0</v>
      </c>
      <c r="AO50" s="183">
        <f t="shared" si="6"/>
        <v>0</v>
      </c>
      <c r="AP50" s="183">
        <f t="shared" si="7"/>
        <v>2293920</v>
      </c>
      <c r="AR50" s="183">
        <f t="shared" si="8"/>
        <v>900000</v>
      </c>
      <c r="AS50" s="183">
        <f t="shared" si="9"/>
        <v>3553920</v>
      </c>
      <c r="AT50" s="175" t="s">
        <v>1499</v>
      </c>
      <c r="AU50" s="175" t="s">
        <v>1500</v>
      </c>
      <c r="AV50" s="175" t="s">
        <v>1501</v>
      </c>
      <c r="AW50" s="175" t="s">
        <v>1597</v>
      </c>
    </row>
    <row r="51" spans="1:49" ht="24.95" customHeight="1" x14ac:dyDescent="0.25">
      <c r="A51" s="175">
        <v>14269</v>
      </c>
      <c r="B51" s="175" t="s">
        <v>86</v>
      </c>
      <c r="C51" s="175" t="s">
        <v>29</v>
      </c>
      <c r="D51" s="176">
        <v>1</v>
      </c>
      <c r="E51" s="176">
        <v>2025</v>
      </c>
      <c r="F51" s="176">
        <v>2025</v>
      </c>
      <c r="G51" s="175" t="s">
        <v>23</v>
      </c>
      <c r="H51" s="175" t="s">
        <v>86</v>
      </c>
      <c r="I51" s="175" t="s">
        <v>105</v>
      </c>
      <c r="J51" s="177" t="s">
        <v>391</v>
      </c>
      <c r="K51" s="175" t="s">
        <v>987</v>
      </c>
      <c r="L51" s="175" t="s">
        <v>407</v>
      </c>
      <c r="M51" s="175" t="s">
        <v>408</v>
      </c>
      <c r="N51" s="175">
        <v>4</v>
      </c>
      <c r="O51" s="175" t="s">
        <v>415</v>
      </c>
      <c r="P51" s="175" t="s">
        <v>884</v>
      </c>
      <c r="Q51" s="175" t="s">
        <v>1201</v>
      </c>
      <c r="R51" s="175" t="s">
        <v>339</v>
      </c>
      <c r="S51" s="175" t="s">
        <v>19</v>
      </c>
      <c r="T51" s="175" t="s">
        <v>1598</v>
      </c>
      <c r="U51" s="176">
        <v>20</v>
      </c>
      <c r="V51" s="176">
        <v>24</v>
      </c>
      <c r="W51" s="176">
        <v>12</v>
      </c>
      <c r="X51" s="179">
        <f t="shared" si="13"/>
        <v>36</v>
      </c>
      <c r="Y51" s="176">
        <v>4</v>
      </c>
      <c r="Z51" s="176" t="s">
        <v>20</v>
      </c>
      <c r="AA51" s="176" t="s">
        <v>18</v>
      </c>
      <c r="AB51" s="185" t="s">
        <v>18</v>
      </c>
      <c r="AC51" s="186" t="s">
        <v>21</v>
      </c>
      <c r="AD51" s="181" t="s">
        <v>1599</v>
      </c>
      <c r="AE51" s="179" t="s">
        <v>20</v>
      </c>
      <c r="AF51" s="181" t="s">
        <v>988</v>
      </c>
      <c r="AG51" s="175" t="s">
        <v>1173</v>
      </c>
      <c r="AH51" s="179">
        <f t="shared" si="1"/>
        <v>9</v>
      </c>
      <c r="AI51" s="179">
        <f>VLOOKUP(K51,[1]TRAMO!$A:$B,2,0)</f>
        <v>2</v>
      </c>
      <c r="AJ51" s="183">
        <f t="shared" si="2"/>
        <v>6372</v>
      </c>
      <c r="AK51" s="179">
        <f t="shared" si="3"/>
        <v>9</v>
      </c>
      <c r="AL51" s="183">
        <v>60000</v>
      </c>
      <c r="AM51" s="183">
        <f t="shared" si="11"/>
        <v>720000</v>
      </c>
      <c r="AN51" s="183">
        <f t="shared" si="5"/>
        <v>0</v>
      </c>
      <c r="AO51" s="183">
        <f t="shared" si="6"/>
        <v>0</v>
      </c>
      <c r="AP51" s="183">
        <f t="shared" si="7"/>
        <v>4587840</v>
      </c>
      <c r="AR51" s="183">
        <f t="shared" si="8"/>
        <v>1200000</v>
      </c>
      <c r="AS51" s="183">
        <f t="shared" si="9"/>
        <v>6507840</v>
      </c>
      <c r="AT51" s="175" t="s">
        <v>1600</v>
      </c>
      <c r="AU51" s="175" t="s">
        <v>1601</v>
      </c>
      <c r="AV51" s="175" t="s">
        <v>1602</v>
      </c>
      <c r="AW51" s="175" t="s">
        <v>1029</v>
      </c>
    </row>
    <row r="52" spans="1:49" ht="24.95" customHeight="1" x14ac:dyDescent="0.25">
      <c r="A52" s="175">
        <v>14270</v>
      </c>
      <c r="B52" s="175" t="s">
        <v>86</v>
      </c>
      <c r="C52" s="175" t="s">
        <v>29</v>
      </c>
      <c r="D52" s="176">
        <v>1</v>
      </c>
      <c r="E52" s="176">
        <v>2025</v>
      </c>
      <c r="F52" s="176">
        <v>2025</v>
      </c>
      <c r="G52" s="175" t="s">
        <v>23</v>
      </c>
      <c r="H52" s="175" t="s">
        <v>86</v>
      </c>
      <c r="I52" s="175" t="s">
        <v>105</v>
      </c>
      <c r="J52" s="177" t="s">
        <v>391</v>
      </c>
      <c r="K52" s="175" t="s">
        <v>987</v>
      </c>
      <c r="L52" s="175" t="s">
        <v>407</v>
      </c>
      <c r="M52" s="175" t="s">
        <v>408</v>
      </c>
      <c r="N52" s="175">
        <v>4</v>
      </c>
      <c r="O52" s="175" t="s">
        <v>415</v>
      </c>
      <c r="P52" s="175" t="s">
        <v>884</v>
      </c>
      <c r="Q52" s="175" t="s">
        <v>1201</v>
      </c>
      <c r="R52" s="175" t="s">
        <v>339</v>
      </c>
      <c r="S52" s="175" t="s">
        <v>19</v>
      </c>
      <c r="T52" s="175" t="s">
        <v>1598</v>
      </c>
      <c r="U52" s="176">
        <v>20</v>
      </c>
      <c r="V52" s="176">
        <v>24</v>
      </c>
      <c r="W52" s="176">
        <v>12</v>
      </c>
      <c r="X52" s="179">
        <f t="shared" si="13"/>
        <v>36</v>
      </c>
      <c r="Y52" s="176">
        <v>4</v>
      </c>
      <c r="Z52" s="176" t="s">
        <v>20</v>
      </c>
      <c r="AA52" s="176" t="s">
        <v>18</v>
      </c>
      <c r="AB52" s="185" t="s">
        <v>18</v>
      </c>
      <c r="AC52" s="186" t="s">
        <v>21</v>
      </c>
      <c r="AD52" s="181" t="s">
        <v>1603</v>
      </c>
      <c r="AE52" s="179" t="s">
        <v>20</v>
      </c>
      <c r="AF52" s="181" t="s">
        <v>988</v>
      </c>
      <c r="AG52" s="175" t="s">
        <v>1173</v>
      </c>
      <c r="AH52" s="179">
        <f t="shared" si="1"/>
        <v>9</v>
      </c>
      <c r="AI52" s="179">
        <f>VLOOKUP(K52,[1]TRAMO!$A:$B,2,0)</f>
        <v>2</v>
      </c>
      <c r="AJ52" s="183">
        <f t="shared" si="2"/>
        <v>6372</v>
      </c>
      <c r="AK52" s="179">
        <f t="shared" si="3"/>
        <v>9</v>
      </c>
      <c r="AL52" s="183">
        <v>60000</v>
      </c>
      <c r="AM52" s="183">
        <f t="shared" si="11"/>
        <v>720000</v>
      </c>
      <c r="AN52" s="183">
        <f t="shared" si="5"/>
        <v>0</v>
      </c>
      <c r="AO52" s="183">
        <f t="shared" si="6"/>
        <v>0</v>
      </c>
      <c r="AP52" s="183">
        <f t="shared" si="7"/>
        <v>4587840</v>
      </c>
      <c r="AR52" s="183">
        <f t="shared" si="8"/>
        <v>1200000</v>
      </c>
      <c r="AS52" s="183">
        <f t="shared" si="9"/>
        <v>6507840</v>
      </c>
      <c r="AT52" s="175" t="s">
        <v>1600</v>
      </c>
      <c r="AU52" s="175" t="s">
        <v>1601</v>
      </c>
      <c r="AV52" s="175" t="s">
        <v>1602</v>
      </c>
      <c r="AW52" s="175" t="s">
        <v>1604</v>
      </c>
    </row>
    <row r="53" spans="1:49" ht="24.95" customHeight="1" x14ac:dyDescent="0.25">
      <c r="A53" s="184">
        <v>14544</v>
      </c>
      <c r="B53" s="184" t="s">
        <v>1491</v>
      </c>
      <c r="C53" s="184" t="s">
        <v>1492</v>
      </c>
      <c r="D53" s="179">
        <v>1</v>
      </c>
      <c r="E53" s="179">
        <v>2025</v>
      </c>
      <c r="F53" s="179">
        <v>2025</v>
      </c>
      <c r="G53" s="177" t="s">
        <v>1466</v>
      </c>
      <c r="H53" s="184" t="s">
        <v>336</v>
      </c>
      <c r="I53" s="184" t="s">
        <v>1467</v>
      </c>
      <c r="J53" s="177" t="s">
        <v>740</v>
      </c>
      <c r="K53" s="184" t="s">
        <v>739</v>
      </c>
      <c r="L53" s="184" t="s">
        <v>21</v>
      </c>
      <c r="M53" s="184" t="s">
        <v>21</v>
      </c>
      <c r="N53" s="184">
        <v>9</v>
      </c>
      <c r="O53" s="184" t="s">
        <v>424</v>
      </c>
      <c r="P53" s="184" t="s">
        <v>844</v>
      </c>
      <c r="Q53" s="184" t="s">
        <v>1493</v>
      </c>
      <c r="R53" s="184" t="s">
        <v>339</v>
      </c>
      <c r="S53" s="184" t="s">
        <v>22</v>
      </c>
      <c r="T53" s="184" t="s">
        <v>337</v>
      </c>
      <c r="U53" s="185">
        <v>20</v>
      </c>
      <c r="V53" s="185">
        <v>160</v>
      </c>
      <c r="W53" s="185" t="s">
        <v>21</v>
      </c>
      <c r="X53" s="179">
        <f t="shared" si="13"/>
        <v>160</v>
      </c>
      <c r="Y53" s="185">
        <v>4</v>
      </c>
      <c r="Z53" s="185" t="s">
        <v>20</v>
      </c>
      <c r="AA53" s="185" t="s">
        <v>20</v>
      </c>
      <c r="AB53" s="185" t="s">
        <v>18</v>
      </c>
      <c r="AC53" s="186" t="s">
        <v>21</v>
      </c>
      <c r="AD53" s="181" t="s">
        <v>1605</v>
      </c>
      <c r="AE53" s="179" t="s">
        <v>20</v>
      </c>
      <c r="AF53" s="186" t="s">
        <v>1348</v>
      </c>
      <c r="AG53" s="184" t="s">
        <v>1495</v>
      </c>
      <c r="AH53" s="179">
        <f t="shared" si="1"/>
        <v>40</v>
      </c>
      <c r="AI53" s="179">
        <v>2</v>
      </c>
      <c r="AJ53" s="183">
        <f t="shared" si="2"/>
        <v>6372</v>
      </c>
      <c r="AK53" s="179">
        <f t="shared" si="3"/>
        <v>40</v>
      </c>
      <c r="AL53" s="183">
        <v>60000</v>
      </c>
      <c r="AM53" s="183">
        <f t="shared" si="11"/>
        <v>3200000</v>
      </c>
      <c r="AN53" s="183">
        <f t="shared" si="5"/>
        <v>4000000</v>
      </c>
      <c r="AO53" s="183">
        <f t="shared" si="6"/>
        <v>0</v>
      </c>
      <c r="AP53" s="183">
        <f t="shared" si="7"/>
        <v>20390400</v>
      </c>
      <c r="AR53" s="183">
        <f t="shared" si="8"/>
        <v>1200000</v>
      </c>
      <c r="AS53" s="183">
        <f t="shared" si="9"/>
        <v>28790400</v>
      </c>
    </row>
    <row r="54" spans="1:49" ht="24.95" customHeight="1" x14ac:dyDescent="0.25">
      <c r="A54" s="174">
        <v>14564</v>
      </c>
      <c r="B54" s="175" t="s">
        <v>96</v>
      </c>
      <c r="C54" s="175" t="s">
        <v>39</v>
      </c>
      <c r="D54" s="176">
        <v>4</v>
      </c>
      <c r="E54" s="176">
        <v>2025</v>
      </c>
      <c r="F54" s="176">
        <v>2025</v>
      </c>
      <c r="G54" s="174" t="s">
        <v>1466</v>
      </c>
      <c r="H54" s="174" t="s">
        <v>336</v>
      </c>
      <c r="I54" s="174" t="s">
        <v>1467</v>
      </c>
      <c r="J54" s="177" t="s">
        <v>740</v>
      </c>
      <c r="K54" s="174" t="s">
        <v>739</v>
      </c>
      <c r="L54" s="174" t="s">
        <v>407</v>
      </c>
      <c r="M54" s="174" t="s">
        <v>408</v>
      </c>
      <c r="N54" s="174">
        <v>15</v>
      </c>
      <c r="O54" s="174" t="s">
        <v>810</v>
      </c>
      <c r="P54" s="174" t="s">
        <v>809</v>
      </c>
      <c r="Q54" s="174" t="s">
        <v>1493</v>
      </c>
      <c r="R54" s="174" t="s">
        <v>339</v>
      </c>
      <c r="S54" s="174" t="s">
        <v>22</v>
      </c>
      <c r="T54" s="174" t="s">
        <v>337</v>
      </c>
      <c r="U54" s="178">
        <v>20</v>
      </c>
      <c r="V54" s="178">
        <v>160</v>
      </c>
      <c r="W54" s="178">
        <v>12</v>
      </c>
      <c r="X54" s="179">
        <f>((SUM(V54:W54))*1)*1</f>
        <v>172</v>
      </c>
      <c r="Y54" s="178">
        <v>4</v>
      </c>
      <c r="Z54" s="178" t="s">
        <v>20</v>
      </c>
      <c r="AA54" s="178" t="s">
        <v>20</v>
      </c>
      <c r="AB54" s="187" t="s">
        <v>18</v>
      </c>
      <c r="AC54" s="180" t="s">
        <v>21</v>
      </c>
      <c r="AD54" s="181" t="s">
        <v>1606</v>
      </c>
      <c r="AE54" s="179" t="s">
        <v>20</v>
      </c>
      <c r="AF54" s="186" t="s">
        <v>1348</v>
      </c>
      <c r="AG54" s="174" t="s">
        <v>1495</v>
      </c>
      <c r="AH54" s="179">
        <f t="shared" si="1"/>
        <v>43</v>
      </c>
      <c r="AI54" s="178">
        <v>3</v>
      </c>
      <c r="AJ54" s="183">
        <f t="shared" si="2"/>
        <v>7434</v>
      </c>
      <c r="AK54" s="179">
        <f t="shared" si="3"/>
        <v>43</v>
      </c>
      <c r="AL54" s="183">
        <v>60000</v>
      </c>
      <c r="AM54" s="183">
        <f t="shared" si="11"/>
        <v>3440000</v>
      </c>
      <c r="AN54" s="183">
        <f t="shared" si="5"/>
        <v>4300000</v>
      </c>
      <c r="AO54" s="183">
        <f t="shared" si="6"/>
        <v>0</v>
      </c>
      <c r="AP54" s="183">
        <f t="shared" si="7"/>
        <v>25572960</v>
      </c>
      <c r="AR54" s="183">
        <f t="shared" si="8"/>
        <v>1200000</v>
      </c>
      <c r="AS54" s="183">
        <f t="shared" si="9"/>
        <v>34512960</v>
      </c>
      <c r="AT54" s="174"/>
      <c r="AU54" s="174"/>
      <c r="AV54" s="174"/>
      <c r="AW54" s="174"/>
    </row>
    <row r="55" spans="1:49" ht="24.95" customHeight="1" x14ac:dyDescent="0.25">
      <c r="A55" s="174">
        <v>14606</v>
      </c>
      <c r="B55" s="175" t="s">
        <v>96</v>
      </c>
      <c r="C55" s="175" t="s">
        <v>39</v>
      </c>
      <c r="D55" s="176">
        <v>4</v>
      </c>
      <c r="E55" s="176">
        <v>2025</v>
      </c>
      <c r="F55" s="176">
        <v>2025</v>
      </c>
      <c r="G55" s="174" t="s">
        <v>1466</v>
      </c>
      <c r="H55" s="174" t="s">
        <v>336</v>
      </c>
      <c r="I55" s="174" t="s">
        <v>1467</v>
      </c>
      <c r="J55" s="177" t="s">
        <v>740</v>
      </c>
      <c r="K55" s="174" t="s">
        <v>739</v>
      </c>
      <c r="L55" s="174" t="s">
        <v>407</v>
      </c>
      <c r="M55" s="174" t="s">
        <v>408</v>
      </c>
      <c r="N55" s="174">
        <v>15</v>
      </c>
      <c r="O55" s="174" t="s">
        <v>810</v>
      </c>
      <c r="P55" s="174" t="s">
        <v>809</v>
      </c>
      <c r="Q55" s="174" t="s">
        <v>1493</v>
      </c>
      <c r="R55" s="174" t="s">
        <v>339</v>
      </c>
      <c r="S55" s="174" t="s">
        <v>22</v>
      </c>
      <c r="T55" s="174" t="s">
        <v>347</v>
      </c>
      <c r="U55" s="178">
        <v>20</v>
      </c>
      <c r="V55" s="178">
        <v>160</v>
      </c>
      <c r="W55" s="178">
        <v>12</v>
      </c>
      <c r="X55" s="179">
        <f>((SUM(V55:W55))*1)*1</f>
        <v>172</v>
      </c>
      <c r="Y55" s="178">
        <v>4</v>
      </c>
      <c r="Z55" s="178" t="s">
        <v>20</v>
      </c>
      <c r="AA55" s="178" t="s">
        <v>20</v>
      </c>
      <c r="AB55" s="187" t="s">
        <v>18</v>
      </c>
      <c r="AC55" s="180" t="s">
        <v>21</v>
      </c>
      <c r="AD55" s="181" t="s">
        <v>1607</v>
      </c>
      <c r="AE55" s="179" t="s">
        <v>20</v>
      </c>
      <c r="AF55" s="186" t="s">
        <v>1348</v>
      </c>
      <c r="AG55" s="174" t="s">
        <v>1495</v>
      </c>
      <c r="AH55" s="179">
        <f t="shared" si="1"/>
        <v>43</v>
      </c>
      <c r="AI55" s="178">
        <v>3</v>
      </c>
      <c r="AJ55" s="183">
        <f t="shared" si="2"/>
        <v>7434</v>
      </c>
      <c r="AK55" s="179">
        <f t="shared" si="3"/>
        <v>43</v>
      </c>
      <c r="AL55" s="183">
        <v>60000</v>
      </c>
      <c r="AM55" s="183">
        <f t="shared" si="11"/>
        <v>3440000</v>
      </c>
      <c r="AN55" s="183">
        <f t="shared" si="5"/>
        <v>4300000</v>
      </c>
      <c r="AO55" s="183">
        <f t="shared" si="6"/>
        <v>0</v>
      </c>
      <c r="AP55" s="183">
        <f t="shared" si="7"/>
        <v>25572960</v>
      </c>
      <c r="AR55" s="183">
        <f t="shared" si="8"/>
        <v>1200000</v>
      </c>
      <c r="AS55" s="183">
        <f t="shared" si="9"/>
        <v>34512960</v>
      </c>
      <c r="AT55" s="174"/>
      <c r="AU55" s="174"/>
      <c r="AV55" s="174"/>
      <c r="AW55" s="174"/>
    </row>
    <row r="56" spans="1:49" ht="24.95" customHeight="1" x14ac:dyDescent="0.25">
      <c r="A56" s="174">
        <v>14608</v>
      </c>
      <c r="B56" s="175" t="s">
        <v>96</v>
      </c>
      <c r="C56" s="175" t="s">
        <v>39</v>
      </c>
      <c r="D56" s="176">
        <v>4</v>
      </c>
      <c r="E56" s="176">
        <v>2025</v>
      </c>
      <c r="F56" s="176">
        <v>2025</v>
      </c>
      <c r="G56" s="174" t="s">
        <v>1466</v>
      </c>
      <c r="H56" s="174" t="s">
        <v>336</v>
      </c>
      <c r="I56" s="174" t="s">
        <v>1467</v>
      </c>
      <c r="J56" s="177" t="s">
        <v>740</v>
      </c>
      <c r="K56" s="174" t="s">
        <v>739</v>
      </c>
      <c r="L56" s="174" t="s">
        <v>407</v>
      </c>
      <c r="M56" s="174" t="s">
        <v>408</v>
      </c>
      <c r="N56" s="174">
        <v>15</v>
      </c>
      <c r="O56" s="174" t="s">
        <v>810</v>
      </c>
      <c r="P56" s="174" t="s">
        <v>809</v>
      </c>
      <c r="Q56" s="174" t="s">
        <v>1493</v>
      </c>
      <c r="R56" s="174" t="s">
        <v>339</v>
      </c>
      <c r="S56" s="174" t="s">
        <v>22</v>
      </c>
      <c r="T56" s="174" t="s">
        <v>337</v>
      </c>
      <c r="U56" s="178">
        <v>20</v>
      </c>
      <c r="V56" s="178">
        <v>160</v>
      </c>
      <c r="W56" s="178">
        <v>12</v>
      </c>
      <c r="X56" s="179">
        <f>((SUM(V56:W56))*1)*1</f>
        <v>172</v>
      </c>
      <c r="Y56" s="178">
        <v>4</v>
      </c>
      <c r="Z56" s="178" t="s">
        <v>20</v>
      </c>
      <c r="AA56" s="178" t="s">
        <v>20</v>
      </c>
      <c r="AB56" s="187" t="s">
        <v>18</v>
      </c>
      <c r="AC56" s="180" t="s">
        <v>21</v>
      </c>
      <c r="AD56" s="181" t="s">
        <v>1608</v>
      </c>
      <c r="AE56" s="179" t="s">
        <v>20</v>
      </c>
      <c r="AF56" s="186" t="s">
        <v>1348</v>
      </c>
      <c r="AG56" s="174" t="s">
        <v>1495</v>
      </c>
      <c r="AH56" s="179">
        <f t="shared" si="1"/>
        <v>43</v>
      </c>
      <c r="AI56" s="178">
        <v>3</v>
      </c>
      <c r="AJ56" s="183">
        <f t="shared" si="2"/>
        <v>7434</v>
      </c>
      <c r="AK56" s="179">
        <f t="shared" si="3"/>
        <v>43</v>
      </c>
      <c r="AL56" s="183">
        <v>60000</v>
      </c>
      <c r="AM56" s="183">
        <f t="shared" si="11"/>
        <v>3440000</v>
      </c>
      <c r="AN56" s="183">
        <f t="shared" si="5"/>
        <v>4300000</v>
      </c>
      <c r="AO56" s="183">
        <f t="shared" si="6"/>
        <v>0</v>
      </c>
      <c r="AP56" s="183">
        <f t="shared" si="7"/>
        <v>25572960</v>
      </c>
      <c r="AR56" s="183">
        <f t="shared" si="8"/>
        <v>1200000</v>
      </c>
      <c r="AS56" s="183">
        <f t="shared" si="9"/>
        <v>34512960</v>
      </c>
      <c r="AT56" s="174"/>
      <c r="AU56" s="174"/>
      <c r="AV56" s="174"/>
      <c r="AW56" s="174"/>
    </row>
    <row r="57" spans="1:49" ht="24.95" customHeight="1" x14ac:dyDescent="0.25">
      <c r="A57" s="174">
        <v>14610</v>
      </c>
      <c r="B57" s="175" t="s">
        <v>96</v>
      </c>
      <c r="C57" s="175" t="s">
        <v>39</v>
      </c>
      <c r="D57" s="176">
        <v>4</v>
      </c>
      <c r="E57" s="176">
        <v>2025</v>
      </c>
      <c r="F57" s="176">
        <v>2025</v>
      </c>
      <c r="G57" s="174" t="s">
        <v>1466</v>
      </c>
      <c r="H57" s="174" t="s">
        <v>336</v>
      </c>
      <c r="I57" s="174" t="s">
        <v>1467</v>
      </c>
      <c r="J57" s="177" t="s">
        <v>832</v>
      </c>
      <c r="K57" s="174" t="s">
        <v>831</v>
      </c>
      <c r="L57" s="174" t="s">
        <v>407</v>
      </c>
      <c r="M57" s="174" t="s">
        <v>408</v>
      </c>
      <c r="N57" s="174">
        <v>15</v>
      </c>
      <c r="O57" s="174" t="s">
        <v>810</v>
      </c>
      <c r="P57" s="174" t="s">
        <v>809</v>
      </c>
      <c r="Q57" s="174" t="s">
        <v>1493</v>
      </c>
      <c r="R57" s="174" t="s">
        <v>339</v>
      </c>
      <c r="S57" s="174" t="s">
        <v>22</v>
      </c>
      <c r="T57" s="174" t="s">
        <v>337</v>
      </c>
      <c r="U57" s="178">
        <v>20</v>
      </c>
      <c r="V57" s="178">
        <v>176</v>
      </c>
      <c r="W57" s="178">
        <v>12</v>
      </c>
      <c r="X57" s="179">
        <f>((SUM(V57:W57))*1)*1</f>
        <v>188</v>
      </c>
      <c r="Y57" s="178">
        <v>4</v>
      </c>
      <c r="Z57" s="178" t="s">
        <v>20</v>
      </c>
      <c r="AA57" s="178" t="s">
        <v>20</v>
      </c>
      <c r="AB57" s="187" t="s">
        <v>18</v>
      </c>
      <c r="AC57" s="180" t="s">
        <v>21</v>
      </c>
      <c r="AD57" s="181" t="s">
        <v>1609</v>
      </c>
      <c r="AE57" s="179" t="s">
        <v>20</v>
      </c>
      <c r="AF57" s="186" t="s">
        <v>1348</v>
      </c>
      <c r="AG57" s="174" t="s">
        <v>1495</v>
      </c>
      <c r="AH57" s="179">
        <f t="shared" si="1"/>
        <v>47</v>
      </c>
      <c r="AI57" s="178">
        <v>3</v>
      </c>
      <c r="AJ57" s="178">
        <f t="shared" si="2"/>
        <v>7434</v>
      </c>
      <c r="AK57" s="179">
        <f t="shared" si="3"/>
        <v>47</v>
      </c>
      <c r="AL57" s="183">
        <v>60000</v>
      </c>
      <c r="AM57" s="183">
        <f t="shared" si="11"/>
        <v>3760000</v>
      </c>
      <c r="AN57" s="183">
        <f t="shared" si="5"/>
        <v>4700000</v>
      </c>
      <c r="AO57" s="183">
        <f t="shared" si="6"/>
        <v>0</v>
      </c>
      <c r="AP57" s="183">
        <f t="shared" si="7"/>
        <v>27951840</v>
      </c>
      <c r="AR57" s="183">
        <f t="shared" si="8"/>
        <v>1200000</v>
      </c>
      <c r="AS57" s="183">
        <f t="shared" si="9"/>
        <v>37611840</v>
      </c>
      <c r="AT57" s="174"/>
      <c r="AU57" s="174"/>
      <c r="AV57" s="174"/>
      <c r="AW57" s="174"/>
    </row>
    <row r="58" spans="1:49" ht="24.95" customHeight="1" x14ac:dyDescent="0.25">
      <c r="A58" s="175">
        <v>14409</v>
      </c>
      <c r="B58" s="175" t="s">
        <v>97</v>
      </c>
      <c r="C58" s="188" t="s">
        <v>1610</v>
      </c>
      <c r="D58" s="176">
        <v>1</v>
      </c>
      <c r="E58" s="176">
        <v>2025</v>
      </c>
      <c r="F58" s="176">
        <v>2025</v>
      </c>
      <c r="G58" s="175" t="s">
        <v>23</v>
      </c>
      <c r="H58" s="175" t="s">
        <v>97</v>
      </c>
      <c r="I58" s="175" t="s">
        <v>1611</v>
      </c>
      <c r="J58" s="177" t="s">
        <v>740</v>
      </c>
      <c r="K58" s="175" t="s">
        <v>739</v>
      </c>
      <c r="L58" s="175" t="s">
        <v>21</v>
      </c>
      <c r="M58" s="175" t="s">
        <v>21</v>
      </c>
      <c r="N58" s="175">
        <v>13</v>
      </c>
      <c r="O58" s="175" t="s">
        <v>382</v>
      </c>
      <c r="P58" s="175" t="s">
        <v>404</v>
      </c>
      <c r="Q58" s="175" t="s">
        <v>388</v>
      </c>
      <c r="R58" s="175" t="s">
        <v>339</v>
      </c>
      <c r="S58" s="175" t="s">
        <v>19</v>
      </c>
      <c r="T58" s="175" t="s">
        <v>337</v>
      </c>
      <c r="U58" s="176">
        <v>15</v>
      </c>
      <c r="V58" s="176">
        <v>160</v>
      </c>
      <c r="W58" s="176" t="s">
        <v>21</v>
      </c>
      <c r="X58" s="179">
        <f t="shared" ref="X58:X67" si="14">(SUM(V58:W58))*1</f>
        <v>160</v>
      </c>
      <c r="Y58" s="176">
        <v>4</v>
      </c>
      <c r="Z58" s="176" t="s">
        <v>20</v>
      </c>
      <c r="AA58" s="176" t="s">
        <v>18</v>
      </c>
      <c r="AB58" s="185" t="s">
        <v>18</v>
      </c>
      <c r="AC58" s="186" t="s">
        <v>21</v>
      </c>
      <c r="AD58" s="181" t="s">
        <v>1612</v>
      </c>
      <c r="AE58" s="179" t="s">
        <v>20</v>
      </c>
      <c r="AF58" s="181" t="s">
        <v>1613</v>
      </c>
      <c r="AG58" s="175" t="s">
        <v>1173</v>
      </c>
      <c r="AH58" s="179">
        <f t="shared" si="1"/>
        <v>40</v>
      </c>
      <c r="AI58" s="179">
        <f>VLOOKUP(K58,[1]TRAMO!$A:$B,2,0)</f>
        <v>3</v>
      </c>
      <c r="AJ58" s="183">
        <f t="shared" si="2"/>
        <v>7434</v>
      </c>
      <c r="AK58" s="179">
        <f t="shared" si="3"/>
        <v>40</v>
      </c>
      <c r="AL58" s="183">
        <v>60000</v>
      </c>
      <c r="AM58" s="183">
        <f t="shared" si="11"/>
        <v>2400000</v>
      </c>
      <c r="AN58" s="183">
        <f t="shared" si="5"/>
        <v>0</v>
      </c>
      <c r="AO58" s="183">
        <f t="shared" si="6"/>
        <v>0</v>
      </c>
      <c r="AP58" s="183">
        <f t="shared" si="7"/>
        <v>17841600</v>
      </c>
      <c r="AR58" s="183">
        <f t="shared" si="8"/>
        <v>900000</v>
      </c>
      <c r="AS58" s="183">
        <f t="shared" si="9"/>
        <v>21141600</v>
      </c>
      <c r="AT58" s="175" t="s">
        <v>1614</v>
      </c>
      <c r="AU58" s="175" t="s">
        <v>1615</v>
      </c>
      <c r="AV58" s="175" t="s">
        <v>1616</v>
      </c>
      <c r="AW58" s="175" t="s">
        <v>1617</v>
      </c>
    </row>
    <row r="59" spans="1:49" ht="24.95" customHeight="1" x14ac:dyDescent="0.25">
      <c r="A59" s="175">
        <v>14427</v>
      </c>
      <c r="B59" s="175" t="s">
        <v>97</v>
      </c>
      <c r="C59" s="188" t="s">
        <v>1610</v>
      </c>
      <c r="D59" s="176">
        <v>1</v>
      </c>
      <c r="E59" s="176">
        <v>2025</v>
      </c>
      <c r="F59" s="176">
        <v>2025</v>
      </c>
      <c r="G59" s="175" t="s">
        <v>23</v>
      </c>
      <c r="H59" s="175" t="s">
        <v>97</v>
      </c>
      <c r="I59" s="175" t="s">
        <v>1611</v>
      </c>
      <c r="J59" s="177" t="s">
        <v>740</v>
      </c>
      <c r="K59" s="175" t="s">
        <v>739</v>
      </c>
      <c r="L59" s="175" t="s">
        <v>21</v>
      </c>
      <c r="M59" s="175" t="s">
        <v>21</v>
      </c>
      <c r="N59" s="175">
        <v>7</v>
      </c>
      <c r="O59" s="175" t="s">
        <v>428</v>
      </c>
      <c r="P59" s="175" t="s">
        <v>419</v>
      </c>
      <c r="Q59" s="175" t="s">
        <v>388</v>
      </c>
      <c r="R59" s="175" t="s">
        <v>339</v>
      </c>
      <c r="S59" s="175" t="s">
        <v>19</v>
      </c>
      <c r="T59" s="175" t="s">
        <v>337</v>
      </c>
      <c r="U59" s="176">
        <v>15</v>
      </c>
      <c r="V59" s="176">
        <v>160</v>
      </c>
      <c r="W59" s="176" t="s">
        <v>21</v>
      </c>
      <c r="X59" s="179">
        <f t="shared" si="14"/>
        <v>160</v>
      </c>
      <c r="Y59" s="176">
        <v>4</v>
      </c>
      <c r="Z59" s="176" t="s">
        <v>20</v>
      </c>
      <c r="AA59" s="176" t="s">
        <v>18</v>
      </c>
      <c r="AB59" s="185" t="s">
        <v>18</v>
      </c>
      <c r="AC59" s="186" t="s">
        <v>21</v>
      </c>
      <c r="AD59" s="181" t="s">
        <v>1618</v>
      </c>
      <c r="AE59" s="179" t="s">
        <v>20</v>
      </c>
      <c r="AF59" s="181" t="s">
        <v>1613</v>
      </c>
      <c r="AG59" s="175" t="s">
        <v>1173</v>
      </c>
      <c r="AH59" s="179">
        <f t="shared" si="1"/>
        <v>40</v>
      </c>
      <c r="AI59" s="179">
        <f>VLOOKUP(K59,[1]TRAMO!$A:$B,2,0)</f>
        <v>3</v>
      </c>
      <c r="AJ59" s="183">
        <f t="shared" si="2"/>
        <v>7434</v>
      </c>
      <c r="AK59" s="179">
        <f t="shared" si="3"/>
        <v>40</v>
      </c>
      <c r="AL59" s="183">
        <v>60000</v>
      </c>
      <c r="AM59" s="183">
        <f t="shared" si="11"/>
        <v>2400000</v>
      </c>
      <c r="AN59" s="183">
        <f t="shared" si="5"/>
        <v>0</v>
      </c>
      <c r="AO59" s="183">
        <f t="shared" si="6"/>
        <v>0</v>
      </c>
      <c r="AP59" s="183">
        <f t="shared" si="7"/>
        <v>17841600</v>
      </c>
      <c r="AR59" s="183">
        <f t="shared" si="8"/>
        <v>900000</v>
      </c>
      <c r="AS59" s="183">
        <f t="shared" si="9"/>
        <v>21141600</v>
      </c>
      <c r="AT59" s="175" t="s">
        <v>1619</v>
      </c>
      <c r="AU59" s="175" t="s">
        <v>1615</v>
      </c>
      <c r="AV59" s="175" t="s">
        <v>1620</v>
      </c>
      <c r="AW59" s="175" t="s">
        <v>1621</v>
      </c>
    </row>
    <row r="60" spans="1:49" ht="24.95" customHeight="1" x14ac:dyDescent="0.25">
      <c r="A60" s="175">
        <v>14432</v>
      </c>
      <c r="B60" s="175" t="s">
        <v>98</v>
      </c>
      <c r="C60" s="175" t="s">
        <v>41</v>
      </c>
      <c r="D60" s="176">
        <v>1</v>
      </c>
      <c r="E60" s="176">
        <v>2025</v>
      </c>
      <c r="F60" s="176">
        <v>2025</v>
      </c>
      <c r="G60" s="175" t="s">
        <v>23</v>
      </c>
      <c r="H60" s="175" t="s">
        <v>98</v>
      </c>
      <c r="I60" s="175" t="s">
        <v>1175</v>
      </c>
      <c r="J60" s="177" t="s">
        <v>740</v>
      </c>
      <c r="K60" s="175" t="s">
        <v>739</v>
      </c>
      <c r="L60" s="175" t="s">
        <v>21</v>
      </c>
      <c r="M60" s="175" t="s">
        <v>21</v>
      </c>
      <c r="N60" s="175">
        <v>8</v>
      </c>
      <c r="O60" s="175" t="s">
        <v>709</v>
      </c>
      <c r="P60" s="175" t="s">
        <v>755</v>
      </c>
      <c r="Q60" s="175" t="s">
        <v>1201</v>
      </c>
      <c r="R60" s="175" t="s">
        <v>339</v>
      </c>
      <c r="S60" s="175" t="s">
        <v>22</v>
      </c>
      <c r="T60" s="175" t="s">
        <v>337</v>
      </c>
      <c r="U60" s="176">
        <v>10</v>
      </c>
      <c r="V60" s="176">
        <v>160</v>
      </c>
      <c r="W60" s="176" t="s">
        <v>21</v>
      </c>
      <c r="X60" s="179">
        <f t="shared" si="14"/>
        <v>160</v>
      </c>
      <c r="Y60" s="176">
        <v>4</v>
      </c>
      <c r="Z60" s="176" t="s">
        <v>20</v>
      </c>
      <c r="AA60" s="176" t="s">
        <v>18</v>
      </c>
      <c r="AB60" s="185" t="s">
        <v>18</v>
      </c>
      <c r="AC60" s="186" t="s">
        <v>21</v>
      </c>
      <c r="AD60" s="181" t="s">
        <v>1622</v>
      </c>
      <c r="AE60" s="179" t="s">
        <v>20</v>
      </c>
      <c r="AF60" s="181" t="s">
        <v>1613</v>
      </c>
      <c r="AG60" s="175" t="s">
        <v>1173</v>
      </c>
      <c r="AH60" s="179">
        <f t="shared" si="1"/>
        <v>40</v>
      </c>
      <c r="AI60" s="179">
        <f>VLOOKUP(K60,[1]TRAMO!$A:$B,2,0)</f>
        <v>3</v>
      </c>
      <c r="AJ60" s="183">
        <f t="shared" si="2"/>
        <v>7434</v>
      </c>
      <c r="AK60" s="179">
        <f t="shared" si="3"/>
        <v>40</v>
      </c>
      <c r="AL60" s="183">
        <v>60000</v>
      </c>
      <c r="AM60" s="183">
        <f t="shared" si="11"/>
        <v>1600000</v>
      </c>
      <c r="AN60" s="183">
        <f t="shared" si="5"/>
        <v>0</v>
      </c>
      <c r="AO60" s="183">
        <f t="shared" si="6"/>
        <v>0</v>
      </c>
      <c r="AP60" s="183">
        <f t="shared" si="7"/>
        <v>11894400</v>
      </c>
      <c r="AR60" s="183">
        <f t="shared" si="8"/>
        <v>600000</v>
      </c>
      <c r="AS60" s="183">
        <f t="shared" si="9"/>
        <v>14094400</v>
      </c>
      <c r="AT60" s="175" t="s">
        <v>1524</v>
      </c>
      <c r="AU60" s="175" t="s">
        <v>1525</v>
      </c>
      <c r="AV60" s="175" t="s">
        <v>1623</v>
      </c>
      <c r="AW60" s="175" t="s">
        <v>1591</v>
      </c>
    </row>
    <row r="61" spans="1:49" ht="24.95" customHeight="1" x14ac:dyDescent="0.25">
      <c r="A61" s="175">
        <v>14516</v>
      </c>
      <c r="B61" s="175" t="s">
        <v>83</v>
      </c>
      <c r="C61" s="175" t="s">
        <v>1022</v>
      </c>
      <c r="D61" s="176">
        <v>1</v>
      </c>
      <c r="E61" s="176">
        <v>2025</v>
      </c>
      <c r="F61" s="176">
        <v>2025</v>
      </c>
      <c r="G61" s="175" t="s">
        <v>23</v>
      </c>
      <c r="H61" s="175" t="s">
        <v>83</v>
      </c>
      <c r="I61" s="175" t="s">
        <v>102</v>
      </c>
      <c r="J61" s="177" t="s">
        <v>740</v>
      </c>
      <c r="K61" s="175" t="s">
        <v>739</v>
      </c>
      <c r="L61" s="175" t="s">
        <v>21</v>
      </c>
      <c r="M61" s="175" t="s">
        <v>21</v>
      </c>
      <c r="N61" s="175">
        <v>10</v>
      </c>
      <c r="O61" s="175" t="s">
        <v>706</v>
      </c>
      <c r="P61" s="175" t="s">
        <v>707</v>
      </c>
      <c r="Q61" s="175" t="s">
        <v>1201</v>
      </c>
      <c r="R61" s="175" t="s">
        <v>339</v>
      </c>
      <c r="S61" s="175" t="s">
        <v>22</v>
      </c>
      <c r="T61" s="175" t="s">
        <v>337</v>
      </c>
      <c r="U61" s="176">
        <v>15</v>
      </c>
      <c r="V61" s="176">
        <v>160</v>
      </c>
      <c r="W61" s="176" t="s">
        <v>21</v>
      </c>
      <c r="X61" s="179">
        <f t="shared" si="14"/>
        <v>160</v>
      </c>
      <c r="Y61" s="176">
        <v>5</v>
      </c>
      <c r="Z61" s="176" t="s">
        <v>20</v>
      </c>
      <c r="AA61" s="176" t="s">
        <v>18</v>
      </c>
      <c r="AB61" s="185" t="s">
        <v>18</v>
      </c>
      <c r="AC61" s="186" t="s">
        <v>21</v>
      </c>
      <c r="AD61" s="181" t="s">
        <v>1624</v>
      </c>
      <c r="AE61" s="179" t="s">
        <v>20</v>
      </c>
      <c r="AF61" s="181" t="s">
        <v>1613</v>
      </c>
      <c r="AG61" s="175" t="s">
        <v>1173</v>
      </c>
      <c r="AH61" s="179">
        <f t="shared" si="1"/>
        <v>32</v>
      </c>
      <c r="AI61" s="179">
        <f>VLOOKUP(K61,[1]TRAMO!$A:$B,2,0)</f>
        <v>3</v>
      </c>
      <c r="AJ61" s="183">
        <f t="shared" si="2"/>
        <v>7434</v>
      </c>
      <c r="AK61" s="179">
        <f t="shared" si="3"/>
        <v>32</v>
      </c>
      <c r="AL61" s="183">
        <v>60000</v>
      </c>
      <c r="AM61" s="183">
        <f t="shared" si="11"/>
        <v>1920000</v>
      </c>
      <c r="AN61" s="183">
        <f t="shared" si="5"/>
        <v>0</v>
      </c>
      <c r="AO61" s="183">
        <f t="shared" si="6"/>
        <v>0</v>
      </c>
      <c r="AP61" s="183">
        <f t="shared" si="7"/>
        <v>17841600</v>
      </c>
      <c r="AR61" s="183">
        <f t="shared" si="8"/>
        <v>900000</v>
      </c>
      <c r="AS61" s="183">
        <f t="shared" si="9"/>
        <v>20661600</v>
      </c>
      <c r="AT61" s="175" t="s">
        <v>1535</v>
      </c>
      <c r="AU61" s="175" t="s">
        <v>1536</v>
      </c>
      <c r="AV61" s="175" t="s">
        <v>1556</v>
      </c>
      <c r="AW61" s="175" t="s">
        <v>1557</v>
      </c>
    </row>
    <row r="62" spans="1:49" ht="24.95" customHeight="1" x14ac:dyDescent="0.25">
      <c r="A62" s="175">
        <v>14520</v>
      </c>
      <c r="B62" s="175" t="s">
        <v>83</v>
      </c>
      <c r="C62" s="175" t="s">
        <v>1022</v>
      </c>
      <c r="D62" s="176">
        <v>1</v>
      </c>
      <c r="E62" s="176">
        <v>2025</v>
      </c>
      <c r="F62" s="176">
        <v>2025</v>
      </c>
      <c r="G62" s="175" t="s">
        <v>23</v>
      </c>
      <c r="H62" s="175" t="s">
        <v>83</v>
      </c>
      <c r="I62" s="175" t="s">
        <v>102</v>
      </c>
      <c r="J62" s="177" t="s">
        <v>740</v>
      </c>
      <c r="K62" s="175" t="s">
        <v>739</v>
      </c>
      <c r="L62" s="175" t="s">
        <v>21</v>
      </c>
      <c r="M62" s="175" t="s">
        <v>21</v>
      </c>
      <c r="N62" s="175">
        <v>8</v>
      </c>
      <c r="O62" s="175" t="s">
        <v>709</v>
      </c>
      <c r="P62" s="175" t="s">
        <v>710</v>
      </c>
      <c r="Q62" s="175" t="s">
        <v>1201</v>
      </c>
      <c r="R62" s="175" t="s">
        <v>339</v>
      </c>
      <c r="S62" s="175" t="s">
        <v>22</v>
      </c>
      <c r="T62" s="175" t="s">
        <v>337</v>
      </c>
      <c r="U62" s="176">
        <v>15</v>
      </c>
      <c r="V62" s="176">
        <v>160</v>
      </c>
      <c r="W62" s="176" t="s">
        <v>21</v>
      </c>
      <c r="X62" s="179">
        <f t="shared" si="14"/>
        <v>160</v>
      </c>
      <c r="Y62" s="176">
        <v>5</v>
      </c>
      <c r="Z62" s="176" t="s">
        <v>20</v>
      </c>
      <c r="AA62" s="176" t="s">
        <v>18</v>
      </c>
      <c r="AB62" s="185" t="s">
        <v>18</v>
      </c>
      <c r="AC62" s="186" t="s">
        <v>21</v>
      </c>
      <c r="AD62" s="181" t="s">
        <v>1625</v>
      </c>
      <c r="AE62" s="179" t="s">
        <v>20</v>
      </c>
      <c r="AF62" s="181" t="s">
        <v>1613</v>
      </c>
      <c r="AG62" s="175" t="s">
        <v>1173</v>
      </c>
      <c r="AH62" s="179">
        <f t="shared" si="1"/>
        <v>32</v>
      </c>
      <c r="AI62" s="179">
        <f>VLOOKUP(K62,[1]TRAMO!$A:$B,2,0)</f>
        <v>3</v>
      </c>
      <c r="AJ62" s="183">
        <f t="shared" si="2"/>
        <v>7434</v>
      </c>
      <c r="AK62" s="179">
        <f t="shared" si="3"/>
        <v>32</v>
      </c>
      <c r="AL62" s="183">
        <v>60000</v>
      </c>
      <c r="AM62" s="183">
        <f t="shared" si="11"/>
        <v>1920000</v>
      </c>
      <c r="AN62" s="183">
        <f t="shared" si="5"/>
        <v>0</v>
      </c>
      <c r="AO62" s="183">
        <f t="shared" si="6"/>
        <v>0</v>
      </c>
      <c r="AP62" s="183">
        <f t="shared" si="7"/>
        <v>17841600</v>
      </c>
      <c r="AR62" s="183">
        <f t="shared" si="8"/>
        <v>900000</v>
      </c>
      <c r="AS62" s="183">
        <f t="shared" si="9"/>
        <v>20661600</v>
      </c>
      <c r="AT62" s="175" t="s">
        <v>1535</v>
      </c>
      <c r="AU62" s="175" t="s">
        <v>1536</v>
      </c>
      <c r="AV62" s="175" t="s">
        <v>1594</v>
      </c>
      <c r="AW62" s="175" t="s">
        <v>1595</v>
      </c>
    </row>
    <row r="63" spans="1:49" ht="24.95" customHeight="1" x14ac:dyDescent="0.25">
      <c r="A63" s="175">
        <v>14586</v>
      </c>
      <c r="B63" s="175" t="s">
        <v>98</v>
      </c>
      <c r="C63" s="175" t="s">
        <v>41</v>
      </c>
      <c r="D63" s="176">
        <v>1</v>
      </c>
      <c r="E63" s="176">
        <v>2025</v>
      </c>
      <c r="F63" s="176">
        <v>2025</v>
      </c>
      <c r="G63" s="175" t="s">
        <v>23</v>
      </c>
      <c r="H63" s="175" t="s">
        <v>98</v>
      </c>
      <c r="I63" s="175" t="s">
        <v>1175</v>
      </c>
      <c r="J63" s="177" t="s">
        <v>740</v>
      </c>
      <c r="K63" s="175" t="s">
        <v>739</v>
      </c>
      <c r="L63" s="175" t="s">
        <v>21</v>
      </c>
      <c r="M63" s="175" t="s">
        <v>21</v>
      </c>
      <c r="N63" s="175">
        <v>5</v>
      </c>
      <c r="O63" s="175" t="s">
        <v>395</v>
      </c>
      <c r="P63" s="175" t="s">
        <v>396</v>
      </c>
      <c r="Q63" s="175" t="s">
        <v>1201</v>
      </c>
      <c r="R63" s="175" t="s">
        <v>339</v>
      </c>
      <c r="S63" s="175" t="s">
        <v>22</v>
      </c>
      <c r="T63" s="175" t="s">
        <v>347</v>
      </c>
      <c r="U63" s="176">
        <v>15</v>
      </c>
      <c r="V63" s="176">
        <v>160</v>
      </c>
      <c r="W63" s="176" t="s">
        <v>21</v>
      </c>
      <c r="X63" s="179">
        <f t="shared" si="14"/>
        <v>160</v>
      </c>
      <c r="Y63" s="176">
        <v>4</v>
      </c>
      <c r="Z63" s="176" t="s">
        <v>20</v>
      </c>
      <c r="AA63" s="176" t="s">
        <v>18</v>
      </c>
      <c r="AB63" s="185" t="s">
        <v>18</v>
      </c>
      <c r="AC63" s="186" t="s">
        <v>21</v>
      </c>
      <c r="AD63" s="181" t="s">
        <v>1626</v>
      </c>
      <c r="AE63" s="179" t="s">
        <v>20</v>
      </c>
      <c r="AF63" s="181" t="s">
        <v>1613</v>
      </c>
      <c r="AG63" s="175" t="s">
        <v>1173</v>
      </c>
      <c r="AH63" s="179">
        <f t="shared" si="1"/>
        <v>40</v>
      </c>
      <c r="AI63" s="179">
        <f>VLOOKUP(K63,[1]TRAMO!$A:$B,2,0)</f>
        <v>3</v>
      </c>
      <c r="AJ63" s="183">
        <f t="shared" si="2"/>
        <v>7434</v>
      </c>
      <c r="AK63" s="179">
        <f t="shared" si="3"/>
        <v>40</v>
      </c>
      <c r="AL63" s="183">
        <v>60000</v>
      </c>
      <c r="AM63" s="183">
        <f t="shared" si="11"/>
        <v>2400000</v>
      </c>
      <c r="AN63" s="183">
        <f t="shared" si="5"/>
        <v>0</v>
      </c>
      <c r="AO63" s="183">
        <f t="shared" si="6"/>
        <v>0</v>
      </c>
      <c r="AP63" s="183">
        <f t="shared" si="7"/>
        <v>17841600</v>
      </c>
      <c r="AR63" s="183">
        <f t="shared" si="8"/>
        <v>900000</v>
      </c>
      <c r="AS63" s="183">
        <f t="shared" si="9"/>
        <v>21141600</v>
      </c>
      <c r="AT63" s="175" t="s">
        <v>1547</v>
      </c>
      <c r="AU63" s="175" t="s">
        <v>1627</v>
      </c>
      <c r="AV63" s="175" t="s">
        <v>1628</v>
      </c>
      <c r="AW63" s="175" t="s">
        <v>1629</v>
      </c>
    </row>
    <row r="64" spans="1:49" ht="24.95" customHeight="1" x14ac:dyDescent="0.25">
      <c r="A64" s="175">
        <v>14231</v>
      </c>
      <c r="B64" s="175" t="s">
        <v>86</v>
      </c>
      <c r="C64" s="175" t="s">
        <v>29</v>
      </c>
      <c r="D64" s="176">
        <v>1</v>
      </c>
      <c r="E64" s="176">
        <v>2025</v>
      </c>
      <c r="F64" s="176">
        <v>2025</v>
      </c>
      <c r="G64" s="175" t="s">
        <v>23</v>
      </c>
      <c r="H64" s="175" t="s">
        <v>86</v>
      </c>
      <c r="I64" s="175" t="s">
        <v>105</v>
      </c>
      <c r="J64" s="177" t="s">
        <v>740</v>
      </c>
      <c r="K64" s="175" t="s">
        <v>739</v>
      </c>
      <c r="L64" s="175" t="s">
        <v>407</v>
      </c>
      <c r="M64" s="175" t="s">
        <v>408</v>
      </c>
      <c r="N64" s="175">
        <v>5</v>
      </c>
      <c r="O64" s="175" t="s">
        <v>395</v>
      </c>
      <c r="P64" s="175" t="s">
        <v>1630</v>
      </c>
      <c r="Q64" s="175" t="s">
        <v>1201</v>
      </c>
      <c r="R64" s="175" t="s">
        <v>339</v>
      </c>
      <c r="S64" s="175" t="s">
        <v>22</v>
      </c>
      <c r="T64" s="175" t="s">
        <v>337</v>
      </c>
      <c r="U64" s="176">
        <v>10</v>
      </c>
      <c r="V64" s="176">
        <v>160</v>
      </c>
      <c r="W64" s="176">
        <v>12</v>
      </c>
      <c r="X64" s="179">
        <f t="shared" si="14"/>
        <v>172</v>
      </c>
      <c r="Y64" s="176">
        <v>5</v>
      </c>
      <c r="Z64" s="176" t="s">
        <v>20</v>
      </c>
      <c r="AA64" s="176" t="s">
        <v>18</v>
      </c>
      <c r="AB64" s="185" t="s">
        <v>18</v>
      </c>
      <c r="AC64" s="186" t="s">
        <v>21</v>
      </c>
      <c r="AD64" s="181" t="s">
        <v>1631</v>
      </c>
      <c r="AE64" s="179" t="s">
        <v>20</v>
      </c>
      <c r="AF64" s="181" t="s">
        <v>1613</v>
      </c>
      <c r="AG64" s="175" t="s">
        <v>1173</v>
      </c>
      <c r="AH64" s="179">
        <f t="shared" si="1"/>
        <v>35</v>
      </c>
      <c r="AI64" s="179">
        <f>VLOOKUP(K64,[1]TRAMO!$A:$B,2,0)</f>
        <v>3</v>
      </c>
      <c r="AJ64" s="183">
        <f t="shared" si="2"/>
        <v>7434</v>
      </c>
      <c r="AK64" s="179">
        <f t="shared" si="3"/>
        <v>34.4</v>
      </c>
      <c r="AL64" s="183">
        <v>60000</v>
      </c>
      <c r="AM64" s="183">
        <f t="shared" si="11"/>
        <v>1400000</v>
      </c>
      <c r="AN64" s="183">
        <f t="shared" si="5"/>
        <v>0</v>
      </c>
      <c r="AO64" s="183">
        <f t="shared" si="6"/>
        <v>0</v>
      </c>
      <c r="AP64" s="183">
        <f t="shared" si="7"/>
        <v>12786480</v>
      </c>
      <c r="AR64" s="183">
        <f t="shared" si="8"/>
        <v>600000</v>
      </c>
      <c r="AS64" s="183">
        <f t="shared" si="9"/>
        <v>14786480</v>
      </c>
      <c r="AT64" s="175" t="s">
        <v>1632</v>
      </c>
      <c r="AU64" s="175" t="s">
        <v>1633</v>
      </c>
      <c r="AV64" s="175" t="s">
        <v>1634</v>
      </c>
      <c r="AW64" s="175" t="s">
        <v>1635</v>
      </c>
    </row>
    <row r="65" spans="1:49" ht="24.95" customHeight="1" x14ac:dyDescent="0.25">
      <c r="A65" s="175">
        <v>14232</v>
      </c>
      <c r="B65" s="175" t="s">
        <v>86</v>
      </c>
      <c r="C65" s="175" t="s">
        <v>29</v>
      </c>
      <c r="D65" s="176">
        <v>1</v>
      </c>
      <c r="E65" s="176">
        <v>2025</v>
      </c>
      <c r="F65" s="176">
        <v>2025</v>
      </c>
      <c r="G65" s="175" t="s">
        <v>23</v>
      </c>
      <c r="H65" s="175" t="s">
        <v>86</v>
      </c>
      <c r="I65" s="175" t="s">
        <v>105</v>
      </c>
      <c r="J65" s="177" t="s">
        <v>740</v>
      </c>
      <c r="K65" s="175" t="s">
        <v>739</v>
      </c>
      <c r="L65" s="175" t="s">
        <v>407</v>
      </c>
      <c r="M65" s="175" t="s">
        <v>408</v>
      </c>
      <c r="N65" s="175">
        <v>5</v>
      </c>
      <c r="O65" s="175" t="s">
        <v>395</v>
      </c>
      <c r="P65" s="175" t="s">
        <v>1630</v>
      </c>
      <c r="Q65" s="175" t="s">
        <v>1201</v>
      </c>
      <c r="R65" s="175" t="s">
        <v>339</v>
      </c>
      <c r="S65" s="175" t="s">
        <v>22</v>
      </c>
      <c r="T65" s="175" t="s">
        <v>337</v>
      </c>
      <c r="U65" s="176">
        <v>10</v>
      </c>
      <c r="V65" s="176">
        <v>160</v>
      </c>
      <c r="W65" s="176">
        <v>12</v>
      </c>
      <c r="X65" s="179">
        <f t="shared" si="14"/>
        <v>172</v>
      </c>
      <c r="Y65" s="176">
        <v>5</v>
      </c>
      <c r="Z65" s="176" t="s">
        <v>20</v>
      </c>
      <c r="AA65" s="176" t="s">
        <v>18</v>
      </c>
      <c r="AB65" s="185" t="s">
        <v>18</v>
      </c>
      <c r="AC65" s="186" t="s">
        <v>21</v>
      </c>
      <c r="AD65" s="181" t="s">
        <v>1636</v>
      </c>
      <c r="AE65" s="179" t="s">
        <v>20</v>
      </c>
      <c r="AF65" s="181" t="s">
        <v>1613</v>
      </c>
      <c r="AG65" s="175" t="s">
        <v>1173</v>
      </c>
      <c r="AH65" s="179">
        <f t="shared" si="1"/>
        <v>35</v>
      </c>
      <c r="AI65" s="179">
        <f>VLOOKUP(K65,[1]TRAMO!$A:$B,2,0)</f>
        <v>3</v>
      </c>
      <c r="AJ65" s="183">
        <f t="shared" si="2"/>
        <v>7434</v>
      </c>
      <c r="AK65" s="179">
        <f t="shared" si="3"/>
        <v>34.4</v>
      </c>
      <c r="AL65" s="183">
        <v>60000</v>
      </c>
      <c r="AM65" s="183">
        <f t="shared" si="11"/>
        <v>1400000</v>
      </c>
      <c r="AN65" s="183">
        <f t="shared" si="5"/>
        <v>0</v>
      </c>
      <c r="AO65" s="183">
        <f t="shared" si="6"/>
        <v>0</v>
      </c>
      <c r="AP65" s="183">
        <f t="shared" si="7"/>
        <v>12786480</v>
      </c>
      <c r="AR65" s="183">
        <f t="shared" si="8"/>
        <v>600000</v>
      </c>
      <c r="AS65" s="183">
        <f t="shared" si="9"/>
        <v>14786480</v>
      </c>
      <c r="AT65" s="175" t="s">
        <v>1632</v>
      </c>
      <c r="AU65" s="175" t="s">
        <v>1633</v>
      </c>
      <c r="AV65" s="175" t="s">
        <v>1634</v>
      </c>
      <c r="AW65" s="175" t="s">
        <v>1031</v>
      </c>
    </row>
    <row r="66" spans="1:49" ht="24.95" customHeight="1" x14ac:dyDescent="0.25">
      <c r="A66" s="175">
        <v>14233</v>
      </c>
      <c r="B66" s="175" t="s">
        <v>86</v>
      </c>
      <c r="C66" s="175" t="s">
        <v>29</v>
      </c>
      <c r="D66" s="176">
        <v>1</v>
      </c>
      <c r="E66" s="176">
        <v>2025</v>
      </c>
      <c r="F66" s="176">
        <v>2025</v>
      </c>
      <c r="G66" s="175" t="s">
        <v>23</v>
      </c>
      <c r="H66" s="175" t="s">
        <v>86</v>
      </c>
      <c r="I66" s="175" t="s">
        <v>105</v>
      </c>
      <c r="J66" s="177" t="s">
        <v>740</v>
      </c>
      <c r="K66" s="175" t="s">
        <v>739</v>
      </c>
      <c r="L66" s="175" t="s">
        <v>407</v>
      </c>
      <c r="M66" s="175" t="s">
        <v>408</v>
      </c>
      <c r="N66" s="175">
        <v>13</v>
      </c>
      <c r="O66" s="175" t="s">
        <v>382</v>
      </c>
      <c r="P66" s="175" t="s">
        <v>416</v>
      </c>
      <c r="Q66" s="175" t="s">
        <v>1201</v>
      </c>
      <c r="R66" s="175" t="s">
        <v>339</v>
      </c>
      <c r="S66" s="175" t="s">
        <v>22</v>
      </c>
      <c r="T66" s="175" t="s">
        <v>337</v>
      </c>
      <c r="U66" s="176">
        <v>10</v>
      </c>
      <c r="V66" s="176">
        <v>160</v>
      </c>
      <c r="W66" s="176">
        <v>12</v>
      </c>
      <c r="X66" s="179">
        <f t="shared" si="14"/>
        <v>172</v>
      </c>
      <c r="Y66" s="176">
        <v>5</v>
      </c>
      <c r="Z66" s="176" t="s">
        <v>20</v>
      </c>
      <c r="AA66" s="176" t="s">
        <v>18</v>
      </c>
      <c r="AB66" s="185" t="s">
        <v>18</v>
      </c>
      <c r="AC66" s="186" t="s">
        <v>21</v>
      </c>
      <c r="AD66" s="181" t="s">
        <v>1636</v>
      </c>
      <c r="AE66" s="179" t="s">
        <v>20</v>
      </c>
      <c r="AF66" s="181" t="s">
        <v>1613</v>
      </c>
      <c r="AG66" s="175" t="s">
        <v>1173</v>
      </c>
      <c r="AH66" s="179">
        <f t="shared" ref="AH66:AH129" si="15">ROUNDUP(AK66,0)</f>
        <v>35</v>
      </c>
      <c r="AI66" s="179">
        <f>VLOOKUP(K66,[1]TRAMO!$A:$B,2,0)</f>
        <v>3</v>
      </c>
      <c r="AJ66" s="183">
        <f t="shared" ref="AJ66:AJ129" si="16">IF(AI66=1,5074,IF(AI66=2,6372,IF(AI66=3,7434,"ERROR")))</f>
        <v>7434</v>
      </c>
      <c r="AK66" s="179">
        <f t="shared" ref="AK66:AK129" si="17">+(X66/Y66)</f>
        <v>34.4</v>
      </c>
      <c r="AL66" s="183">
        <v>60000</v>
      </c>
      <c r="AM66" s="183">
        <f t="shared" si="11"/>
        <v>1400000</v>
      </c>
      <c r="AN66" s="183">
        <f t="shared" ref="AN66:AN129" si="18">IF(AA66="SI",5000*AH66*U66,0)</f>
        <v>0</v>
      </c>
      <c r="AO66" s="183">
        <f t="shared" ref="AO66:AO129" si="19">IF(AB66="SI",270000*U66,0)</f>
        <v>0</v>
      </c>
      <c r="AP66" s="183">
        <f t="shared" ref="AP66:AP129" si="20">+(AJ66*X66*U66)</f>
        <v>12786480</v>
      </c>
      <c r="AR66" s="183">
        <f t="shared" ref="AR66:AR129" si="21">+(AL66*U66)</f>
        <v>600000</v>
      </c>
      <c r="AS66" s="183">
        <f t="shared" ref="AS66:AS129" si="22">+(AM66+AN66+AO66+AP66+AR66)</f>
        <v>14786480</v>
      </c>
      <c r="AT66" s="175" t="s">
        <v>1632</v>
      </c>
      <c r="AU66" s="175" t="s">
        <v>1633</v>
      </c>
      <c r="AV66" s="175" t="s">
        <v>1634</v>
      </c>
      <c r="AW66" s="175" t="s">
        <v>1635</v>
      </c>
    </row>
    <row r="67" spans="1:49" ht="24.95" customHeight="1" x14ac:dyDescent="0.25">
      <c r="A67" s="175">
        <v>14234</v>
      </c>
      <c r="B67" s="175" t="s">
        <v>86</v>
      </c>
      <c r="C67" s="175" t="s">
        <v>29</v>
      </c>
      <c r="D67" s="176">
        <v>1</v>
      </c>
      <c r="E67" s="176">
        <v>2025</v>
      </c>
      <c r="F67" s="176">
        <v>2025</v>
      </c>
      <c r="G67" s="175" t="s">
        <v>23</v>
      </c>
      <c r="H67" s="175" t="s">
        <v>86</v>
      </c>
      <c r="I67" s="175" t="s">
        <v>105</v>
      </c>
      <c r="J67" s="177" t="s">
        <v>740</v>
      </c>
      <c r="K67" s="175" t="s">
        <v>739</v>
      </c>
      <c r="L67" s="175" t="s">
        <v>407</v>
      </c>
      <c r="M67" s="175" t="s">
        <v>408</v>
      </c>
      <c r="N67" s="175">
        <v>13</v>
      </c>
      <c r="O67" s="175" t="s">
        <v>382</v>
      </c>
      <c r="P67" s="175" t="s">
        <v>412</v>
      </c>
      <c r="Q67" s="175" t="s">
        <v>1201</v>
      </c>
      <c r="R67" s="175" t="s">
        <v>339</v>
      </c>
      <c r="S67" s="175" t="s">
        <v>22</v>
      </c>
      <c r="T67" s="175" t="s">
        <v>337</v>
      </c>
      <c r="U67" s="176">
        <v>10</v>
      </c>
      <c r="V67" s="176">
        <v>160</v>
      </c>
      <c r="W67" s="176">
        <v>12</v>
      </c>
      <c r="X67" s="179">
        <f t="shared" si="14"/>
        <v>172</v>
      </c>
      <c r="Y67" s="176">
        <v>5</v>
      </c>
      <c r="Z67" s="176" t="s">
        <v>20</v>
      </c>
      <c r="AA67" s="176" t="s">
        <v>18</v>
      </c>
      <c r="AB67" s="185" t="s">
        <v>18</v>
      </c>
      <c r="AC67" s="186" t="s">
        <v>21</v>
      </c>
      <c r="AD67" s="181" t="s">
        <v>1637</v>
      </c>
      <c r="AE67" s="179" t="s">
        <v>20</v>
      </c>
      <c r="AF67" s="181" t="s">
        <v>1613</v>
      </c>
      <c r="AG67" s="175" t="s">
        <v>1173</v>
      </c>
      <c r="AH67" s="179">
        <f t="shared" si="15"/>
        <v>35</v>
      </c>
      <c r="AI67" s="179">
        <f>VLOOKUP(K67,[1]TRAMO!$A:$B,2,0)</f>
        <v>3</v>
      </c>
      <c r="AJ67" s="183">
        <f t="shared" si="16"/>
        <v>7434</v>
      </c>
      <c r="AK67" s="179">
        <f t="shared" si="17"/>
        <v>34.4</v>
      </c>
      <c r="AL67" s="183">
        <v>60000</v>
      </c>
      <c r="AM67" s="183">
        <f t="shared" si="11"/>
        <v>1400000</v>
      </c>
      <c r="AN67" s="183">
        <f t="shared" si="18"/>
        <v>0</v>
      </c>
      <c r="AO67" s="183">
        <f t="shared" si="19"/>
        <v>0</v>
      </c>
      <c r="AP67" s="183">
        <f t="shared" si="20"/>
        <v>12786480</v>
      </c>
      <c r="AR67" s="183">
        <f t="shared" si="21"/>
        <v>600000</v>
      </c>
      <c r="AS67" s="183">
        <f t="shared" si="22"/>
        <v>14786480</v>
      </c>
      <c r="AT67" s="175" t="s">
        <v>1632</v>
      </c>
      <c r="AU67" s="175" t="s">
        <v>1633</v>
      </c>
      <c r="AV67" s="175" t="s">
        <v>1634</v>
      </c>
      <c r="AW67" s="175" t="s">
        <v>1635</v>
      </c>
    </row>
    <row r="68" spans="1:49" ht="24.95" customHeight="1" x14ac:dyDescent="0.25">
      <c r="A68" s="189">
        <v>14875</v>
      </c>
      <c r="B68" s="175" t="s">
        <v>96</v>
      </c>
      <c r="C68" s="175" t="s">
        <v>39</v>
      </c>
      <c r="D68" s="190">
        <v>4</v>
      </c>
      <c r="E68" s="176">
        <v>2025</v>
      </c>
      <c r="F68" s="189">
        <v>2005</v>
      </c>
      <c r="G68" s="189" t="s">
        <v>1466</v>
      </c>
      <c r="H68" s="189" t="s">
        <v>336</v>
      </c>
      <c r="I68" s="189" t="s">
        <v>1467</v>
      </c>
      <c r="J68" s="189" t="s">
        <v>740</v>
      </c>
      <c r="K68" s="189" t="s">
        <v>739</v>
      </c>
      <c r="L68" s="189" t="s">
        <v>21</v>
      </c>
      <c r="M68" s="189" t="s">
        <v>21</v>
      </c>
      <c r="N68" s="189">
        <v>16</v>
      </c>
      <c r="O68" s="189" t="s">
        <v>808</v>
      </c>
      <c r="P68" s="189" t="s">
        <v>846</v>
      </c>
      <c r="Q68" s="189" t="s">
        <v>1493</v>
      </c>
      <c r="R68" s="189" t="s">
        <v>339</v>
      </c>
      <c r="S68" s="189" t="s">
        <v>22</v>
      </c>
      <c r="T68" s="189" t="s">
        <v>337</v>
      </c>
      <c r="U68" s="190">
        <v>15</v>
      </c>
      <c r="V68" s="190">
        <v>160</v>
      </c>
      <c r="W68" s="190" t="s">
        <v>21</v>
      </c>
      <c r="X68" s="190">
        <f>SUM(V68:W68)</f>
        <v>160</v>
      </c>
      <c r="Y68" s="190">
        <v>4</v>
      </c>
      <c r="Z68" s="190" t="s">
        <v>20</v>
      </c>
      <c r="AA68" s="190" t="s">
        <v>20</v>
      </c>
      <c r="AB68" s="189" t="s">
        <v>21</v>
      </c>
      <c r="AC68" s="189"/>
      <c r="AD68" s="189" t="s">
        <v>1638</v>
      </c>
      <c r="AE68" s="190" t="s">
        <v>20</v>
      </c>
      <c r="AF68" s="189" t="s">
        <v>1613</v>
      </c>
      <c r="AG68" s="189" t="s">
        <v>1173</v>
      </c>
      <c r="AH68" s="190">
        <f t="shared" si="15"/>
        <v>40</v>
      </c>
      <c r="AI68" s="190">
        <v>3</v>
      </c>
      <c r="AJ68" s="183">
        <f t="shared" si="16"/>
        <v>7434</v>
      </c>
      <c r="AK68" s="190">
        <f t="shared" si="17"/>
        <v>40</v>
      </c>
      <c r="AL68" s="183">
        <v>60000</v>
      </c>
      <c r="AM68" s="183">
        <f t="shared" si="11"/>
        <v>2400000</v>
      </c>
      <c r="AN68" s="183">
        <f t="shared" si="18"/>
        <v>3000000</v>
      </c>
      <c r="AO68" s="183">
        <f t="shared" si="19"/>
        <v>0</v>
      </c>
      <c r="AP68" s="183">
        <f t="shared" si="20"/>
        <v>17841600</v>
      </c>
      <c r="AR68" s="183">
        <f t="shared" si="21"/>
        <v>900000</v>
      </c>
      <c r="AS68" s="183">
        <f t="shared" si="22"/>
        <v>24141600</v>
      </c>
    </row>
    <row r="69" spans="1:49" ht="24.95" customHeight="1" x14ac:dyDescent="0.25">
      <c r="A69" s="175">
        <v>14437</v>
      </c>
      <c r="B69" s="175" t="s">
        <v>98</v>
      </c>
      <c r="C69" s="175" t="s">
        <v>41</v>
      </c>
      <c r="D69" s="176">
        <v>1</v>
      </c>
      <c r="E69" s="176">
        <v>2025</v>
      </c>
      <c r="F69" s="176">
        <v>2025</v>
      </c>
      <c r="G69" s="175" t="s">
        <v>23</v>
      </c>
      <c r="H69" s="175" t="s">
        <v>98</v>
      </c>
      <c r="I69" s="175" t="s">
        <v>1175</v>
      </c>
      <c r="J69" s="177" t="s">
        <v>743</v>
      </c>
      <c r="K69" s="175" t="s">
        <v>742</v>
      </c>
      <c r="L69" s="175" t="s">
        <v>21</v>
      </c>
      <c r="M69" s="175" t="s">
        <v>21</v>
      </c>
      <c r="N69" s="175">
        <v>5</v>
      </c>
      <c r="O69" s="175" t="s">
        <v>395</v>
      </c>
      <c r="P69" s="175" t="s">
        <v>752</v>
      </c>
      <c r="Q69" s="175" t="s">
        <v>1201</v>
      </c>
      <c r="R69" s="175" t="s">
        <v>339</v>
      </c>
      <c r="S69" s="175" t="s">
        <v>22</v>
      </c>
      <c r="T69" s="175" t="s">
        <v>337</v>
      </c>
      <c r="U69" s="176">
        <v>10</v>
      </c>
      <c r="V69" s="176">
        <v>150</v>
      </c>
      <c r="W69" s="176" t="s">
        <v>21</v>
      </c>
      <c r="X69" s="179">
        <f>(SUM(V69:W69))*1</f>
        <v>150</v>
      </c>
      <c r="Y69" s="176">
        <v>4</v>
      </c>
      <c r="Z69" s="176" t="s">
        <v>20</v>
      </c>
      <c r="AA69" s="176" t="s">
        <v>18</v>
      </c>
      <c r="AB69" s="185" t="s">
        <v>18</v>
      </c>
      <c r="AC69" s="186" t="s">
        <v>21</v>
      </c>
      <c r="AD69" s="181" t="s">
        <v>1639</v>
      </c>
      <c r="AE69" s="179" t="s">
        <v>20</v>
      </c>
      <c r="AF69" s="181" t="s">
        <v>991</v>
      </c>
      <c r="AG69" s="175" t="s">
        <v>1173</v>
      </c>
      <c r="AH69" s="179">
        <f t="shared" si="15"/>
        <v>38</v>
      </c>
      <c r="AI69" s="179">
        <f>VLOOKUP(K69,[1]TRAMO!$A:$B,2,0)</f>
        <v>3</v>
      </c>
      <c r="AJ69" s="183">
        <f t="shared" si="16"/>
        <v>7434</v>
      </c>
      <c r="AK69" s="179">
        <f t="shared" si="17"/>
        <v>37.5</v>
      </c>
      <c r="AL69" s="183">
        <v>380000</v>
      </c>
      <c r="AM69" s="183">
        <f t="shared" si="11"/>
        <v>1520000</v>
      </c>
      <c r="AN69" s="183">
        <f t="shared" si="18"/>
        <v>0</v>
      </c>
      <c r="AO69" s="183">
        <f t="shared" si="19"/>
        <v>0</v>
      </c>
      <c r="AP69" s="183">
        <f t="shared" si="20"/>
        <v>11151000</v>
      </c>
      <c r="AR69" s="183">
        <f t="shared" si="21"/>
        <v>3800000</v>
      </c>
      <c r="AS69" s="183">
        <f t="shared" si="22"/>
        <v>16471000</v>
      </c>
      <c r="AT69" s="175" t="s">
        <v>1524</v>
      </c>
      <c r="AU69" s="175" t="s">
        <v>1525</v>
      </c>
      <c r="AV69" s="175" t="s">
        <v>1640</v>
      </c>
      <c r="AW69" s="175" t="s">
        <v>523</v>
      </c>
    </row>
    <row r="70" spans="1:49" ht="24.95" customHeight="1" x14ac:dyDescent="0.25">
      <c r="A70" s="189">
        <v>14882</v>
      </c>
      <c r="B70" s="175" t="s">
        <v>96</v>
      </c>
      <c r="C70" s="175" t="s">
        <v>39</v>
      </c>
      <c r="D70" s="190">
        <v>4</v>
      </c>
      <c r="E70" s="176">
        <v>2025</v>
      </c>
      <c r="F70" s="189">
        <v>2005</v>
      </c>
      <c r="G70" s="189" t="s">
        <v>1466</v>
      </c>
      <c r="H70" s="189" t="s">
        <v>336</v>
      </c>
      <c r="I70" s="189" t="s">
        <v>1467</v>
      </c>
      <c r="J70" s="189" t="s">
        <v>422</v>
      </c>
      <c r="K70" s="189" t="s">
        <v>423</v>
      </c>
      <c r="L70" s="189" t="s">
        <v>21</v>
      </c>
      <c r="M70" s="189" t="s">
        <v>21</v>
      </c>
      <c r="N70" s="189">
        <v>16</v>
      </c>
      <c r="O70" s="189" t="s">
        <v>808</v>
      </c>
      <c r="P70" s="189" t="s">
        <v>870</v>
      </c>
      <c r="Q70" s="189" t="s">
        <v>1493</v>
      </c>
      <c r="R70" s="189" t="s">
        <v>339</v>
      </c>
      <c r="S70" s="189" t="s">
        <v>22</v>
      </c>
      <c r="T70" s="189" t="s">
        <v>337</v>
      </c>
      <c r="U70" s="190">
        <v>15</v>
      </c>
      <c r="V70" s="190">
        <v>200</v>
      </c>
      <c r="W70" s="190" t="s">
        <v>21</v>
      </c>
      <c r="X70" s="190">
        <f>SUM(V70:W70)</f>
        <v>200</v>
      </c>
      <c r="Y70" s="190">
        <v>4</v>
      </c>
      <c r="Z70" s="190" t="s">
        <v>20</v>
      </c>
      <c r="AA70" s="190" t="s">
        <v>20</v>
      </c>
      <c r="AB70" s="189" t="s">
        <v>21</v>
      </c>
      <c r="AC70" s="189"/>
      <c r="AD70" s="189" t="s">
        <v>1641</v>
      </c>
      <c r="AE70" s="190" t="s">
        <v>20</v>
      </c>
      <c r="AF70" s="189" t="s">
        <v>1005</v>
      </c>
      <c r="AG70" s="189" t="s">
        <v>1173</v>
      </c>
      <c r="AH70" s="190">
        <f t="shared" si="15"/>
        <v>50</v>
      </c>
      <c r="AI70" s="190">
        <v>3</v>
      </c>
      <c r="AJ70" s="183">
        <f t="shared" si="16"/>
        <v>7434</v>
      </c>
      <c r="AK70" s="190">
        <f t="shared" si="17"/>
        <v>50</v>
      </c>
      <c r="AL70" s="183">
        <v>380000</v>
      </c>
      <c r="AM70" s="183">
        <f t="shared" si="11"/>
        <v>3000000</v>
      </c>
      <c r="AN70" s="183">
        <f t="shared" si="18"/>
        <v>3750000</v>
      </c>
      <c r="AO70" s="183">
        <f t="shared" si="19"/>
        <v>0</v>
      </c>
      <c r="AP70" s="183">
        <f t="shared" si="20"/>
        <v>22302000</v>
      </c>
      <c r="AR70" s="183">
        <f t="shared" si="21"/>
        <v>5700000</v>
      </c>
      <c r="AS70" s="183">
        <f t="shared" si="22"/>
        <v>34752000</v>
      </c>
    </row>
    <row r="71" spans="1:49" ht="24.95" customHeight="1" x14ac:dyDescent="0.25">
      <c r="A71" s="189">
        <v>14659</v>
      </c>
      <c r="B71" s="175" t="s">
        <v>96</v>
      </c>
      <c r="C71" s="175" t="s">
        <v>39</v>
      </c>
      <c r="D71" s="190">
        <v>4</v>
      </c>
      <c r="E71" s="176">
        <v>2025</v>
      </c>
      <c r="F71" s="189">
        <v>2005</v>
      </c>
      <c r="G71" s="189" t="s">
        <v>1466</v>
      </c>
      <c r="H71" s="189" t="s">
        <v>336</v>
      </c>
      <c r="I71" s="189" t="s">
        <v>1467</v>
      </c>
      <c r="J71" s="189" t="s">
        <v>865</v>
      </c>
      <c r="K71" s="189" t="s">
        <v>864</v>
      </c>
      <c r="L71" s="189" t="s">
        <v>345</v>
      </c>
      <c r="M71" s="189" t="s">
        <v>346</v>
      </c>
      <c r="N71" s="189">
        <v>16</v>
      </c>
      <c r="O71" s="189" t="s">
        <v>808</v>
      </c>
      <c r="P71" s="189" t="s">
        <v>855</v>
      </c>
      <c r="Q71" s="189" t="s">
        <v>1493</v>
      </c>
      <c r="R71" s="189" t="s">
        <v>339</v>
      </c>
      <c r="S71" s="189" t="s">
        <v>19</v>
      </c>
      <c r="T71" s="189" t="s">
        <v>337</v>
      </c>
      <c r="U71" s="190">
        <v>15</v>
      </c>
      <c r="V71" s="190">
        <v>190</v>
      </c>
      <c r="W71" s="190">
        <v>12</v>
      </c>
      <c r="X71" s="190">
        <f>SUM(V71:W71)</f>
        <v>202</v>
      </c>
      <c r="Y71" s="190">
        <v>4</v>
      </c>
      <c r="Z71" s="190" t="s">
        <v>20</v>
      </c>
      <c r="AA71" s="190" t="s">
        <v>20</v>
      </c>
      <c r="AB71" s="189" t="s">
        <v>20</v>
      </c>
      <c r="AC71" s="189"/>
      <c r="AD71" s="189" t="s">
        <v>1642</v>
      </c>
      <c r="AE71" s="190" t="s">
        <v>20</v>
      </c>
      <c r="AF71" s="189" t="s">
        <v>1009</v>
      </c>
      <c r="AG71" s="189" t="s">
        <v>1173</v>
      </c>
      <c r="AH71" s="190">
        <f t="shared" si="15"/>
        <v>51</v>
      </c>
      <c r="AI71" s="190">
        <v>2</v>
      </c>
      <c r="AJ71" s="183">
        <f t="shared" si="16"/>
        <v>6372</v>
      </c>
      <c r="AK71" s="190">
        <f t="shared" si="17"/>
        <v>50.5</v>
      </c>
      <c r="AL71" s="183">
        <v>300000</v>
      </c>
      <c r="AM71" s="183">
        <f t="shared" si="11"/>
        <v>3060000</v>
      </c>
      <c r="AN71" s="183">
        <f t="shared" si="18"/>
        <v>3825000</v>
      </c>
      <c r="AO71" s="183">
        <f t="shared" si="19"/>
        <v>4050000</v>
      </c>
      <c r="AP71" s="183">
        <f t="shared" si="20"/>
        <v>19307160</v>
      </c>
      <c r="AR71" s="183">
        <f t="shared" si="21"/>
        <v>4500000</v>
      </c>
      <c r="AS71" s="183">
        <f t="shared" si="22"/>
        <v>34742160</v>
      </c>
    </row>
    <row r="72" spans="1:49" ht="24.95" customHeight="1" x14ac:dyDescent="0.25">
      <c r="A72" s="184">
        <v>14572</v>
      </c>
      <c r="B72" s="184" t="s">
        <v>82</v>
      </c>
      <c r="C72" s="184" t="s">
        <v>25</v>
      </c>
      <c r="D72" s="179">
        <v>1</v>
      </c>
      <c r="E72" s="179">
        <v>2025</v>
      </c>
      <c r="F72" s="179">
        <v>2025</v>
      </c>
      <c r="G72" s="177" t="s">
        <v>1484</v>
      </c>
      <c r="H72" s="184" t="s">
        <v>82</v>
      </c>
      <c r="I72" s="184" t="s">
        <v>101</v>
      </c>
      <c r="J72" s="177" t="s">
        <v>1643</v>
      </c>
      <c r="K72" s="184" t="s">
        <v>1644</v>
      </c>
      <c r="L72" s="184" t="s">
        <v>1485</v>
      </c>
      <c r="M72" s="184" t="s">
        <v>1486</v>
      </c>
      <c r="N72" s="179">
        <v>10</v>
      </c>
      <c r="O72" s="184" t="s">
        <v>706</v>
      </c>
      <c r="P72" s="184" t="s">
        <v>774</v>
      </c>
      <c r="Q72" s="184" t="s">
        <v>1487</v>
      </c>
      <c r="R72" s="184" t="s">
        <v>339</v>
      </c>
      <c r="S72" s="184" t="s">
        <v>22</v>
      </c>
      <c r="T72" s="184" t="s">
        <v>347</v>
      </c>
      <c r="U72" s="185">
        <v>20</v>
      </c>
      <c r="V72" s="185">
        <v>160</v>
      </c>
      <c r="W72" s="185">
        <v>16</v>
      </c>
      <c r="X72" s="179">
        <f t="shared" ref="X72:X135" si="23">(SUM(V72:W72))*1</f>
        <v>176</v>
      </c>
      <c r="Y72" s="185">
        <v>5</v>
      </c>
      <c r="Z72" s="185" t="s">
        <v>20</v>
      </c>
      <c r="AA72" s="185" t="s">
        <v>20</v>
      </c>
      <c r="AB72" s="179" t="s">
        <v>18</v>
      </c>
      <c r="AC72" s="186" t="s">
        <v>21</v>
      </c>
      <c r="AD72" s="181" t="s">
        <v>1645</v>
      </c>
      <c r="AE72" s="179" t="s">
        <v>18</v>
      </c>
      <c r="AG72" s="184" t="s">
        <v>1173</v>
      </c>
      <c r="AH72" s="179">
        <f t="shared" si="15"/>
        <v>36</v>
      </c>
      <c r="AI72" s="179">
        <v>3</v>
      </c>
      <c r="AJ72" s="183">
        <f t="shared" si="16"/>
        <v>7434</v>
      </c>
      <c r="AK72" s="179">
        <f t="shared" si="17"/>
        <v>35.200000000000003</v>
      </c>
      <c r="AL72" s="183">
        <v>0</v>
      </c>
      <c r="AM72" s="183">
        <f t="shared" si="11"/>
        <v>2880000</v>
      </c>
      <c r="AN72" s="183">
        <f t="shared" si="18"/>
        <v>3600000</v>
      </c>
      <c r="AO72" s="183">
        <f t="shared" si="19"/>
        <v>0</v>
      </c>
      <c r="AP72" s="183">
        <f t="shared" si="20"/>
        <v>26167680</v>
      </c>
      <c r="AR72" s="183">
        <f t="shared" si="21"/>
        <v>0</v>
      </c>
      <c r="AS72" s="183">
        <f t="shared" si="22"/>
        <v>32647680</v>
      </c>
    </row>
    <row r="73" spans="1:49" ht="24.95" customHeight="1" x14ac:dyDescent="0.25">
      <c r="A73" s="184">
        <v>14574</v>
      </c>
      <c r="B73" s="184" t="s">
        <v>82</v>
      </c>
      <c r="C73" s="184" t="s">
        <v>25</v>
      </c>
      <c r="D73" s="179">
        <v>1</v>
      </c>
      <c r="E73" s="179">
        <v>2025</v>
      </c>
      <c r="F73" s="179">
        <v>2025</v>
      </c>
      <c r="G73" s="177" t="s">
        <v>1484</v>
      </c>
      <c r="H73" s="184" t="s">
        <v>82</v>
      </c>
      <c r="I73" s="184" t="s">
        <v>101</v>
      </c>
      <c r="J73" s="177" t="s">
        <v>1646</v>
      </c>
      <c r="K73" s="184" t="s">
        <v>1647</v>
      </c>
      <c r="L73" s="184" t="s">
        <v>1485</v>
      </c>
      <c r="M73" s="184" t="s">
        <v>1486</v>
      </c>
      <c r="N73" s="179">
        <v>10</v>
      </c>
      <c r="O73" s="184" t="s">
        <v>706</v>
      </c>
      <c r="P73" s="184" t="s">
        <v>707</v>
      </c>
      <c r="Q73" s="184" t="s">
        <v>1487</v>
      </c>
      <c r="R73" s="184" t="s">
        <v>339</v>
      </c>
      <c r="S73" s="184" t="s">
        <v>22</v>
      </c>
      <c r="T73" s="184" t="s">
        <v>347</v>
      </c>
      <c r="U73" s="185">
        <v>20</v>
      </c>
      <c r="V73" s="185">
        <v>190</v>
      </c>
      <c r="W73" s="185">
        <v>16</v>
      </c>
      <c r="X73" s="179">
        <f t="shared" si="23"/>
        <v>206</v>
      </c>
      <c r="Y73" s="185">
        <v>5</v>
      </c>
      <c r="Z73" s="185" t="s">
        <v>20</v>
      </c>
      <c r="AA73" s="185" t="s">
        <v>20</v>
      </c>
      <c r="AB73" s="179" t="s">
        <v>18</v>
      </c>
      <c r="AC73" s="186" t="s">
        <v>21</v>
      </c>
      <c r="AD73" s="181" t="s">
        <v>1648</v>
      </c>
      <c r="AE73" s="179" t="s">
        <v>18</v>
      </c>
      <c r="AG73" s="184" t="s">
        <v>1173</v>
      </c>
      <c r="AH73" s="179">
        <f t="shared" si="15"/>
        <v>42</v>
      </c>
      <c r="AI73" s="179">
        <v>3</v>
      </c>
      <c r="AJ73" s="183">
        <f t="shared" si="16"/>
        <v>7434</v>
      </c>
      <c r="AK73" s="179">
        <f t="shared" si="17"/>
        <v>41.2</v>
      </c>
      <c r="AL73" s="183">
        <v>0</v>
      </c>
      <c r="AM73" s="183">
        <f t="shared" si="11"/>
        <v>3360000</v>
      </c>
      <c r="AN73" s="183">
        <f t="shared" si="18"/>
        <v>4200000</v>
      </c>
      <c r="AO73" s="183">
        <f t="shared" si="19"/>
        <v>0</v>
      </c>
      <c r="AP73" s="183">
        <f t="shared" si="20"/>
        <v>30628080</v>
      </c>
      <c r="AR73" s="183">
        <f t="shared" si="21"/>
        <v>0</v>
      </c>
      <c r="AS73" s="183">
        <f t="shared" si="22"/>
        <v>38188080</v>
      </c>
    </row>
    <row r="74" spans="1:49" ht="24.95" customHeight="1" x14ac:dyDescent="0.25">
      <c r="A74" s="184">
        <v>14575</v>
      </c>
      <c r="B74" s="184" t="s">
        <v>82</v>
      </c>
      <c r="C74" s="184" t="s">
        <v>25</v>
      </c>
      <c r="D74" s="179">
        <v>1</v>
      </c>
      <c r="E74" s="179">
        <v>2025</v>
      </c>
      <c r="F74" s="179">
        <v>2025</v>
      </c>
      <c r="G74" s="177" t="s">
        <v>1484</v>
      </c>
      <c r="H74" s="184" t="s">
        <v>82</v>
      </c>
      <c r="I74" s="184" t="s">
        <v>101</v>
      </c>
      <c r="J74" s="177" t="s">
        <v>1649</v>
      </c>
      <c r="K74" s="184" t="s">
        <v>1650</v>
      </c>
      <c r="L74" s="184" t="s">
        <v>1485</v>
      </c>
      <c r="M74" s="184" t="s">
        <v>1486</v>
      </c>
      <c r="N74" s="179">
        <v>8</v>
      </c>
      <c r="O74" s="184" t="s">
        <v>709</v>
      </c>
      <c r="P74" s="184" t="s">
        <v>735</v>
      </c>
      <c r="Q74" s="184" t="s">
        <v>1487</v>
      </c>
      <c r="R74" s="184" t="s">
        <v>339</v>
      </c>
      <c r="S74" s="184" t="s">
        <v>22</v>
      </c>
      <c r="T74" s="184" t="s">
        <v>347</v>
      </c>
      <c r="U74" s="185">
        <v>20</v>
      </c>
      <c r="V74" s="185">
        <v>96</v>
      </c>
      <c r="W74" s="185">
        <v>16</v>
      </c>
      <c r="X74" s="179">
        <f t="shared" si="23"/>
        <v>112</v>
      </c>
      <c r="Y74" s="185">
        <v>5</v>
      </c>
      <c r="Z74" s="185" t="s">
        <v>20</v>
      </c>
      <c r="AA74" s="185" t="s">
        <v>20</v>
      </c>
      <c r="AB74" s="179" t="s">
        <v>18</v>
      </c>
      <c r="AC74" s="186" t="s">
        <v>21</v>
      </c>
      <c r="AD74" s="181" t="s">
        <v>1651</v>
      </c>
      <c r="AE74" s="179" t="s">
        <v>18</v>
      </c>
      <c r="AG74" s="184" t="s">
        <v>1173</v>
      </c>
      <c r="AH74" s="179">
        <f t="shared" si="15"/>
        <v>23</v>
      </c>
      <c r="AI74" s="179">
        <v>3</v>
      </c>
      <c r="AJ74" s="183">
        <f t="shared" si="16"/>
        <v>7434</v>
      </c>
      <c r="AK74" s="179">
        <f t="shared" si="17"/>
        <v>22.4</v>
      </c>
      <c r="AL74" s="183">
        <v>0</v>
      </c>
      <c r="AM74" s="183">
        <f t="shared" si="11"/>
        <v>1840000</v>
      </c>
      <c r="AN74" s="183">
        <f t="shared" si="18"/>
        <v>2300000</v>
      </c>
      <c r="AO74" s="183">
        <f t="shared" si="19"/>
        <v>0</v>
      </c>
      <c r="AP74" s="183">
        <f t="shared" si="20"/>
        <v>16652160</v>
      </c>
      <c r="AR74" s="183">
        <f t="shared" si="21"/>
        <v>0</v>
      </c>
      <c r="AS74" s="183">
        <f t="shared" si="22"/>
        <v>20792160</v>
      </c>
    </row>
    <row r="75" spans="1:49" ht="24.95" customHeight="1" x14ac:dyDescent="0.25">
      <c r="A75" s="184">
        <v>14576</v>
      </c>
      <c r="B75" s="184" t="s">
        <v>82</v>
      </c>
      <c r="C75" s="184" t="s">
        <v>25</v>
      </c>
      <c r="D75" s="179">
        <v>1</v>
      </c>
      <c r="E75" s="179">
        <v>2025</v>
      </c>
      <c r="F75" s="179">
        <v>2025</v>
      </c>
      <c r="G75" s="177" t="s">
        <v>1484</v>
      </c>
      <c r="H75" s="184" t="s">
        <v>82</v>
      </c>
      <c r="I75" s="184" t="s">
        <v>101</v>
      </c>
      <c r="J75" s="177" t="s">
        <v>1649</v>
      </c>
      <c r="K75" s="184" t="s">
        <v>1650</v>
      </c>
      <c r="L75" s="184" t="s">
        <v>1485</v>
      </c>
      <c r="M75" s="184" t="s">
        <v>1486</v>
      </c>
      <c r="N75" s="179">
        <v>13</v>
      </c>
      <c r="O75" s="184" t="s">
        <v>382</v>
      </c>
      <c r="P75" s="184" t="s">
        <v>1652</v>
      </c>
      <c r="Q75" s="184" t="s">
        <v>1487</v>
      </c>
      <c r="R75" s="184" t="s">
        <v>339</v>
      </c>
      <c r="S75" s="184" t="s">
        <v>22</v>
      </c>
      <c r="T75" s="184" t="s">
        <v>347</v>
      </c>
      <c r="U75" s="185">
        <v>20</v>
      </c>
      <c r="V75" s="185">
        <v>96</v>
      </c>
      <c r="W75" s="185">
        <v>16</v>
      </c>
      <c r="X75" s="179">
        <f t="shared" si="23"/>
        <v>112</v>
      </c>
      <c r="Y75" s="185">
        <v>5</v>
      </c>
      <c r="Z75" s="185" t="s">
        <v>20</v>
      </c>
      <c r="AA75" s="185" t="s">
        <v>20</v>
      </c>
      <c r="AB75" s="179" t="s">
        <v>18</v>
      </c>
      <c r="AC75" s="186" t="s">
        <v>21</v>
      </c>
      <c r="AD75" s="181" t="s">
        <v>1653</v>
      </c>
      <c r="AE75" s="179" t="s">
        <v>18</v>
      </c>
      <c r="AG75" s="184" t="s">
        <v>1173</v>
      </c>
      <c r="AH75" s="179">
        <f t="shared" si="15"/>
        <v>23</v>
      </c>
      <c r="AI75" s="179">
        <v>3</v>
      </c>
      <c r="AJ75" s="183">
        <f t="shared" si="16"/>
        <v>7434</v>
      </c>
      <c r="AK75" s="179">
        <f t="shared" si="17"/>
        <v>22.4</v>
      </c>
      <c r="AL75" s="183">
        <v>0</v>
      </c>
      <c r="AM75" s="183">
        <f t="shared" si="11"/>
        <v>1840000</v>
      </c>
      <c r="AN75" s="183">
        <f t="shared" si="18"/>
        <v>2300000</v>
      </c>
      <c r="AO75" s="183">
        <f t="shared" si="19"/>
        <v>0</v>
      </c>
      <c r="AP75" s="183">
        <f t="shared" si="20"/>
        <v>16652160</v>
      </c>
      <c r="AR75" s="183">
        <f t="shared" si="21"/>
        <v>0</v>
      </c>
      <c r="AS75" s="183">
        <f t="shared" si="22"/>
        <v>20792160</v>
      </c>
    </row>
    <row r="76" spans="1:49" ht="24.95" customHeight="1" x14ac:dyDescent="0.25">
      <c r="A76" s="184">
        <v>14577</v>
      </c>
      <c r="B76" s="184" t="s">
        <v>82</v>
      </c>
      <c r="C76" s="184" t="s">
        <v>25</v>
      </c>
      <c r="D76" s="179">
        <v>1</v>
      </c>
      <c r="E76" s="179">
        <v>2025</v>
      </c>
      <c r="F76" s="179">
        <v>2025</v>
      </c>
      <c r="G76" s="177" t="s">
        <v>1484</v>
      </c>
      <c r="H76" s="184" t="s">
        <v>82</v>
      </c>
      <c r="I76" s="184" t="s">
        <v>101</v>
      </c>
      <c r="J76" s="177" t="s">
        <v>1654</v>
      </c>
      <c r="K76" s="184" t="s">
        <v>1655</v>
      </c>
      <c r="L76" s="184" t="s">
        <v>1485</v>
      </c>
      <c r="M76" s="184" t="s">
        <v>1486</v>
      </c>
      <c r="N76" s="179">
        <v>6</v>
      </c>
      <c r="O76" s="184" t="s">
        <v>796</v>
      </c>
      <c r="P76" s="184" t="s">
        <v>818</v>
      </c>
      <c r="Q76" s="184" t="s">
        <v>1487</v>
      </c>
      <c r="R76" s="184" t="s">
        <v>339</v>
      </c>
      <c r="S76" s="184" t="s">
        <v>22</v>
      </c>
      <c r="T76" s="184" t="s">
        <v>347</v>
      </c>
      <c r="U76" s="185">
        <v>20</v>
      </c>
      <c r="V76" s="185">
        <v>184</v>
      </c>
      <c r="W76" s="185">
        <v>16</v>
      </c>
      <c r="X76" s="179">
        <f t="shared" si="23"/>
        <v>200</v>
      </c>
      <c r="Y76" s="185">
        <v>5</v>
      </c>
      <c r="Z76" s="185" t="s">
        <v>20</v>
      </c>
      <c r="AA76" s="185" t="s">
        <v>20</v>
      </c>
      <c r="AB76" s="179" t="s">
        <v>18</v>
      </c>
      <c r="AC76" s="186" t="s">
        <v>21</v>
      </c>
      <c r="AD76" s="181" t="s">
        <v>1656</v>
      </c>
      <c r="AE76" s="179" t="s">
        <v>18</v>
      </c>
      <c r="AG76" s="184" t="s">
        <v>1173</v>
      </c>
      <c r="AH76" s="179">
        <f t="shared" si="15"/>
        <v>40</v>
      </c>
      <c r="AI76" s="179">
        <v>2</v>
      </c>
      <c r="AJ76" s="183">
        <f t="shared" si="16"/>
        <v>6372</v>
      </c>
      <c r="AK76" s="179">
        <f t="shared" si="17"/>
        <v>40</v>
      </c>
      <c r="AL76" s="183">
        <v>0</v>
      </c>
      <c r="AM76" s="183">
        <f t="shared" ref="AM76:AM139" si="24">IF(Z76="SI",4000*U76*AH76,0)</f>
        <v>3200000</v>
      </c>
      <c r="AN76" s="183">
        <f t="shared" si="18"/>
        <v>4000000</v>
      </c>
      <c r="AO76" s="183">
        <f t="shared" si="19"/>
        <v>0</v>
      </c>
      <c r="AP76" s="183">
        <f t="shared" si="20"/>
        <v>25488000</v>
      </c>
      <c r="AR76" s="183">
        <f t="shared" si="21"/>
        <v>0</v>
      </c>
      <c r="AS76" s="183">
        <f t="shared" si="22"/>
        <v>32688000</v>
      </c>
    </row>
    <row r="77" spans="1:49" ht="24.95" customHeight="1" x14ac:dyDescent="0.25">
      <c r="A77" s="184">
        <v>14578</v>
      </c>
      <c r="B77" s="184" t="s">
        <v>82</v>
      </c>
      <c r="C77" s="184" t="s">
        <v>25</v>
      </c>
      <c r="D77" s="179">
        <v>1</v>
      </c>
      <c r="E77" s="179">
        <v>2025</v>
      </c>
      <c r="F77" s="179">
        <v>2025</v>
      </c>
      <c r="G77" s="177" t="s">
        <v>1484</v>
      </c>
      <c r="H77" s="184" t="s">
        <v>82</v>
      </c>
      <c r="I77" s="184" t="s">
        <v>101</v>
      </c>
      <c r="J77" s="177" t="s">
        <v>1654</v>
      </c>
      <c r="K77" s="184" t="s">
        <v>1655</v>
      </c>
      <c r="L77" s="184" t="s">
        <v>1485</v>
      </c>
      <c r="M77" s="184" t="s">
        <v>1486</v>
      </c>
      <c r="N77" s="179">
        <v>13</v>
      </c>
      <c r="O77" s="184" t="s">
        <v>382</v>
      </c>
      <c r="P77" s="184" t="s">
        <v>714</v>
      </c>
      <c r="Q77" s="184" t="s">
        <v>1487</v>
      </c>
      <c r="R77" s="184" t="s">
        <v>339</v>
      </c>
      <c r="S77" s="184" t="s">
        <v>22</v>
      </c>
      <c r="T77" s="184" t="s">
        <v>347</v>
      </c>
      <c r="U77" s="185">
        <v>20</v>
      </c>
      <c r="V77" s="185">
        <v>184</v>
      </c>
      <c r="W77" s="185">
        <v>16</v>
      </c>
      <c r="X77" s="179">
        <f t="shared" si="23"/>
        <v>200</v>
      </c>
      <c r="Y77" s="185">
        <v>5</v>
      </c>
      <c r="Z77" s="185" t="s">
        <v>20</v>
      </c>
      <c r="AA77" s="185" t="s">
        <v>20</v>
      </c>
      <c r="AB77" s="179" t="s">
        <v>18</v>
      </c>
      <c r="AC77" s="186" t="s">
        <v>21</v>
      </c>
      <c r="AD77" s="181" t="s">
        <v>1657</v>
      </c>
      <c r="AE77" s="179" t="s">
        <v>18</v>
      </c>
      <c r="AG77" s="184" t="s">
        <v>1173</v>
      </c>
      <c r="AH77" s="179">
        <f t="shared" si="15"/>
        <v>40</v>
      </c>
      <c r="AI77" s="179">
        <v>2</v>
      </c>
      <c r="AJ77" s="183">
        <f t="shared" si="16"/>
        <v>6372</v>
      </c>
      <c r="AK77" s="179">
        <f t="shared" si="17"/>
        <v>40</v>
      </c>
      <c r="AL77" s="183">
        <v>0</v>
      </c>
      <c r="AM77" s="183">
        <f t="shared" si="24"/>
        <v>3200000</v>
      </c>
      <c r="AN77" s="183">
        <f t="shared" si="18"/>
        <v>4000000</v>
      </c>
      <c r="AO77" s="183">
        <f t="shared" si="19"/>
        <v>0</v>
      </c>
      <c r="AP77" s="183">
        <f t="shared" si="20"/>
        <v>25488000</v>
      </c>
      <c r="AR77" s="183">
        <f t="shared" si="21"/>
        <v>0</v>
      </c>
      <c r="AS77" s="183">
        <f t="shared" si="22"/>
        <v>32688000</v>
      </c>
    </row>
    <row r="78" spans="1:49" ht="24.95" customHeight="1" x14ac:dyDescent="0.25">
      <c r="A78" s="184">
        <v>14579</v>
      </c>
      <c r="B78" s="184" t="s">
        <v>82</v>
      </c>
      <c r="C78" s="184" t="s">
        <v>25</v>
      </c>
      <c r="D78" s="179">
        <v>1</v>
      </c>
      <c r="E78" s="179">
        <v>2025</v>
      </c>
      <c r="F78" s="179">
        <v>2025</v>
      </c>
      <c r="G78" s="177" t="s">
        <v>1484</v>
      </c>
      <c r="H78" s="184" t="s">
        <v>82</v>
      </c>
      <c r="I78" s="184" t="s">
        <v>101</v>
      </c>
      <c r="J78" s="177" t="s">
        <v>1654</v>
      </c>
      <c r="K78" s="184" t="s">
        <v>1655</v>
      </c>
      <c r="L78" s="184" t="s">
        <v>1485</v>
      </c>
      <c r="M78" s="184" t="s">
        <v>1486</v>
      </c>
      <c r="N78" s="179">
        <v>13</v>
      </c>
      <c r="O78" s="184" t="s">
        <v>382</v>
      </c>
      <c r="P78" s="184" t="s">
        <v>730</v>
      </c>
      <c r="Q78" s="184" t="s">
        <v>1487</v>
      </c>
      <c r="R78" s="184" t="s">
        <v>339</v>
      </c>
      <c r="S78" s="184" t="s">
        <v>22</v>
      </c>
      <c r="T78" s="184" t="s">
        <v>347</v>
      </c>
      <c r="U78" s="185">
        <v>20</v>
      </c>
      <c r="V78" s="185">
        <v>184</v>
      </c>
      <c r="W78" s="185">
        <v>16</v>
      </c>
      <c r="X78" s="179">
        <f t="shared" si="23"/>
        <v>200</v>
      </c>
      <c r="Y78" s="185">
        <v>5</v>
      </c>
      <c r="Z78" s="185" t="s">
        <v>20</v>
      </c>
      <c r="AA78" s="185" t="s">
        <v>20</v>
      </c>
      <c r="AB78" s="179" t="s">
        <v>18</v>
      </c>
      <c r="AC78" s="186" t="s">
        <v>21</v>
      </c>
      <c r="AD78" s="181" t="s">
        <v>1658</v>
      </c>
      <c r="AE78" s="179" t="s">
        <v>18</v>
      </c>
      <c r="AG78" s="184" t="s">
        <v>1173</v>
      </c>
      <c r="AH78" s="179">
        <f t="shared" si="15"/>
        <v>40</v>
      </c>
      <c r="AI78" s="179">
        <v>2</v>
      </c>
      <c r="AJ78" s="183">
        <f t="shared" si="16"/>
        <v>6372</v>
      </c>
      <c r="AK78" s="179">
        <f t="shared" si="17"/>
        <v>40</v>
      </c>
      <c r="AL78" s="183">
        <v>0</v>
      </c>
      <c r="AM78" s="183">
        <f t="shared" si="24"/>
        <v>3200000</v>
      </c>
      <c r="AN78" s="183">
        <f t="shared" si="18"/>
        <v>4000000</v>
      </c>
      <c r="AO78" s="183">
        <f t="shared" si="19"/>
        <v>0</v>
      </c>
      <c r="AP78" s="183">
        <f t="shared" si="20"/>
        <v>25488000</v>
      </c>
      <c r="AR78" s="183">
        <f t="shared" si="21"/>
        <v>0</v>
      </c>
      <c r="AS78" s="183">
        <f t="shared" si="22"/>
        <v>32688000</v>
      </c>
    </row>
    <row r="79" spans="1:49" ht="24.95" customHeight="1" x14ac:dyDescent="0.25">
      <c r="A79" s="184">
        <v>14580</v>
      </c>
      <c r="B79" s="184" t="s">
        <v>82</v>
      </c>
      <c r="C79" s="184" t="s">
        <v>25</v>
      </c>
      <c r="D79" s="179">
        <v>1</v>
      </c>
      <c r="E79" s="179">
        <v>2025</v>
      </c>
      <c r="F79" s="179">
        <v>2025</v>
      </c>
      <c r="G79" s="177" t="s">
        <v>1484</v>
      </c>
      <c r="H79" s="184" t="s">
        <v>82</v>
      </c>
      <c r="I79" s="184" t="s">
        <v>101</v>
      </c>
      <c r="J79" s="177" t="s">
        <v>770</v>
      </c>
      <c r="K79" s="184" t="s">
        <v>769</v>
      </c>
      <c r="L79" s="184" t="s">
        <v>1485</v>
      </c>
      <c r="M79" s="184" t="s">
        <v>1486</v>
      </c>
      <c r="N79" s="179">
        <v>8</v>
      </c>
      <c r="O79" s="184" t="s">
        <v>709</v>
      </c>
      <c r="P79" s="184" t="s">
        <v>710</v>
      </c>
      <c r="Q79" s="184" t="s">
        <v>1487</v>
      </c>
      <c r="R79" s="184" t="s">
        <v>339</v>
      </c>
      <c r="S79" s="184" t="s">
        <v>22</v>
      </c>
      <c r="T79" s="184" t="s">
        <v>347</v>
      </c>
      <c r="U79" s="185">
        <v>20</v>
      </c>
      <c r="V79" s="185">
        <v>240</v>
      </c>
      <c r="W79" s="185">
        <v>16</v>
      </c>
      <c r="X79" s="179">
        <f t="shared" si="23"/>
        <v>256</v>
      </c>
      <c r="Y79" s="185">
        <v>5</v>
      </c>
      <c r="Z79" s="185" t="s">
        <v>20</v>
      </c>
      <c r="AA79" s="185" t="s">
        <v>20</v>
      </c>
      <c r="AB79" s="179" t="s">
        <v>18</v>
      </c>
      <c r="AC79" s="186" t="s">
        <v>21</v>
      </c>
      <c r="AD79" s="181" t="s">
        <v>1659</v>
      </c>
      <c r="AE79" s="179" t="s">
        <v>18</v>
      </c>
      <c r="AG79" s="184" t="s">
        <v>1173</v>
      </c>
      <c r="AH79" s="179">
        <f t="shared" si="15"/>
        <v>52</v>
      </c>
      <c r="AI79" s="179">
        <v>2</v>
      </c>
      <c r="AJ79" s="183">
        <f t="shared" si="16"/>
        <v>6372</v>
      </c>
      <c r="AK79" s="179">
        <f t="shared" si="17"/>
        <v>51.2</v>
      </c>
      <c r="AL79" s="183">
        <v>0</v>
      </c>
      <c r="AM79" s="183">
        <f t="shared" si="24"/>
        <v>4160000</v>
      </c>
      <c r="AN79" s="183">
        <f t="shared" si="18"/>
        <v>5200000</v>
      </c>
      <c r="AO79" s="183">
        <f t="shared" si="19"/>
        <v>0</v>
      </c>
      <c r="AP79" s="183">
        <f t="shared" si="20"/>
        <v>32624640</v>
      </c>
      <c r="AR79" s="183">
        <f t="shared" si="21"/>
        <v>0</v>
      </c>
      <c r="AS79" s="183">
        <f t="shared" si="22"/>
        <v>41984640</v>
      </c>
    </row>
    <row r="80" spans="1:49" ht="24.95" customHeight="1" x14ac:dyDescent="0.25">
      <c r="A80" s="184">
        <v>14581</v>
      </c>
      <c r="B80" s="184" t="s">
        <v>82</v>
      </c>
      <c r="C80" s="184" t="s">
        <v>25</v>
      </c>
      <c r="D80" s="179">
        <v>1</v>
      </c>
      <c r="E80" s="179">
        <v>2025</v>
      </c>
      <c r="F80" s="179">
        <v>2025</v>
      </c>
      <c r="G80" s="177" t="s">
        <v>1484</v>
      </c>
      <c r="H80" s="184" t="s">
        <v>82</v>
      </c>
      <c r="I80" s="184" t="s">
        <v>101</v>
      </c>
      <c r="J80" s="177" t="s">
        <v>770</v>
      </c>
      <c r="K80" s="184" t="s">
        <v>769</v>
      </c>
      <c r="L80" s="184" t="s">
        <v>1485</v>
      </c>
      <c r="M80" s="184" t="s">
        <v>1486</v>
      </c>
      <c r="N80" s="179">
        <v>13</v>
      </c>
      <c r="O80" s="184" t="s">
        <v>382</v>
      </c>
      <c r="P80" s="184" t="s">
        <v>724</v>
      </c>
      <c r="Q80" s="184" t="s">
        <v>1487</v>
      </c>
      <c r="R80" s="184" t="s">
        <v>339</v>
      </c>
      <c r="S80" s="184" t="s">
        <v>22</v>
      </c>
      <c r="T80" s="184" t="s">
        <v>347</v>
      </c>
      <c r="U80" s="185">
        <v>19</v>
      </c>
      <c r="V80" s="185">
        <v>240</v>
      </c>
      <c r="W80" s="185">
        <v>16</v>
      </c>
      <c r="X80" s="179">
        <f t="shared" si="23"/>
        <v>256</v>
      </c>
      <c r="Y80" s="185">
        <v>5</v>
      </c>
      <c r="Z80" s="185" t="s">
        <v>20</v>
      </c>
      <c r="AA80" s="185" t="s">
        <v>20</v>
      </c>
      <c r="AB80" s="179" t="s">
        <v>18</v>
      </c>
      <c r="AC80" s="186" t="s">
        <v>21</v>
      </c>
      <c r="AD80" s="181" t="s">
        <v>1660</v>
      </c>
      <c r="AE80" s="179" t="s">
        <v>18</v>
      </c>
      <c r="AG80" s="184" t="s">
        <v>1173</v>
      </c>
      <c r="AH80" s="179">
        <f t="shared" si="15"/>
        <v>52</v>
      </c>
      <c r="AI80" s="179">
        <v>2</v>
      </c>
      <c r="AJ80" s="183">
        <f t="shared" si="16"/>
        <v>6372</v>
      </c>
      <c r="AK80" s="179">
        <f t="shared" si="17"/>
        <v>51.2</v>
      </c>
      <c r="AL80" s="183">
        <v>0</v>
      </c>
      <c r="AM80" s="183">
        <f t="shared" si="24"/>
        <v>3952000</v>
      </c>
      <c r="AN80" s="183">
        <f t="shared" si="18"/>
        <v>4940000</v>
      </c>
      <c r="AO80" s="183">
        <f t="shared" si="19"/>
        <v>0</v>
      </c>
      <c r="AP80" s="183">
        <f t="shared" si="20"/>
        <v>30993408</v>
      </c>
      <c r="AR80" s="183">
        <f t="shared" si="21"/>
        <v>0</v>
      </c>
      <c r="AS80" s="183">
        <f t="shared" si="22"/>
        <v>39885408</v>
      </c>
    </row>
    <row r="81" spans="1:49" ht="24.95" customHeight="1" x14ac:dyDescent="0.25">
      <c r="A81" s="184">
        <v>14582</v>
      </c>
      <c r="B81" s="184" t="s">
        <v>82</v>
      </c>
      <c r="C81" s="184" t="s">
        <v>25</v>
      </c>
      <c r="D81" s="179">
        <v>1</v>
      </c>
      <c r="E81" s="179">
        <v>2025</v>
      </c>
      <c r="F81" s="179">
        <v>2025</v>
      </c>
      <c r="G81" s="177" t="s">
        <v>1484</v>
      </c>
      <c r="H81" s="184" t="s">
        <v>82</v>
      </c>
      <c r="I81" s="184" t="s">
        <v>101</v>
      </c>
      <c r="J81" s="177" t="s">
        <v>770</v>
      </c>
      <c r="K81" s="184" t="s">
        <v>769</v>
      </c>
      <c r="L81" s="184" t="s">
        <v>1485</v>
      </c>
      <c r="M81" s="184" t="s">
        <v>1486</v>
      </c>
      <c r="N81" s="179">
        <v>13</v>
      </c>
      <c r="O81" s="184" t="s">
        <v>382</v>
      </c>
      <c r="P81" s="184" t="s">
        <v>714</v>
      </c>
      <c r="Q81" s="184" t="s">
        <v>1487</v>
      </c>
      <c r="R81" s="184" t="s">
        <v>339</v>
      </c>
      <c r="S81" s="184" t="s">
        <v>22</v>
      </c>
      <c r="T81" s="184" t="s">
        <v>347</v>
      </c>
      <c r="U81" s="185">
        <v>19</v>
      </c>
      <c r="V81" s="185">
        <v>240</v>
      </c>
      <c r="W81" s="185">
        <v>16</v>
      </c>
      <c r="X81" s="179">
        <f t="shared" si="23"/>
        <v>256</v>
      </c>
      <c r="Y81" s="185">
        <v>5</v>
      </c>
      <c r="Z81" s="185" t="s">
        <v>20</v>
      </c>
      <c r="AA81" s="185" t="s">
        <v>20</v>
      </c>
      <c r="AB81" s="179" t="s">
        <v>18</v>
      </c>
      <c r="AC81" s="186" t="s">
        <v>21</v>
      </c>
      <c r="AD81" s="181" t="s">
        <v>1661</v>
      </c>
      <c r="AE81" s="179" t="s">
        <v>18</v>
      </c>
      <c r="AG81" s="184" t="s">
        <v>1173</v>
      </c>
      <c r="AH81" s="179">
        <f t="shared" si="15"/>
        <v>52</v>
      </c>
      <c r="AI81" s="179">
        <v>2</v>
      </c>
      <c r="AJ81" s="183">
        <f t="shared" si="16"/>
        <v>6372</v>
      </c>
      <c r="AK81" s="179">
        <f t="shared" si="17"/>
        <v>51.2</v>
      </c>
      <c r="AL81" s="183">
        <v>0</v>
      </c>
      <c r="AM81" s="183">
        <f t="shared" si="24"/>
        <v>3952000</v>
      </c>
      <c r="AN81" s="183">
        <f t="shared" si="18"/>
        <v>4940000</v>
      </c>
      <c r="AO81" s="183">
        <f t="shared" si="19"/>
        <v>0</v>
      </c>
      <c r="AP81" s="183">
        <f t="shared" si="20"/>
        <v>30993408</v>
      </c>
      <c r="AR81" s="183">
        <f t="shared" si="21"/>
        <v>0</v>
      </c>
      <c r="AS81" s="183">
        <f t="shared" si="22"/>
        <v>39885408</v>
      </c>
    </row>
    <row r="82" spans="1:49" ht="24.95" customHeight="1" x14ac:dyDescent="0.25">
      <c r="A82" s="184">
        <v>14583</v>
      </c>
      <c r="B82" s="184" t="s">
        <v>82</v>
      </c>
      <c r="C82" s="184" t="s">
        <v>25</v>
      </c>
      <c r="D82" s="179">
        <v>1</v>
      </c>
      <c r="E82" s="179">
        <v>2025</v>
      </c>
      <c r="F82" s="179">
        <v>2025</v>
      </c>
      <c r="G82" s="177" t="s">
        <v>1484</v>
      </c>
      <c r="H82" s="184" t="s">
        <v>82</v>
      </c>
      <c r="I82" s="184" t="s">
        <v>101</v>
      </c>
      <c r="J82" s="177" t="s">
        <v>770</v>
      </c>
      <c r="K82" s="184" t="s">
        <v>769</v>
      </c>
      <c r="L82" s="184" t="s">
        <v>1485</v>
      </c>
      <c r="M82" s="184" t="s">
        <v>1486</v>
      </c>
      <c r="N82" s="179">
        <v>13</v>
      </c>
      <c r="O82" s="184" t="s">
        <v>382</v>
      </c>
      <c r="P82" s="184" t="s">
        <v>1652</v>
      </c>
      <c r="Q82" s="184" t="s">
        <v>1487</v>
      </c>
      <c r="R82" s="184" t="s">
        <v>339</v>
      </c>
      <c r="S82" s="184" t="s">
        <v>22</v>
      </c>
      <c r="T82" s="184" t="s">
        <v>347</v>
      </c>
      <c r="U82" s="185">
        <v>19</v>
      </c>
      <c r="V82" s="185">
        <v>240</v>
      </c>
      <c r="W82" s="185">
        <v>16</v>
      </c>
      <c r="X82" s="179">
        <f t="shared" si="23"/>
        <v>256</v>
      </c>
      <c r="Y82" s="185">
        <v>5</v>
      </c>
      <c r="Z82" s="185" t="s">
        <v>20</v>
      </c>
      <c r="AA82" s="185" t="s">
        <v>20</v>
      </c>
      <c r="AB82" s="179" t="s">
        <v>18</v>
      </c>
      <c r="AC82" s="186" t="s">
        <v>21</v>
      </c>
      <c r="AD82" s="181" t="s">
        <v>1662</v>
      </c>
      <c r="AE82" s="179" t="s">
        <v>18</v>
      </c>
      <c r="AG82" s="184" t="s">
        <v>1173</v>
      </c>
      <c r="AH82" s="179">
        <f t="shared" si="15"/>
        <v>52</v>
      </c>
      <c r="AI82" s="179">
        <v>2</v>
      </c>
      <c r="AJ82" s="183">
        <f t="shared" si="16"/>
        <v>6372</v>
      </c>
      <c r="AK82" s="179">
        <f t="shared" si="17"/>
        <v>51.2</v>
      </c>
      <c r="AL82" s="183">
        <v>0</v>
      </c>
      <c r="AM82" s="183">
        <f t="shared" si="24"/>
        <v>3952000</v>
      </c>
      <c r="AN82" s="183">
        <f t="shared" si="18"/>
        <v>4940000</v>
      </c>
      <c r="AO82" s="183">
        <f t="shared" si="19"/>
        <v>0</v>
      </c>
      <c r="AP82" s="183">
        <f t="shared" si="20"/>
        <v>30993408</v>
      </c>
      <c r="AR82" s="183">
        <f t="shared" si="21"/>
        <v>0</v>
      </c>
      <c r="AS82" s="183">
        <f t="shared" si="22"/>
        <v>39885408</v>
      </c>
    </row>
    <row r="83" spans="1:49" ht="24.95" customHeight="1" x14ac:dyDescent="0.25">
      <c r="A83" s="184">
        <v>14536</v>
      </c>
      <c r="B83" s="184" t="s">
        <v>1491</v>
      </c>
      <c r="C83" s="184" t="s">
        <v>1492</v>
      </c>
      <c r="D83" s="179">
        <v>1</v>
      </c>
      <c r="E83" s="179">
        <v>2025</v>
      </c>
      <c r="F83" s="179">
        <v>2025</v>
      </c>
      <c r="G83" s="177" t="s">
        <v>1466</v>
      </c>
      <c r="H83" s="184" t="s">
        <v>336</v>
      </c>
      <c r="I83" s="184" t="s">
        <v>1467</v>
      </c>
      <c r="J83" s="177" t="s">
        <v>413</v>
      </c>
      <c r="K83" s="184" t="s">
        <v>414</v>
      </c>
      <c r="L83" s="184" t="s">
        <v>345</v>
      </c>
      <c r="M83" s="184" t="s">
        <v>346</v>
      </c>
      <c r="N83" s="184">
        <v>9</v>
      </c>
      <c r="O83" s="184" t="s">
        <v>424</v>
      </c>
      <c r="P83" s="184" t="s">
        <v>834</v>
      </c>
      <c r="Q83" s="184" t="s">
        <v>1493</v>
      </c>
      <c r="R83" s="184" t="s">
        <v>339</v>
      </c>
      <c r="S83" s="184" t="s">
        <v>19</v>
      </c>
      <c r="T83" s="184" t="s">
        <v>337</v>
      </c>
      <c r="U83" s="185">
        <v>20</v>
      </c>
      <c r="V83" s="185">
        <v>100</v>
      </c>
      <c r="W83" s="185">
        <v>12</v>
      </c>
      <c r="X83" s="179">
        <f t="shared" si="23"/>
        <v>112</v>
      </c>
      <c r="Y83" s="185">
        <v>4</v>
      </c>
      <c r="Z83" s="185" t="s">
        <v>20</v>
      </c>
      <c r="AA83" s="185" t="s">
        <v>20</v>
      </c>
      <c r="AB83" s="185" t="s">
        <v>20</v>
      </c>
      <c r="AC83" s="186" t="s">
        <v>21</v>
      </c>
      <c r="AD83" s="181" t="s">
        <v>1663</v>
      </c>
      <c r="AE83" s="179" t="s">
        <v>18</v>
      </c>
      <c r="AF83" s="186"/>
      <c r="AG83" s="184" t="s">
        <v>1495</v>
      </c>
      <c r="AH83" s="179">
        <f t="shared" si="15"/>
        <v>28</v>
      </c>
      <c r="AI83" s="179">
        <v>2</v>
      </c>
      <c r="AJ83" s="183">
        <f t="shared" si="16"/>
        <v>6372</v>
      </c>
      <c r="AK83" s="179">
        <f t="shared" si="17"/>
        <v>28</v>
      </c>
      <c r="AL83" s="183">
        <v>0</v>
      </c>
      <c r="AM83" s="183">
        <f t="shared" si="24"/>
        <v>2240000</v>
      </c>
      <c r="AN83" s="183">
        <f t="shared" si="18"/>
        <v>2800000</v>
      </c>
      <c r="AO83" s="183">
        <f t="shared" si="19"/>
        <v>5400000</v>
      </c>
      <c r="AP83" s="183">
        <f t="shared" si="20"/>
        <v>14273280</v>
      </c>
      <c r="AR83" s="183">
        <f t="shared" si="21"/>
        <v>0</v>
      </c>
      <c r="AS83" s="183">
        <f t="shared" si="22"/>
        <v>24713280</v>
      </c>
    </row>
    <row r="84" spans="1:49" ht="24.95" customHeight="1" x14ac:dyDescent="0.25">
      <c r="A84" s="184">
        <v>14541</v>
      </c>
      <c r="B84" s="184" t="s">
        <v>1491</v>
      </c>
      <c r="C84" s="184" t="s">
        <v>1492</v>
      </c>
      <c r="D84" s="179">
        <v>1</v>
      </c>
      <c r="E84" s="179">
        <v>2025</v>
      </c>
      <c r="F84" s="179">
        <v>2025</v>
      </c>
      <c r="G84" s="177" t="s">
        <v>1466</v>
      </c>
      <c r="H84" s="184" t="s">
        <v>336</v>
      </c>
      <c r="I84" s="184" t="s">
        <v>1467</v>
      </c>
      <c r="J84" s="177" t="s">
        <v>413</v>
      </c>
      <c r="K84" s="184" t="s">
        <v>414</v>
      </c>
      <c r="L84" s="184" t="s">
        <v>345</v>
      </c>
      <c r="M84" s="184" t="s">
        <v>346</v>
      </c>
      <c r="N84" s="184">
        <v>9</v>
      </c>
      <c r="O84" s="184" t="s">
        <v>424</v>
      </c>
      <c r="P84" s="184" t="s">
        <v>1664</v>
      </c>
      <c r="Q84" s="184" t="s">
        <v>1493</v>
      </c>
      <c r="R84" s="184" t="s">
        <v>339</v>
      </c>
      <c r="S84" s="184" t="s">
        <v>19</v>
      </c>
      <c r="T84" s="184" t="s">
        <v>337</v>
      </c>
      <c r="U84" s="185">
        <v>20</v>
      </c>
      <c r="V84" s="185">
        <v>100</v>
      </c>
      <c r="W84" s="185">
        <v>12</v>
      </c>
      <c r="X84" s="179">
        <f t="shared" si="23"/>
        <v>112</v>
      </c>
      <c r="Y84" s="185">
        <v>4</v>
      </c>
      <c r="Z84" s="185" t="s">
        <v>20</v>
      </c>
      <c r="AA84" s="185" t="s">
        <v>20</v>
      </c>
      <c r="AB84" s="185" t="s">
        <v>20</v>
      </c>
      <c r="AC84" s="186" t="s">
        <v>21</v>
      </c>
      <c r="AD84" s="181" t="s">
        <v>1663</v>
      </c>
      <c r="AE84" s="179" t="s">
        <v>18</v>
      </c>
      <c r="AF84" s="186"/>
      <c r="AG84" s="184" t="s">
        <v>1495</v>
      </c>
      <c r="AH84" s="179">
        <f t="shared" si="15"/>
        <v>28</v>
      </c>
      <c r="AI84" s="179">
        <v>2</v>
      </c>
      <c r="AJ84" s="183">
        <f t="shared" si="16"/>
        <v>6372</v>
      </c>
      <c r="AK84" s="179">
        <f t="shared" si="17"/>
        <v>28</v>
      </c>
      <c r="AL84" s="183">
        <v>0</v>
      </c>
      <c r="AM84" s="183">
        <f t="shared" si="24"/>
        <v>2240000</v>
      </c>
      <c r="AN84" s="183">
        <f t="shared" si="18"/>
        <v>2800000</v>
      </c>
      <c r="AO84" s="183">
        <f t="shared" si="19"/>
        <v>5400000</v>
      </c>
      <c r="AP84" s="183">
        <f t="shared" si="20"/>
        <v>14273280</v>
      </c>
      <c r="AR84" s="183">
        <f t="shared" si="21"/>
        <v>0</v>
      </c>
      <c r="AS84" s="183">
        <f t="shared" si="22"/>
        <v>24713280</v>
      </c>
    </row>
    <row r="85" spans="1:49" ht="24.95" customHeight="1" x14ac:dyDescent="0.25">
      <c r="A85" s="184">
        <v>14545</v>
      </c>
      <c r="B85" s="184" t="s">
        <v>1491</v>
      </c>
      <c r="C85" s="184" t="s">
        <v>1492</v>
      </c>
      <c r="D85" s="179">
        <v>1</v>
      </c>
      <c r="E85" s="179">
        <v>2025</v>
      </c>
      <c r="F85" s="179">
        <v>2025</v>
      </c>
      <c r="G85" s="177" t="s">
        <v>1466</v>
      </c>
      <c r="H85" s="184" t="s">
        <v>336</v>
      </c>
      <c r="I85" s="184" t="s">
        <v>1467</v>
      </c>
      <c r="J85" s="177" t="s">
        <v>1665</v>
      </c>
      <c r="K85" s="184" t="s">
        <v>1666</v>
      </c>
      <c r="L85" s="184" t="s">
        <v>21</v>
      </c>
      <c r="M85" s="184" t="s">
        <v>21</v>
      </c>
      <c r="N85" s="184">
        <v>9</v>
      </c>
      <c r="O85" s="184" t="s">
        <v>424</v>
      </c>
      <c r="P85" s="184" t="s">
        <v>421</v>
      </c>
      <c r="Q85" s="184" t="s">
        <v>1667</v>
      </c>
      <c r="R85" s="184" t="s">
        <v>339</v>
      </c>
      <c r="S85" s="184" t="s">
        <v>19</v>
      </c>
      <c r="T85" s="184" t="s">
        <v>337</v>
      </c>
      <c r="U85" s="185">
        <v>20</v>
      </c>
      <c r="V85" s="185">
        <v>72</v>
      </c>
      <c r="W85" s="185" t="s">
        <v>21</v>
      </c>
      <c r="X85" s="179">
        <f t="shared" si="23"/>
        <v>72</v>
      </c>
      <c r="Y85" s="185">
        <v>4</v>
      </c>
      <c r="Z85" s="185" t="s">
        <v>20</v>
      </c>
      <c r="AA85" s="185" t="s">
        <v>20</v>
      </c>
      <c r="AB85" s="185" t="s">
        <v>18</v>
      </c>
      <c r="AC85" s="186" t="s">
        <v>21</v>
      </c>
      <c r="AD85" s="181" t="s">
        <v>1668</v>
      </c>
      <c r="AE85" s="179" t="s">
        <v>18</v>
      </c>
      <c r="AF85" s="186"/>
      <c r="AG85" s="184" t="s">
        <v>1173</v>
      </c>
      <c r="AH85" s="179">
        <f t="shared" si="15"/>
        <v>18</v>
      </c>
      <c r="AI85" s="179">
        <v>2</v>
      </c>
      <c r="AJ85" s="183">
        <f t="shared" si="16"/>
        <v>6372</v>
      </c>
      <c r="AK85" s="179">
        <f t="shared" si="17"/>
        <v>18</v>
      </c>
      <c r="AL85" s="183">
        <v>0</v>
      </c>
      <c r="AM85" s="183">
        <f t="shared" si="24"/>
        <v>1440000</v>
      </c>
      <c r="AN85" s="183">
        <f t="shared" si="18"/>
        <v>1800000</v>
      </c>
      <c r="AO85" s="183">
        <f t="shared" si="19"/>
        <v>0</v>
      </c>
      <c r="AP85" s="183">
        <f t="shared" si="20"/>
        <v>9175680</v>
      </c>
      <c r="AR85" s="183">
        <f t="shared" si="21"/>
        <v>0</v>
      </c>
      <c r="AS85" s="183">
        <f t="shared" si="22"/>
        <v>12415680</v>
      </c>
    </row>
    <row r="86" spans="1:49" ht="24.95" customHeight="1" x14ac:dyDescent="0.25">
      <c r="A86" s="184">
        <v>14549</v>
      </c>
      <c r="B86" s="184" t="s">
        <v>1491</v>
      </c>
      <c r="C86" s="184" t="s">
        <v>1492</v>
      </c>
      <c r="D86" s="179">
        <v>1</v>
      </c>
      <c r="E86" s="179">
        <v>2025</v>
      </c>
      <c r="F86" s="179">
        <v>2025</v>
      </c>
      <c r="G86" s="177" t="s">
        <v>1466</v>
      </c>
      <c r="H86" s="184" t="s">
        <v>336</v>
      </c>
      <c r="I86" s="184" t="s">
        <v>1467</v>
      </c>
      <c r="J86" s="177" t="s">
        <v>1481</v>
      </c>
      <c r="K86" s="184" t="s">
        <v>1482</v>
      </c>
      <c r="L86" s="184" t="s">
        <v>345</v>
      </c>
      <c r="M86" s="184" t="s">
        <v>346</v>
      </c>
      <c r="N86" s="184">
        <v>9</v>
      </c>
      <c r="O86" s="184" t="s">
        <v>424</v>
      </c>
      <c r="P86" s="184" t="s">
        <v>1669</v>
      </c>
      <c r="Q86" s="184" t="s">
        <v>1493</v>
      </c>
      <c r="R86" s="184" t="s">
        <v>339</v>
      </c>
      <c r="S86" s="184" t="s">
        <v>19</v>
      </c>
      <c r="T86" s="184" t="s">
        <v>337</v>
      </c>
      <c r="U86" s="185">
        <v>20</v>
      </c>
      <c r="V86" s="185">
        <v>170</v>
      </c>
      <c r="W86" s="185">
        <v>12</v>
      </c>
      <c r="X86" s="179">
        <f t="shared" si="23"/>
        <v>182</v>
      </c>
      <c r="Y86" s="185">
        <v>4</v>
      </c>
      <c r="Z86" s="185" t="s">
        <v>20</v>
      </c>
      <c r="AA86" s="185" t="s">
        <v>20</v>
      </c>
      <c r="AB86" s="185" t="s">
        <v>20</v>
      </c>
      <c r="AC86" s="186" t="s">
        <v>21</v>
      </c>
      <c r="AD86" s="181" t="s">
        <v>1605</v>
      </c>
      <c r="AE86" s="179" t="s">
        <v>18</v>
      </c>
      <c r="AF86" s="186"/>
      <c r="AG86" s="184" t="s">
        <v>1495</v>
      </c>
      <c r="AH86" s="179">
        <f t="shared" si="15"/>
        <v>46</v>
      </c>
      <c r="AI86" s="179">
        <v>2</v>
      </c>
      <c r="AJ86" s="183">
        <f t="shared" si="16"/>
        <v>6372</v>
      </c>
      <c r="AK86" s="179">
        <f t="shared" si="17"/>
        <v>45.5</v>
      </c>
      <c r="AL86" s="183">
        <v>0</v>
      </c>
      <c r="AM86" s="183">
        <f t="shared" si="24"/>
        <v>3680000</v>
      </c>
      <c r="AN86" s="183">
        <f t="shared" si="18"/>
        <v>4600000</v>
      </c>
      <c r="AO86" s="183">
        <f t="shared" si="19"/>
        <v>5400000</v>
      </c>
      <c r="AP86" s="183">
        <f t="shared" si="20"/>
        <v>23194080</v>
      </c>
      <c r="AR86" s="183">
        <f t="shared" si="21"/>
        <v>0</v>
      </c>
      <c r="AS86" s="183">
        <f t="shared" si="22"/>
        <v>36874080</v>
      </c>
    </row>
    <row r="87" spans="1:49" ht="24.95" customHeight="1" x14ac:dyDescent="0.25">
      <c r="A87" s="184">
        <v>14550</v>
      </c>
      <c r="B87" s="184" t="s">
        <v>1491</v>
      </c>
      <c r="C87" s="184" t="s">
        <v>1492</v>
      </c>
      <c r="D87" s="179">
        <v>1</v>
      </c>
      <c r="E87" s="179">
        <v>2025</v>
      </c>
      <c r="F87" s="179">
        <v>2025</v>
      </c>
      <c r="G87" s="177" t="s">
        <v>1466</v>
      </c>
      <c r="H87" s="184" t="s">
        <v>336</v>
      </c>
      <c r="I87" s="184" t="s">
        <v>1467</v>
      </c>
      <c r="J87" s="177" t="s">
        <v>1481</v>
      </c>
      <c r="K87" s="184" t="s">
        <v>1482</v>
      </c>
      <c r="L87" s="184" t="s">
        <v>345</v>
      </c>
      <c r="M87" s="184" t="s">
        <v>346</v>
      </c>
      <c r="N87" s="184">
        <v>9</v>
      </c>
      <c r="O87" s="184" t="s">
        <v>424</v>
      </c>
      <c r="P87" s="184" t="s">
        <v>1670</v>
      </c>
      <c r="Q87" s="184" t="s">
        <v>1493</v>
      </c>
      <c r="R87" s="184" t="s">
        <v>339</v>
      </c>
      <c r="S87" s="184" t="s">
        <v>19</v>
      </c>
      <c r="T87" s="184" t="s">
        <v>337</v>
      </c>
      <c r="U87" s="185">
        <v>20</v>
      </c>
      <c r="V87" s="185">
        <v>170</v>
      </c>
      <c r="W87" s="185">
        <v>12</v>
      </c>
      <c r="X87" s="179">
        <f t="shared" si="23"/>
        <v>182</v>
      </c>
      <c r="Y87" s="185">
        <v>4</v>
      </c>
      <c r="Z87" s="185" t="s">
        <v>20</v>
      </c>
      <c r="AA87" s="185" t="s">
        <v>20</v>
      </c>
      <c r="AB87" s="185" t="s">
        <v>20</v>
      </c>
      <c r="AC87" s="186" t="s">
        <v>21</v>
      </c>
      <c r="AD87" s="181" t="s">
        <v>1605</v>
      </c>
      <c r="AE87" s="179" t="s">
        <v>18</v>
      </c>
      <c r="AF87" s="186"/>
      <c r="AG87" s="184" t="s">
        <v>1495</v>
      </c>
      <c r="AH87" s="179">
        <f t="shared" si="15"/>
        <v>46</v>
      </c>
      <c r="AI87" s="179">
        <v>2</v>
      </c>
      <c r="AJ87" s="183">
        <f t="shared" si="16"/>
        <v>6372</v>
      </c>
      <c r="AK87" s="179">
        <f t="shared" si="17"/>
        <v>45.5</v>
      </c>
      <c r="AL87" s="183">
        <v>0</v>
      </c>
      <c r="AM87" s="183">
        <f t="shared" si="24"/>
        <v>3680000</v>
      </c>
      <c r="AN87" s="183">
        <f t="shared" si="18"/>
        <v>4600000</v>
      </c>
      <c r="AO87" s="183">
        <f t="shared" si="19"/>
        <v>5400000</v>
      </c>
      <c r="AP87" s="183">
        <f t="shared" si="20"/>
        <v>23194080</v>
      </c>
      <c r="AR87" s="183">
        <f t="shared" si="21"/>
        <v>0</v>
      </c>
      <c r="AS87" s="183">
        <f t="shared" si="22"/>
        <v>36874080</v>
      </c>
    </row>
    <row r="88" spans="1:49" ht="24.95" customHeight="1" x14ac:dyDescent="0.25">
      <c r="A88" s="184">
        <v>14551</v>
      </c>
      <c r="B88" s="184" t="s">
        <v>1491</v>
      </c>
      <c r="C88" s="184" t="s">
        <v>1492</v>
      </c>
      <c r="D88" s="179">
        <v>1</v>
      </c>
      <c r="E88" s="179">
        <v>2025</v>
      </c>
      <c r="F88" s="179">
        <v>2025</v>
      </c>
      <c r="G88" s="177" t="s">
        <v>1466</v>
      </c>
      <c r="H88" s="184" t="s">
        <v>336</v>
      </c>
      <c r="I88" s="184" t="s">
        <v>1467</v>
      </c>
      <c r="J88" s="177" t="s">
        <v>1481</v>
      </c>
      <c r="K88" s="184" t="s">
        <v>1482</v>
      </c>
      <c r="L88" s="184" t="s">
        <v>345</v>
      </c>
      <c r="M88" s="184" t="s">
        <v>346</v>
      </c>
      <c r="N88" s="184">
        <v>9</v>
      </c>
      <c r="O88" s="184" t="s">
        <v>424</v>
      </c>
      <c r="P88" s="184" t="s">
        <v>862</v>
      </c>
      <c r="Q88" s="184" t="s">
        <v>1493</v>
      </c>
      <c r="R88" s="184" t="s">
        <v>339</v>
      </c>
      <c r="S88" s="184" t="s">
        <v>19</v>
      </c>
      <c r="T88" s="184" t="s">
        <v>337</v>
      </c>
      <c r="U88" s="185">
        <v>20</v>
      </c>
      <c r="V88" s="185">
        <v>170</v>
      </c>
      <c r="W88" s="185">
        <v>12</v>
      </c>
      <c r="X88" s="179">
        <f t="shared" si="23"/>
        <v>182</v>
      </c>
      <c r="Y88" s="185">
        <v>4</v>
      </c>
      <c r="Z88" s="185" t="s">
        <v>20</v>
      </c>
      <c r="AA88" s="185" t="s">
        <v>20</v>
      </c>
      <c r="AB88" s="185" t="s">
        <v>20</v>
      </c>
      <c r="AC88" s="186" t="s">
        <v>21</v>
      </c>
      <c r="AD88" s="181" t="s">
        <v>1605</v>
      </c>
      <c r="AE88" s="179" t="s">
        <v>18</v>
      </c>
      <c r="AF88" s="186"/>
      <c r="AG88" s="184" t="s">
        <v>1495</v>
      </c>
      <c r="AH88" s="179">
        <f t="shared" si="15"/>
        <v>46</v>
      </c>
      <c r="AI88" s="179">
        <v>2</v>
      </c>
      <c r="AJ88" s="183">
        <f t="shared" si="16"/>
        <v>6372</v>
      </c>
      <c r="AK88" s="179">
        <f t="shared" si="17"/>
        <v>45.5</v>
      </c>
      <c r="AL88" s="183">
        <v>0</v>
      </c>
      <c r="AM88" s="183">
        <f t="shared" si="24"/>
        <v>3680000</v>
      </c>
      <c r="AN88" s="183">
        <f t="shared" si="18"/>
        <v>4600000</v>
      </c>
      <c r="AO88" s="183">
        <f t="shared" si="19"/>
        <v>5400000</v>
      </c>
      <c r="AP88" s="183">
        <f t="shared" si="20"/>
        <v>23194080</v>
      </c>
      <c r="AR88" s="183">
        <f t="shared" si="21"/>
        <v>0</v>
      </c>
      <c r="AS88" s="183">
        <f t="shared" si="22"/>
        <v>36874080</v>
      </c>
    </row>
    <row r="89" spans="1:49" ht="24.95" customHeight="1" x14ac:dyDescent="0.25">
      <c r="A89" s="184">
        <v>14552</v>
      </c>
      <c r="B89" s="184" t="s">
        <v>1491</v>
      </c>
      <c r="C89" s="184" t="s">
        <v>1492</v>
      </c>
      <c r="D89" s="179">
        <v>1</v>
      </c>
      <c r="E89" s="179">
        <v>2025</v>
      </c>
      <c r="F89" s="179">
        <v>2025</v>
      </c>
      <c r="G89" s="177" t="s">
        <v>1466</v>
      </c>
      <c r="H89" s="184" t="s">
        <v>336</v>
      </c>
      <c r="I89" s="184" t="s">
        <v>1467</v>
      </c>
      <c r="J89" s="177" t="s">
        <v>1671</v>
      </c>
      <c r="K89" s="184" t="s">
        <v>1672</v>
      </c>
      <c r="L89" s="184" t="s">
        <v>345</v>
      </c>
      <c r="M89" s="184" t="s">
        <v>346</v>
      </c>
      <c r="N89" s="184">
        <v>9</v>
      </c>
      <c r="O89" s="184" t="s">
        <v>424</v>
      </c>
      <c r="P89" s="184" t="s">
        <v>867</v>
      </c>
      <c r="Q89" s="184" t="s">
        <v>1493</v>
      </c>
      <c r="R89" s="184" t="s">
        <v>339</v>
      </c>
      <c r="S89" s="184" t="s">
        <v>19</v>
      </c>
      <c r="T89" s="184" t="s">
        <v>337</v>
      </c>
      <c r="U89" s="185">
        <v>20</v>
      </c>
      <c r="V89" s="185">
        <v>130</v>
      </c>
      <c r="W89" s="185">
        <v>12</v>
      </c>
      <c r="X89" s="179">
        <f t="shared" si="23"/>
        <v>142</v>
      </c>
      <c r="Y89" s="185">
        <v>4</v>
      </c>
      <c r="Z89" s="185" t="s">
        <v>20</v>
      </c>
      <c r="AA89" s="185" t="s">
        <v>20</v>
      </c>
      <c r="AB89" s="185" t="s">
        <v>20</v>
      </c>
      <c r="AC89" s="186" t="s">
        <v>21</v>
      </c>
      <c r="AD89" s="181" t="s">
        <v>1605</v>
      </c>
      <c r="AE89" s="179" t="s">
        <v>18</v>
      </c>
      <c r="AF89" s="186"/>
      <c r="AG89" s="184" t="s">
        <v>1495</v>
      </c>
      <c r="AH89" s="179">
        <f t="shared" si="15"/>
        <v>36</v>
      </c>
      <c r="AI89" s="179">
        <v>2</v>
      </c>
      <c r="AJ89" s="183">
        <f t="shared" si="16"/>
        <v>6372</v>
      </c>
      <c r="AK89" s="179">
        <f t="shared" si="17"/>
        <v>35.5</v>
      </c>
      <c r="AL89" s="183">
        <v>0</v>
      </c>
      <c r="AM89" s="183">
        <f t="shared" si="24"/>
        <v>2880000</v>
      </c>
      <c r="AN89" s="183">
        <f t="shared" si="18"/>
        <v>3600000</v>
      </c>
      <c r="AO89" s="183">
        <f t="shared" si="19"/>
        <v>5400000</v>
      </c>
      <c r="AP89" s="183">
        <f t="shared" si="20"/>
        <v>18096480</v>
      </c>
      <c r="AR89" s="183">
        <f t="shared" si="21"/>
        <v>0</v>
      </c>
      <c r="AS89" s="183">
        <f t="shared" si="22"/>
        <v>29976480</v>
      </c>
    </row>
    <row r="90" spans="1:49" ht="24.95" customHeight="1" x14ac:dyDescent="0.25">
      <c r="A90" s="184">
        <v>14553</v>
      </c>
      <c r="B90" s="184" t="s">
        <v>1491</v>
      </c>
      <c r="C90" s="184" t="s">
        <v>1492</v>
      </c>
      <c r="D90" s="179">
        <v>1</v>
      </c>
      <c r="E90" s="179">
        <v>2025</v>
      </c>
      <c r="F90" s="179">
        <v>2025</v>
      </c>
      <c r="G90" s="177" t="s">
        <v>1466</v>
      </c>
      <c r="H90" s="184" t="s">
        <v>336</v>
      </c>
      <c r="I90" s="184" t="s">
        <v>1467</v>
      </c>
      <c r="J90" s="177" t="s">
        <v>1671</v>
      </c>
      <c r="K90" s="184" t="s">
        <v>1672</v>
      </c>
      <c r="L90" s="184" t="s">
        <v>345</v>
      </c>
      <c r="M90" s="184" t="s">
        <v>346</v>
      </c>
      <c r="N90" s="184">
        <v>9</v>
      </c>
      <c r="O90" s="184" t="s">
        <v>424</v>
      </c>
      <c r="P90" s="184" t="s">
        <v>1673</v>
      </c>
      <c r="Q90" s="184" t="s">
        <v>1493</v>
      </c>
      <c r="R90" s="184" t="s">
        <v>339</v>
      </c>
      <c r="S90" s="184" t="s">
        <v>19</v>
      </c>
      <c r="T90" s="184" t="s">
        <v>337</v>
      </c>
      <c r="U90" s="185">
        <v>20</v>
      </c>
      <c r="V90" s="185">
        <v>130</v>
      </c>
      <c r="W90" s="185">
        <v>12</v>
      </c>
      <c r="X90" s="179">
        <f t="shared" si="23"/>
        <v>142</v>
      </c>
      <c r="Y90" s="185">
        <v>4</v>
      </c>
      <c r="Z90" s="185" t="s">
        <v>20</v>
      </c>
      <c r="AA90" s="185" t="s">
        <v>20</v>
      </c>
      <c r="AB90" s="185" t="s">
        <v>20</v>
      </c>
      <c r="AC90" s="186" t="s">
        <v>21</v>
      </c>
      <c r="AD90" s="181" t="s">
        <v>1605</v>
      </c>
      <c r="AE90" s="179" t="s">
        <v>18</v>
      </c>
      <c r="AF90" s="186"/>
      <c r="AG90" s="184" t="s">
        <v>1495</v>
      </c>
      <c r="AH90" s="179">
        <f t="shared" si="15"/>
        <v>36</v>
      </c>
      <c r="AI90" s="179">
        <v>2</v>
      </c>
      <c r="AJ90" s="183">
        <f t="shared" si="16"/>
        <v>6372</v>
      </c>
      <c r="AK90" s="179">
        <f t="shared" si="17"/>
        <v>35.5</v>
      </c>
      <c r="AL90" s="183">
        <v>0</v>
      </c>
      <c r="AM90" s="183">
        <f t="shared" si="24"/>
        <v>2880000</v>
      </c>
      <c r="AN90" s="183">
        <f t="shared" si="18"/>
        <v>3600000</v>
      </c>
      <c r="AO90" s="183">
        <f t="shared" si="19"/>
        <v>5400000</v>
      </c>
      <c r="AP90" s="183">
        <f t="shared" si="20"/>
        <v>18096480</v>
      </c>
      <c r="AR90" s="183">
        <f t="shared" si="21"/>
        <v>0</v>
      </c>
      <c r="AS90" s="183">
        <f t="shared" si="22"/>
        <v>29976480</v>
      </c>
    </row>
    <row r="91" spans="1:49" ht="24.95" customHeight="1" x14ac:dyDescent="0.25">
      <c r="A91" s="184">
        <v>14554</v>
      </c>
      <c r="B91" s="184" t="s">
        <v>1491</v>
      </c>
      <c r="C91" s="184" t="s">
        <v>1492</v>
      </c>
      <c r="D91" s="179">
        <v>1</v>
      </c>
      <c r="E91" s="179">
        <v>2025</v>
      </c>
      <c r="F91" s="179">
        <v>2025</v>
      </c>
      <c r="G91" s="177" t="s">
        <v>1466</v>
      </c>
      <c r="H91" s="184" t="s">
        <v>336</v>
      </c>
      <c r="I91" s="184" t="s">
        <v>1467</v>
      </c>
      <c r="J91" s="177" t="s">
        <v>1671</v>
      </c>
      <c r="K91" s="184" t="s">
        <v>1672</v>
      </c>
      <c r="L91" s="184" t="s">
        <v>345</v>
      </c>
      <c r="M91" s="184" t="s">
        <v>346</v>
      </c>
      <c r="N91" s="184">
        <v>9</v>
      </c>
      <c r="O91" s="184" t="s">
        <v>424</v>
      </c>
      <c r="P91" s="184" t="s">
        <v>863</v>
      </c>
      <c r="Q91" s="184" t="s">
        <v>1493</v>
      </c>
      <c r="R91" s="184" t="s">
        <v>339</v>
      </c>
      <c r="S91" s="184" t="s">
        <v>19</v>
      </c>
      <c r="T91" s="184" t="s">
        <v>337</v>
      </c>
      <c r="U91" s="185">
        <v>20</v>
      </c>
      <c r="V91" s="185">
        <v>130</v>
      </c>
      <c r="W91" s="185">
        <v>12</v>
      </c>
      <c r="X91" s="179">
        <f t="shared" si="23"/>
        <v>142</v>
      </c>
      <c r="Y91" s="185">
        <v>4</v>
      </c>
      <c r="Z91" s="185" t="s">
        <v>20</v>
      </c>
      <c r="AA91" s="185" t="s">
        <v>20</v>
      </c>
      <c r="AB91" s="185" t="s">
        <v>20</v>
      </c>
      <c r="AC91" s="186" t="s">
        <v>21</v>
      </c>
      <c r="AD91" s="181" t="s">
        <v>1605</v>
      </c>
      <c r="AE91" s="179" t="s">
        <v>18</v>
      </c>
      <c r="AF91" s="186"/>
      <c r="AG91" s="184" t="s">
        <v>1495</v>
      </c>
      <c r="AH91" s="179">
        <f t="shared" si="15"/>
        <v>36</v>
      </c>
      <c r="AI91" s="179">
        <v>2</v>
      </c>
      <c r="AJ91" s="183">
        <f t="shared" si="16"/>
        <v>6372</v>
      </c>
      <c r="AK91" s="179">
        <f t="shared" si="17"/>
        <v>35.5</v>
      </c>
      <c r="AL91" s="183">
        <v>0</v>
      </c>
      <c r="AM91" s="183">
        <f t="shared" si="24"/>
        <v>2880000</v>
      </c>
      <c r="AN91" s="183">
        <f t="shared" si="18"/>
        <v>3600000</v>
      </c>
      <c r="AO91" s="183">
        <f t="shared" si="19"/>
        <v>5400000</v>
      </c>
      <c r="AP91" s="183">
        <f t="shared" si="20"/>
        <v>18096480</v>
      </c>
      <c r="AR91" s="183">
        <f t="shared" si="21"/>
        <v>0</v>
      </c>
      <c r="AS91" s="183">
        <f t="shared" si="22"/>
        <v>29976480</v>
      </c>
    </row>
    <row r="92" spans="1:49" ht="24.95" customHeight="1" x14ac:dyDescent="0.25">
      <c r="A92" s="184">
        <v>14555</v>
      </c>
      <c r="B92" s="184" t="s">
        <v>1491</v>
      </c>
      <c r="C92" s="184" t="s">
        <v>1492</v>
      </c>
      <c r="D92" s="179">
        <v>1</v>
      </c>
      <c r="E92" s="179">
        <v>2025</v>
      </c>
      <c r="F92" s="179">
        <v>2025</v>
      </c>
      <c r="G92" s="177" t="s">
        <v>1466</v>
      </c>
      <c r="H92" s="184" t="s">
        <v>336</v>
      </c>
      <c r="I92" s="184" t="s">
        <v>1467</v>
      </c>
      <c r="J92" s="177" t="s">
        <v>836</v>
      </c>
      <c r="K92" s="184" t="s">
        <v>1674</v>
      </c>
      <c r="L92" s="184" t="s">
        <v>345</v>
      </c>
      <c r="M92" s="184" t="s">
        <v>346</v>
      </c>
      <c r="N92" s="184">
        <v>9</v>
      </c>
      <c r="O92" s="184" t="s">
        <v>424</v>
      </c>
      <c r="P92" s="184" t="s">
        <v>878</v>
      </c>
      <c r="Q92" s="184" t="s">
        <v>1493</v>
      </c>
      <c r="R92" s="184" t="s">
        <v>339</v>
      </c>
      <c r="S92" s="184" t="s">
        <v>19</v>
      </c>
      <c r="T92" s="184" t="s">
        <v>337</v>
      </c>
      <c r="U92" s="185">
        <v>20</v>
      </c>
      <c r="V92" s="185">
        <v>145</v>
      </c>
      <c r="W92" s="185">
        <v>12</v>
      </c>
      <c r="X92" s="179">
        <f t="shared" si="23"/>
        <v>157</v>
      </c>
      <c r="Y92" s="185">
        <v>4</v>
      </c>
      <c r="Z92" s="185" t="s">
        <v>20</v>
      </c>
      <c r="AA92" s="185" t="s">
        <v>20</v>
      </c>
      <c r="AB92" s="185" t="s">
        <v>20</v>
      </c>
      <c r="AC92" s="186" t="s">
        <v>21</v>
      </c>
      <c r="AD92" s="181" t="s">
        <v>1675</v>
      </c>
      <c r="AE92" s="179" t="s">
        <v>18</v>
      </c>
      <c r="AF92" s="186"/>
      <c r="AG92" s="184" t="s">
        <v>1495</v>
      </c>
      <c r="AH92" s="179">
        <f t="shared" si="15"/>
        <v>40</v>
      </c>
      <c r="AI92" s="179">
        <v>2</v>
      </c>
      <c r="AJ92" s="183">
        <f t="shared" si="16"/>
        <v>6372</v>
      </c>
      <c r="AK92" s="179">
        <f t="shared" si="17"/>
        <v>39.25</v>
      </c>
      <c r="AL92" s="183">
        <v>0</v>
      </c>
      <c r="AM92" s="183">
        <f t="shared" si="24"/>
        <v>3200000</v>
      </c>
      <c r="AN92" s="183">
        <f t="shared" si="18"/>
        <v>4000000</v>
      </c>
      <c r="AO92" s="183">
        <f t="shared" si="19"/>
        <v>5400000</v>
      </c>
      <c r="AP92" s="183">
        <f t="shared" si="20"/>
        <v>20008080</v>
      </c>
      <c r="AR92" s="183">
        <f t="shared" si="21"/>
        <v>0</v>
      </c>
      <c r="AS92" s="183">
        <f t="shared" si="22"/>
        <v>32608080</v>
      </c>
    </row>
    <row r="93" spans="1:49" ht="24.95" customHeight="1" x14ac:dyDescent="0.25">
      <c r="A93" s="184">
        <v>14556</v>
      </c>
      <c r="B93" s="184" t="s">
        <v>1491</v>
      </c>
      <c r="C93" s="184" t="s">
        <v>1492</v>
      </c>
      <c r="D93" s="179">
        <v>1</v>
      </c>
      <c r="E93" s="179">
        <v>2025</v>
      </c>
      <c r="F93" s="179">
        <v>2025</v>
      </c>
      <c r="G93" s="177" t="s">
        <v>1466</v>
      </c>
      <c r="H93" s="184" t="s">
        <v>336</v>
      </c>
      <c r="I93" s="184" t="s">
        <v>1467</v>
      </c>
      <c r="J93" s="177" t="s">
        <v>836</v>
      </c>
      <c r="K93" s="184" t="s">
        <v>1674</v>
      </c>
      <c r="L93" s="184" t="s">
        <v>345</v>
      </c>
      <c r="M93" s="184" t="s">
        <v>346</v>
      </c>
      <c r="N93" s="184">
        <v>9</v>
      </c>
      <c r="O93" s="184" t="s">
        <v>424</v>
      </c>
      <c r="P93" s="184" t="s">
        <v>1676</v>
      </c>
      <c r="Q93" s="184" t="s">
        <v>1493</v>
      </c>
      <c r="R93" s="184" t="s">
        <v>339</v>
      </c>
      <c r="S93" s="184" t="s">
        <v>19</v>
      </c>
      <c r="T93" s="184" t="s">
        <v>337</v>
      </c>
      <c r="U93" s="185">
        <v>20</v>
      </c>
      <c r="V93" s="185">
        <v>145</v>
      </c>
      <c r="W93" s="185">
        <v>12</v>
      </c>
      <c r="X93" s="179">
        <f t="shared" si="23"/>
        <v>157</v>
      </c>
      <c r="Y93" s="185">
        <v>4</v>
      </c>
      <c r="Z93" s="185" t="s">
        <v>20</v>
      </c>
      <c r="AA93" s="185" t="s">
        <v>20</v>
      </c>
      <c r="AB93" s="185" t="s">
        <v>20</v>
      </c>
      <c r="AC93" s="186" t="s">
        <v>21</v>
      </c>
      <c r="AD93" s="181" t="s">
        <v>1675</v>
      </c>
      <c r="AE93" s="179" t="s">
        <v>18</v>
      </c>
      <c r="AF93" s="186"/>
      <c r="AG93" s="184" t="s">
        <v>1495</v>
      </c>
      <c r="AH93" s="179">
        <f t="shared" si="15"/>
        <v>40</v>
      </c>
      <c r="AI93" s="179">
        <v>2</v>
      </c>
      <c r="AJ93" s="183">
        <f t="shared" si="16"/>
        <v>6372</v>
      </c>
      <c r="AK93" s="179">
        <f t="shared" si="17"/>
        <v>39.25</v>
      </c>
      <c r="AL93" s="183">
        <v>0</v>
      </c>
      <c r="AM93" s="183">
        <f t="shared" si="24"/>
        <v>3200000</v>
      </c>
      <c r="AN93" s="183">
        <f t="shared" si="18"/>
        <v>4000000</v>
      </c>
      <c r="AO93" s="183">
        <f t="shared" si="19"/>
        <v>5400000</v>
      </c>
      <c r="AP93" s="183">
        <f t="shared" si="20"/>
        <v>20008080</v>
      </c>
      <c r="AR93" s="183">
        <f t="shared" si="21"/>
        <v>0</v>
      </c>
      <c r="AS93" s="183">
        <f t="shared" si="22"/>
        <v>32608080</v>
      </c>
    </row>
    <row r="94" spans="1:49" ht="24.95" customHeight="1" x14ac:dyDescent="0.25">
      <c r="A94" s="184">
        <v>14557</v>
      </c>
      <c r="B94" s="184" t="s">
        <v>1491</v>
      </c>
      <c r="C94" s="184" t="s">
        <v>1492</v>
      </c>
      <c r="D94" s="179">
        <v>1</v>
      </c>
      <c r="E94" s="179">
        <v>2025</v>
      </c>
      <c r="F94" s="179">
        <v>2025</v>
      </c>
      <c r="G94" s="177" t="s">
        <v>1466</v>
      </c>
      <c r="H94" s="184" t="s">
        <v>336</v>
      </c>
      <c r="I94" s="184" t="s">
        <v>1467</v>
      </c>
      <c r="J94" s="177" t="s">
        <v>836</v>
      </c>
      <c r="K94" s="184" t="s">
        <v>1674</v>
      </c>
      <c r="L94" s="184" t="s">
        <v>345</v>
      </c>
      <c r="M94" s="184" t="s">
        <v>346</v>
      </c>
      <c r="N94" s="184">
        <v>9</v>
      </c>
      <c r="O94" s="184" t="s">
        <v>424</v>
      </c>
      <c r="P94" s="184" t="s">
        <v>1677</v>
      </c>
      <c r="Q94" s="184" t="s">
        <v>1493</v>
      </c>
      <c r="R94" s="184" t="s">
        <v>339</v>
      </c>
      <c r="S94" s="184" t="s">
        <v>19</v>
      </c>
      <c r="T94" s="184" t="s">
        <v>337</v>
      </c>
      <c r="U94" s="185">
        <v>20</v>
      </c>
      <c r="V94" s="185">
        <v>145</v>
      </c>
      <c r="W94" s="185">
        <v>12</v>
      </c>
      <c r="X94" s="179">
        <f t="shared" si="23"/>
        <v>157</v>
      </c>
      <c r="Y94" s="185">
        <v>4</v>
      </c>
      <c r="Z94" s="185" t="s">
        <v>20</v>
      </c>
      <c r="AA94" s="185" t="s">
        <v>20</v>
      </c>
      <c r="AB94" s="185" t="s">
        <v>20</v>
      </c>
      <c r="AC94" s="186" t="s">
        <v>21</v>
      </c>
      <c r="AD94" s="181" t="s">
        <v>1675</v>
      </c>
      <c r="AE94" s="179" t="s">
        <v>18</v>
      </c>
      <c r="AF94" s="186"/>
      <c r="AG94" s="184" t="s">
        <v>1495</v>
      </c>
      <c r="AH94" s="179">
        <f t="shared" si="15"/>
        <v>40</v>
      </c>
      <c r="AI94" s="179">
        <v>2</v>
      </c>
      <c r="AJ94" s="183">
        <f t="shared" si="16"/>
        <v>6372</v>
      </c>
      <c r="AK94" s="179">
        <f t="shared" si="17"/>
        <v>39.25</v>
      </c>
      <c r="AL94" s="183">
        <v>0</v>
      </c>
      <c r="AM94" s="183">
        <f t="shared" si="24"/>
        <v>3200000</v>
      </c>
      <c r="AN94" s="183">
        <f t="shared" si="18"/>
        <v>4000000</v>
      </c>
      <c r="AO94" s="183">
        <f t="shared" si="19"/>
        <v>5400000</v>
      </c>
      <c r="AP94" s="183">
        <f t="shared" si="20"/>
        <v>20008080</v>
      </c>
      <c r="AR94" s="183">
        <f t="shared" si="21"/>
        <v>0</v>
      </c>
      <c r="AS94" s="183">
        <f t="shared" si="22"/>
        <v>32608080</v>
      </c>
    </row>
    <row r="95" spans="1:49" ht="24.95" customHeight="1" x14ac:dyDescent="0.25">
      <c r="A95" s="175">
        <v>14379</v>
      </c>
      <c r="B95" s="175" t="s">
        <v>83</v>
      </c>
      <c r="C95" s="175" t="s">
        <v>1022</v>
      </c>
      <c r="D95" s="176">
        <v>1</v>
      </c>
      <c r="E95" s="176">
        <v>2025</v>
      </c>
      <c r="F95" s="176">
        <v>2025</v>
      </c>
      <c r="G95" s="175" t="s">
        <v>23</v>
      </c>
      <c r="H95" s="175" t="s">
        <v>83</v>
      </c>
      <c r="I95" s="175" t="s">
        <v>102</v>
      </c>
      <c r="J95" s="177" t="s">
        <v>811</v>
      </c>
      <c r="K95" s="175" t="s">
        <v>749</v>
      </c>
      <c r="L95" s="175" t="s">
        <v>21</v>
      </c>
      <c r="M95" s="175" t="s">
        <v>21</v>
      </c>
      <c r="N95" s="175">
        <v>13</v>
      </c>
      <c r="O95" s="175" t="s">
        <v>382</v>
      </c>
      <c r="P95" s="175" t="s">
        <v>714</v>
      </c>
      <c r="Q95" s="175" t="s">
        <v>1201</v>
      </c>
      <c r="R95" s="175" t="s">
        <v>339</v>
      </c>
      <c r="S95" s="175" t="s">
        <v>19</v>
      </c>
      <c r="T95" s="175" t="s">
        <v>337</v>
      </c>
      <c r="U95" s="176">
        <v>20</v>
      </c>
      <c r="V95" s="176">
        <v>70</v>
      </c>
      <c r="W95" s="176" t="s">
        <v>21</v>
      </c>
      <c r="X95" s="179">
        <f t="shared" si="23"/>
        <v>70</v>
      </c>
      <c r="Y95" s="176">
        <v>5</v>
      </c>
      <c r="Z95" s="176" t="s">
        <v>20</v>
      </c>
      <c r="AA95" s="176" t="s">
        <v>18</v>
      </c>
      <c r="AB95" s="185" t="s">
        <v>18</v>
      </c>
      <c r="AC95" s="186" t="s">
        <v>21</v>
      </c>
      <c r="AD95" s="181" t="s">
        <v>1678</v>
      </c>
      <c r="AE95" s="179" t="s">
        <v>18</v>
      </c>
      <c r="AF95" s="191"/>
      <c r="AG95" s="175" t="s">
        <v>1173</v>
      </c>
      <c r="AH95" s="179">
        <f t="shared" si="15"/>
        <v>14</v>
      </c>
      <c r="AI95" s="179">
        <f>VLOOKUP(K95,[1]TRAMO!$A:$B,2,0)</f>
        <v>1</v>
      </c>
      <c r="AJ95" s="183">
        <f t="shared" si="16"/>
        <v>5074</v>
      </c>
      <c r="AK95" s="179">
        <f t="shared" si="17"/>
        <v>14</v>
      </c>
      <c r="AL95" s="183">
        <v>0</v>
      </c>
      <c r="AM95" s="183">
        <f t="shared" si="24"/>
        <v>1120000</v>
      </c>
      <c r="AN95" s="183">
        <f t="shared" si="18"/>
        <v>0</v>
      </c>
      <c r="AO95" s="183">
        <f t="shared" si="19"/>
        <v>0</v>
      </c>
      <c r="AP95" s="183">
        <f t="shared" si="20"/>
        <v>7103600</v>
      </c>
      <c r="AR95" s="183">
        <f t="shared" si="21"/>
        <v>0</v>
      </c>
      <c r="AS95" s="183">
        <f t="shared" si="22"/>
        <v>8223600</v>
      </c>
      <c r="AT95" s="175" t="s">
        <v>1535</v>
      </c>
      <c r="AU95" s="175" t="s">
        <v>1536</v>
      </c>
      <c r="AV95" s="175" t="s">
        <v>1537</v>
      </c>
      <c r="AW95" s="175" t="s">
        <v>1538</v>
      </c>
    </row>
    <row r="96" spans="1:49" ht="24.95" customHeight="1" x14ac:dyDescent="0.25">
      <c r="A96" s="175">
        <v>14506</v>
      </c>
      <c r="B96" s="175" t="s">
        <v>98</v>
      </c>
      <c r="C96" s="175" t="s">
        <v>41</v>
      </c>
      <c r="D96" s="176">
        <v>1</v>
      </c>
      <c r="E96" s="176">
        <v>2025</v>
      </c>
      <c r="F96" s="176">
        <v>2025</v>
      </c>
      <c r="G96" s="175" t="s">
        <v>23</v>
      </c>
      <c r="H96" s="175" t="s">
        <v>98</v>
      </c>
      <c r="I96" s="175" t="s">
        <v>1175</v>
      </c>
      <c r="J96" s="177" t="s">
        <v>389</v>
      </c>
      <c r="K96" s="175" t="s">
        <v>390</v>
      </c>
      <c r="L96" s="175" t="s">
        <v>21</v>
      </c>
      <c r="M96" s="175" t="s">
        <v>21</v>
      </c>
      <c r="N96" s="175">
        <v>2</v>
      </c>
      <c r="O96" s="175" t="s">
        <v>798</v>
      </c>
      <c r="P96" s="175" t="s">
        <v>1564</v>
      </c>
      <c r="Q96" s="175" t="s">
        <v>388</v>
      </c>
      <c r="R96" s="175" t="s">
        <v>339</v>
      </c>
      <c r="S96" s="175" t="s">
        <v>19</v>
      </c>
      <c r="T96" s="175" t="s">
        <v>347</v>
      </c>
      <c r="U96" s="176">
        <v>10</v>
      </c>
      <c r="V96" s="176">
        <v>55</v>
      </c>
      <c r="W96" s="176" t="s">
        <v>21</v>
      </c>
      <c r="X96" s="179">
        <f t="shared" si="23"/>
        <v>55</v>
      </c>
      <c r="Y96" s="176">
        <v>5</v>
      </c>
      <c r="Z96" s="176" t="s">
        <v>20</v>
      </c>
      <c r="AA96" s="176" t="s">
        <v>18</v>
      </c>
      <c r="AB96" s="185" t="s">
        <v>18</v>
      </c>
      <c r="AC96" s="186" t="s">
        <v>21</v>
      </c>
      <c r="AD96" s="181" t="s">
        <v>1679</v>
      </c>
      <c r="AE96" s="179" t="s">
        <v>18</v>
      </c>
      <c r="AF96" s="191"/>
      <c r="AG96" s="175" t="s">
        <v>1173</v>
      </c>
      <c r="AH96" s="179">
        <f t="shared" si="15"/>
        <v>11</v>
      </c>
      <c r="AI96" s="179">
        <f>VLOOKUP(K96,[1]TRAMO!$A:$B,2,0)</f>
        <v>2</v>
      </c>
      <c r="AJ96" s="183">
        <f t="shared" si="16"/>
        <v>6372</v>
      </c>
      <c r="AK96" s="179">
        <f t="shared" si="17"/>
        <v>11</v>
      </c>
      <c r="AL96" s="183">
        <v>0</v>
      </c>
      <c r="AM96" s="183">
        <f t="shared" si="24"/>
        <v>440000</v>
      </c>
      <c r="AN96" s="183">
        <f t="shared" si="18"/>
        <v>0</v>
      </c>
      <c r="AO96" s="183">
        <f t="shared" si="19"/>
        <v>0</v>
      </c>
      <c r="AP96" s="183">
        <f t="shared" si="20"/>
        <v>3504600</v>
      </c>
      <c r="AR96" s="183">
        <f t="shared" si="21"/>
        <v>0</v>
      </c>
      <c r="AS96" s="183">
        <f t="shared" si="22"/>
        <v>3944600</v>
      </c>
      <c r="AT96" s="175" t="s">
        <v>1588</v>
      </c>
      <c r="AU96" s="175" t="s">
        <v>1589</v>
      </c>
      <c r="AV96" s="175" t="s">
        <v>1680</v>
      </c>
      <c r="AW96" s="175" t="s">
        <v>1567</v>
      </c>
    </row>
    <row r="97" spans="1:49" ht="24.95" customHeight="1" x14ac:dyDescent="0.25">
      <c r="A97" s="175">
        <v>14440</v>
      </c>
      <c r="B97" s="175" t="s">
        <v>98</v>
      </c>
      <c r="C97" s="175" t="s">
        <v>41</v>
      </c>
      <c r="D97" s="176">
        <v>1</v>
      </c>
      <c r="E97" s="176">
        <v>2025</v>
      </c>
      <c r="F97" s="176">
        <v>2025</v>
      </c>
      <c r="G97" s="175" t="s">
        <v>23</v>
      </c>
      <c r="H97" s="175" t="s">
        <v>98</v>
      </c>
      <c r="I97" s="175" t="s">
        <v>1175</v>
      </c>
      <c r="J97" s="177" t="s">
        <v>722</v>
      </c>
      <c r="K97" s="175" t="s">
        <v>723</v>
      </c>
      <c r="L97" s="175" t="s">
        <v>21</v>
      </c>
      <c r="M97" s="175" t="s">
        <v>21</v>
      </c>
      <c r="N97" s="175">
        <v>6</v>
      </c>
      <c r="O97" s="175" t="s">
        <v>796</v>
      </c>
      <c r="P97" s="175" t="s">
        <v>1681</v>
      </c>
      <c r="Q97" s="175" t="s">
        <v>1201</v>
      </c>
      <c r="R97" s="175" t="s">
        <v>339</v>
      </c>
      <c r="S97" s="175" t="s">
        <v>19</v>
      </c>
      <c r="T97" s="175" t="s">
        <v>337</v>
      </c>
      <c r="U97" s="176">
        <v>10</v>
      </c>
      <c r="V97" s="176">
        <v>15</v>
      </c>
      <c r="W97" s="176" t="s">
        <v>21</v>
      </c>
      <c r="X97" s="179">
        <f t="shared" si="23"/>
        <v>15</v>
      </c>
      <c r="Y97" s="176">
        <v>4</v>
      </c>
      <c r="Z97" s="176" t="s">
        <v>20</v>
      </c>
      <c r="AA97" s="176" t="s">
        <v>18</v>
      </c>
      <c r="AB97" s="185" t="s">
        <v>18</v>
      </c>
      <c r="AC97" s="186" t="s">
        <v>21</v>
      </c>
      <c r="AD97" s="181" t="s">
        <v>1682</v>
      </c>
      <c r="AE97" s="179" t="s">
        <v>18</v>
      </c>
      <c r="AF97" s="191"/>
      <c r="AG97" s="175" t="s">
        <v>1173</v>
      </c>
      <c r="AH97" s="179">
        <f t="shared" si="15"/>
        <v>4</v>
      </c>
      <c r="AI97" s="179">
        <v>1</v>
      </c>
      <c r="AJ97" s="183">
        <f t="shared" si="16"/>
        <v>5074</v>
      </c>
      <c r="AK97" s="179">
        <f t="shared" si="17"/>
        <v>3.75</v>
      </c>
      <c r="AL97" s="183">
        <v>0</v>
      </c>
      <c r="AM97" s="183">
        <f t="shared" si="24"/>
        <v>160000</v>
      </c>
      <c r="AN97" s="183">
        <f t="shared" si="18"/>
        <v>0</v>
      </c>
      <c r="AO97" s="183">
        <f t="shared" si="19"/>
        <v>0</v>
      </c>
      <c r="AP97" s="183">
        <f t="shared" si="20"/>
        <v>761100</v>
      </c>
      <c r="AR97" s="183">
        <f t="shared" si="21"/>
        <v>0</v>
      </c>
      <c r="AS97" s="183">
        <f t="shared" si="22"/>
        <v>921100</v>
      </c>
      <c r="AT97" s="175" t="s">
        <v>1524</v>
      </c>
      <c r="AU97" s="175" t="s">
        <v>1525</v>
      </c>
      <c r="AV97" s="175" t="s">
        <v>1683</v>
      </c>
      <c r="AW97" s="175" t="s">
        <v>1684</v>
      </c>
    </row>
    <row r="98" spans="1:49" ht="24.95" customHeight="1" x14ac:dyDescent="0.25">
      <c r="A98" s="175">
        <v>14502</v>
      </c>
      <c r="B98" s="175" t="s">
        <v>98</v>
      </c>
      <c r="C98" s="175" t="s">
        <v>41</v>
      </c>
      <c r="D98" s="176">
        <v>1</v>
      </c>
      <c r="E98" s="176">
        <v>2025</v>
      </c>
      <c r="F98" s="176">
        <v>2025</v>
      </c>
      <c r="G98" s="175" t="s">
        <v>23</v>
      </c>
      <c r="H98" s="175" t="s">
        <v>98</v>
      </c>
      <c r="I98" s="175" t="s">
        <v>1175</v>
      </c>
      <c r="J98" s="177" t="s">
        <v>738</v>
      </c>
      <c r="K98" s="175" t="s">
        <v>737</v>
      </c>
      <c r="L98" s="175" t="s">
        <v>21</v>
      </c>
      <c r="M98" s="175" t="s">
        <v>21</v>
      </c>
      <c r="N98" s="175">
        <v>4</v>
      </c>
      <c r="O98" s="175" t="s">
        <v>415</v>
      </c>
      <c r="P98" s="175" t="s">
        <v>1685</v>
      </c>
      <c r="Q98" s="175" t="s">
        <v>388</v>
      </c>
      <c r="R98" s="175" t="s">
        <v>339</v>
      </c>
      <c r="S98" s="175" t="s">
        <v>19</v>
      </c>
      <c r="T98" s="175" t="s">
        <v>347</v>
      </c>
      <c r="U98" s="176">
        <v>10</v>
      </c>
      <c r="V98" s="176">
        <v>80</v>
      </c>
      <c r="W98" s="176" t="s">
        <v>21</v>
      </c>
      <c r="X98" s="179">
        <f t="shared" si="23"/>
        <v>80</v>
      </c>
      <c r="Y98" s="176">
        <v>5</v>
      </c>
      <c r="Z98" s="176" t="s">
        <v>20</v>
      </c>
      <c r="AA98" s="176" t="s">
        <v>18</v>
      </c>
      <c r="AB98" s="185" t="s">
        <v>18</v>
      </c>
      <c r="AC98" s="186" t="s">
        <v>21</v>
      </c>
      <c r="AD98" s="181" t="s">
        <v>1686</v>
      </c>
      <c r="AE98" s="179" t="s">
        <v>18</v>
      </c>
      <c r="AF98" s="191"/>
      <c r="AG98" s="175" t="s">
        <v>1173</v>
      </c>
      <c r="AH98" s="179">
        <f t="shared" si="15"/>
        <v>16</v>
      </c>
      <c r="AI98" s="179">
        <f>VLOOKUP(K98,[1]TRAMO!$A:$B,2,0)</f>
        <v>1</v>
      </c>
      <c r="AJ98" s="183">
        <f t="shared" si="16"/>
        <v>5074</v>
      </c>
      <c r="AK98" s="179">
        <f t="shared" si="17"/>
        <v>16</v>
      </c>
      <c r="AL98" s="183">
        <v>0</v>
      </c>
      <c r="AM98" s="183">
        <f t="shared" si="24"/>
        <v>640000</v>
      </c>
      <c r="AN98" s="183">
        <f t="shared" si="18"/>
        <v>0</v>
      </c>
      <c r="AO98" s="183">
        <f t="shared" si="19"/>
        <v>0</v>
      </c>
      <c r="AP98" s="183">
        <f t="shared" si="20"/>
        <v>4059200</v>
      </c>
      <c r="AR98" s="183">
        <f t="shared" si="21"/>
        <v>0</v>
      </c>
      <c r="AS98" s="183">
        <f t="shared" si="22"/>
        <v>4699200</v>
      </c>
      <c r="AT98" s="175" t="s">
        <v>1588</v>
      </c>
      <c r="AU98" s="175" t="s">
        <v>1589</v>
      </c>
      <c r="AV98" s="175" t="s">
        <v>1687</v>
      </c>
      <c r="AW98" s="175" t="s">
        <v>1688</v>
      </c>
    </row>
    <row r="99" spans="1:49" ht="24.95" customHeight="1" x14ac:dyDescent="0.25">
      <c r="A99" s="175">
        <v>14376</v>
      </c>
      <c r="B99" s="175" t="s">
        <v>83</v>
      </c>
      <c r="C99" s="175" t="s">
        <v>1022</v>
      </c>
      <c r="D99" s="176">
        <v>1</v>
      </c>
      <c r="E99" s="176">
        <v>2025</v>
      </c>
      <c r="F99" s="176">
        <v>2025</v>
      </c>
      <c r="G99" s="175" t="s">
        <v>23</v>
      </c>
      <c r="H99" s="175" t="s">
        <v>83</v>
      </c>
      <c r="I99" s="175" t="s">
        <v>102</v>
      </c>
      <c r="J99" s="177" t="s">
        <v>704</v>
      </c>
      <c r="K99" s="175" t="s">
        <v>705</v>
      </c>
      <c r="L99" s="175" t="s">
        <v>21</v>
      </c>
      <c r="M99" s="175" t="s">
        <v>21</v>
      </c>
      <c r="N99" s="175">
        <v>13</v>
      </c>
      <c r="O99" s="175" t="s">
        <v>382</v>
      </c>
      <c r="P99" s="175" t="s">
        <v>714</v>
      </c>
      <c r="Q99" s="175" t="s">
        <v>1201</v>
      </c>
      <c r="R99" s="175" t="s">
        <v>339</v>
      </c>
      <c r="S99" s="175" t="s">
        <v>19</v>
      </c>
      <c r="T99" s="175" t="s">
        <v>337</v>
      </c>
      <c r="U99" s="176">
        <v>20</v>
      </c>
      <c r="V99" s="176">
        <v>90</v>
      </c>
      <c r="W99" s="176" t="s">
        <v>21</v>
      </c>
      <c r="X99" s="179">
        <f t="shared" si="23"/>
        <v>90</v>
      </c>
      <c r="Y99" s="176">
        <v>5</v>
      </c>
      <c r="Z99" s="176" t="s">
        <v>20</v>
      </c>
      <c r="AA99" s="176" t="s">
        <v>18</v>
      </c>
      <c r="AB99" s="185" t="s">
        <v>18</v>
      </c>
      <c r="AC99" s="186" t="s">
        <v>21</v>
      </c>
      <c r="AD99" s="181" t="s">
        <v>1689</v>
      </c>
      <c r="AE99" s="179" t="s">
        <v>18</v>
      </c>
      <c r="AF99" s="191"/>
      <c r="AG99" s="175" t="s">
        <v>1173</v>
      </c>
      <c r="AH99" s="179">
        <f t="shared" si="15"/>
        <v>18</v>
      </c>
      <c r="AI99" s="179">
        <f>VLOOKUP(K99,[1]TRAMO!$A:$B,2,0)</f>
        <v>2</v>
      </c>
      <c r="AJ99" s="183">
        <f t="shared" si="16"/>
        <v>6372</v>
      </c>
      <c r="AK99" s="179">
        <f t="shared" si="17"/>
        <v>18</v>
      </c>
      <c r="AL99" s="183">
        <v>0</v>
      </c>
      <c r="AM99" s="183">
        <f t="shared" si="24"/>
        <v>1440000</v>
      </c>
      <c r="AN99" s="183">
        <f t="shared" si="18"/>
        <v>0</v>
      </c>
      <c r="AO99" s="183">
        <f t="shared" si="19"/>
        <v>0</v>
      </c>
      <c r="AP99" s="183">
        <f t="shared" si="20"/>
        <v>11469600</v>
      </c>
      <c r="AR99" s="183">
        <f t="shared" si="21"/>
        <v>0</v>
      </c>
      <c r="AS99" s="183">
        <f t="shared" si="22"/>
        <v>12909600</v>
      </c>
      <c r="AT99" s="175" t="s">
        <v>1535</v>
      </c>
      <c r="AU99" s="175" t="s">
        <v>1536</v>
      </c>
      <c r="AV99" s="175" t="s">
        <v>1537</v>
      </c>
      <c r="AW99" s="175" t="s">
        <v>1538</v>
      </c>
    </row>
    <row r="100" spans="1:49" ht="24.95" customHeight="1" x14ac:dyDescent="0.25">
      <c r="A100" s="175">
        <v>14509</v>
      </c>
      <c r="B100" s="175" t="s">
        <v>98</v>
      </c>
      <c r="C100" s="175" t="s">
        <v>41</v>
      </c>
      <c r="D100" s="176">
        <v>1</v>
      </c>
      <c r="E100" s="176">
        <v>2025</v>
      </c>
      <c r="F100" s="176">
        <v>2025</v>
      </c>
      <c r="G100" s="175" t="s">
        <v>23</v>
      </c>
      <c r="H100" s="175" t="s">
        <v>98</v>
      </c>
      <c r="I100" s="175" t="s">
        <v>1175</v>
      </c>
      <c r="J100" s="177" t="s">
        <v>704</v>
      </c>
      <c r="K100" s="175" t="s">
        <v>705</v>
      </c>
      <c r="L100" s="175" t="s">
        <v>21</v>
      </c>
      <c r="M100" s="175" t="s">
        <v>21</v>
      </c>
      <c r="N100" s="175">
        <v>2</v>
      </c>
      <c r="O100" s="175" t="s">
        <v>798</v>
      </c>
      <c r="P100" s="175" t="s">
        <v>881</v>
      </c>
      <c r="Q100" s="175" t="s">
        <v>388</v>
      </c>
      <c r="R100" s="175" t="s">
        <v>339</v>
      </c>
      <c r="S100" s="175" t="s">
        <v>19</v>
      </c>
      <c r="T100" s="175" t="s">
        <v>347</v>
      </c>
      <c r="U100" s="176">
        <v>10</v>
      </c>
      <c r="V100" s="176">
        <v>90</v>
      </c>
      <c r="W100" s="176" t="s">
        <v>21</v>
      </c>
      <c r="X100" s="179">
        <f t="shared" si="23"/>
        <v>90</v>
      </c>
      <c r="Y100" s="176">
        <v>5</v>
      </c>
      <c r="Z100" s="176" t="s">
        <v>20</v>
      </c>
      <c r="AA100" s="176" t="s">
        <v>18</v>
      </c>
      <c r="AB100" s="185" t="s">
        <v>18</v>
      </c>
      <c r="AC100" s="186" t="s">
        <v>21</v>
      </c>
      <c r="AD100" s="181" t="s">
        <v>1690</v>
      </c>
      <c r="AE100" s="179" t="s">
        <v>18</v>
      </c>
      <c r="AF100" s="191"/>
      <c r="AG100" s="175" t="s">
        <v>1173</v>
      </c>
      <c r="AH100" s="179">
        <f t="shared" si="15"/>
        <v>18</v>
      </c>
      <c r="AI100" s="179">
        <f>VLOOKUP(K100,[1]TRAMO!$A:$B,2,0)</f>
        <v>2</v>
      </c>
      <c r="AJ100" s="183">
        <f t="shared" si="16"/>
        <v>6372</v>
      </c>
      <c r="AK100" s="179">
        <f t="shared" si="17"/>
        <v>18</v>
      </c>
      <c r="AL100" s="183">
        <v>0</v>
      </c>
      <c r="AM100" s="183">
        <f t="shared" si="24"/>
        <v>720000</v>
      </c>
      <c r="AN100" s="183">
        <f t="shared" si="18"/>
        <v>0</v>
      </c>
      <c r="AO100" s="183">
        <f t="shared" si="19"/>
        <v>0</v>
      </c>
      <c r="AP100" s="183">
        <f t="shared" si="20"/>
        <v>5734800</v>
      </c>
      <c r="AR100" s="183">
        <f t="shared" si="21"/>
        <v>0</v>
      </c>
      <c r="AS100" s="183">
        <f t="shared" si="22"/>
        <v>6454800</v>
      </c>
      <c r="AT100" s="175" t="s">
        <v>1588</v>
      </c>
      <c r="AU100" s="175" t="s">
        <v>1589</v>
      </c>
      <c r="AV100" s="175" t="s">
        <v>1691</v>
      </c>
      <c r="AW100" s="175" t="s">
        <v>1692</v>
      </c>
    </row>
    <row r="101" spans="1:49" ht="24.95" customHeight="1" x14ac:dyDescent="0.25">
      <c r="A101" s="175">
        <v>14480</v>
      </c>
      <c r="B101" s="175" t="s">
        <v>98</v>
      </c>
      <c r="C101" s="175" t="s">
        <v>41</v>
      </c>
      <c r="D101" s="176">
        <v>1</v>
      </c>
      <c r="E101" s="176">
        <v>2025</v>
      </c>
      <c r="F101" s="176">
        <v>2025</v>
      </c>
      <c r="G101" s="175" t="s">
        <v>23</v>
      </c>
      <c r="H101" s="175" t="s">
        <v>98</v>
      </c>
      <c r="I101" s="175" t="s">
        <v>1175</v>
      </c>
      <c r="J101" s="177" t="s">
        <v>345</v>
      </c>
      <c r="K101" s="175" t="s">
        <v>346</v>
      </c>
      <c r="L101" s="175" t="s">
        <v>21</v>
      </c>
      <c r="M101" s="175" t="s">
        <v>21</v>
      </c>
      <c r="N101" s="175">
        <v>13</v>
      </c>
      <c r="O101" s="175" t="s">
        <v>382</v>
      </c>
      <c r="P101" s="175" t="s">
        <v>729</v>
      </c>
      <c r="Q101" s="175" t="s">
        <v>841</v>
      </c>
      <c r="R101" s="175" t="s">
        <v>339</v>
      </c>
      <c r="S101" s="175" t="s">
        <v>19</v>
      </c>
      <c r="T101" s="175" t="s">
        <v>347</v>
      </c>
      <c r="U101" s="176">
        <v>15</v>
      </c>
      <c r="V101" s="176">
        <v>12</v>
      </c>
      <c r="W101" s="176" t="s">
        <v>21</v>
      </c>
      <c r="X101" s="179">
        <f t="shared" si="23"/>
        <v>12</v>
      </c>
      <c r="Y101" s="176">
        <v>4</v>
      </c>
      <c r="Z101" s="176" t="s">
        <v>20</v>
      </c>
      <c r="AA101" s="176" t="s">
        <v>18</v>
      </c>
      <c r="AB101" s="185" t="s">
        <v>18</v>
      </c>
      <c r="AC101" s="186" t="s">
        <v>21</v>
      </c>
      <c r="AD101" s="181" t="s">
        <v>1693</v>
      </c>
      <c r="AE101" s="179" t="s">
        <v>18</v>
      </c>
      <c r="AF101" s="191"/>
      <c r="AG101" s="175" t="s">
        <v>1173</v>
      </c>
      <c r="AH101" s="179">
        <f t="shared" si="15"/>
        <v>3</v>
      </c>
      <c r="AI101" s="179">
        <f>VLOOKUP(K101,[1]TRAMO!$A:$B,2,0)</f>
        <v>1</v>
      </c>
      <c r="AJ101" s="183">
        <f t="shared" si="16"/>
        <v>5074</v>
      </c>
      <c r="AK101" s="179">
        <f t="shared" si="17"/>
        <v>3</v>
      </c>
      <c r="AL101" s="183">
        <v>0</v>
      </c>
      <c r="AM101" s="183">
        <f t="shared" si="24"/>
        <v>180000</v>
      </c>
      <c r="AN101" s="183">
        <f t="shared" si="18"/>
        <v>0</v>
      </c>
      <c r="AO101" s="183">
        <f t="shared" si="19"/>
        <v>0</v>
      </c>
      <c r="AP101" s="183">
        <f t="shared" si="20"/>
        <v>913320</v>
      </c>
      <c r="AR101" s="183">
        <f t="shared" si="21"/>
        <v>0</v>
      </c>
      <c r="AS101" s="183">
        <f t="shared" si="22"/>
        <v>1093320</v>
      </c>
      <c r="AT101" s="175" t="s">
        <v>1694</v>
      </c>
      <c r="AU101" s="175" t="s">
        <v>1695</v>
      </c>
      <c r="AV101" s="175" t="s">
        <v>1696</v>
      </c>
      <c r="AW101" s="175" t="s">
        <v>1039</v>
      </c>
    </row>
    <row r="102" spans="1:49" ht="24.95" customHeight="1" x14ac:dyDescent="0.25">
      <c r="A102" s="175">
        <v>14358</v>
      </c>
      <c r="B102" s="175" t="s">
        <v>83</v>
      </c>
      <c r="C102" s="175" t="s">
        <v>1022</v>
      </c>
      <c r="D102" s="176">
        <v>1</v>
      </c>
      <c r="E102" s="176">
        <v>2025</v>
      </c>
      <c r="F102" s="176">
        <v>2025</v>
      </c>
      <c r="G102" s="175" t="s">
        <v>23</v>
      </c>
      <c r="H102" s="175" t="s">
        <v>83</v>
      </c>
      <c r="I102" s="175" t="s">
        <v>102</v>
      </c>
      <c r="J102" s="177" t="s">
        <v>398</v>
      </c>
      <c r="K102" s="175" t="s">
        <v>399</v>
      </c>
      <c r="L102" s="175" t="s">
        <v>21</v>
      </c>
      <c r="M102" s="175" t="s">
        <v>21</v>
      </c>
      <c r="N102" s="175">
        <v>1</v>
      </c>
      <c r="O102" s="175" t="s">
        <v>773</v>
      </c>
      <c r="P102" s="175" t="s">
        <v>778</v>
      </c>
      <c r="Q102" s="175" t="s">
        <v>702</v>
      </c>
      <c r="R102" s="175" t="s">
        <v>339</v>
      </c>
      <c r="S102" s="175" t="s">
        <v>22</v>
      </c>
      <c r="T102" s="175" t="s">
        <v>763</v>
      </c>
      <c r="U102" s="176">
        <v>10</v>
      </c>
      <c r="V102" s="176">
        <v>8</v>
      </c>
      <c r="W102" s="176" t="s">
        <v>21</v>
      </c>
      <c r="X102" s="179">
        <f t="shared" si="23"/>
        <v>8</v>
      </c>
      <c r="Y102" s="176">
        <v>4</v>
      </c>
      <c r="Z102" s="176" t="s">
        <v>20</v>
      </c>
      <c r="AA102" s="176" t="s">
        <v>20</v>
      </c>
      <c r="AB102" s="185" t="s">
        <v>18</v>
      </c>
      <c r="AC102" s="186" t="s">
        <v>21</v>
      </c>
      <c r="AD102" s="181" t="s">
        <v>1697</v>
      </c>
      <c r="AE102" s="179" t="s">
        <v>18</v>
      </c>
      <c r="AF102" s="191"/>
      <c r="AG102" s="175" t="s">
        <v>1173</v>
      </c>
      <c r="AH102" s="179">
        <f t="shared" si="15"/>
        <v>2</v>
      </c>
      <c r="AI102" s="179">
        <v>1</v>
      </c>
      <c r="AJ102" s="183">
        <f t="shared" si="16"/>
        <v>5074</v>
      </c>
      <c r="AK102" s="179">
        <f t="shared" si="17"/>
        <v>2</v>
      </c>
      <c r="AL102" s="183">
        <v>0</v>
      </c>
      <c r="AM102" s="183">
        <f t="shared" si="24"/>
        <v>80000</v>
      </c>
      <c r="AN102" s="183">
        <f t="shared" si="18"/>
        <v>100000</v>
      </c>
      <c r="AO102" s="183">
        <f t="shared" si="19"/>
        <v>0</v>
      </c>
      <c r="AP102" s="183">
        <f t="shared" si="20"/>
        <v>405920</v>
      </c>
      <c r="AR102" s="183">
        <f t="shared" si="21"/>
        <v>0</v>
      </c>
      <c r="AS102" s="183">
        <f t="shared" si="22"/>
        <v>585920</v>
      </c>
      <c r="AT102" s="175" t="s">
        <v>1698</v>
      </c>
      <c r="AU102" s="175" t="s">
        <v>1699</v>
      </c>
      <c r="AV102" s="175" t="s">
        <v>1700</v>
      </c>
      <c r="AW102" s="175" t="s">
        <v>1701</v>
      </c>
    </row>
    <row r="103" spans="1:49" ht="24.95" customHeight="1" x14ac:dyDescent="0.25">
      <c r="A103" s="175">
        <v>14252</v>
      </c>
      <c r="B103" s="175" t="s">
        <v>96</v>
      </c>
      <c r="C103" s="175" t="s">
        <v>39</v>
      </c>
      <c r="D103" s="176">
        <v>4</v>
      </c>
      <c r="E103" s="176">
        <v>2025</v>
      </c>
      <c r="F103" s="176">
        <v>2025</v>
      </c>
      <c r="G103" s="175" t="s">
        <v>23</v>
      </c>
      <c r="H103" s="175" t="s">
        <v>96</v>
      </c>
      <c r="I103" s="175" t="s">
        <v>1042</v>
      </c>
      <c r="J103" s="177" t="s">
        <v>788</v>
      </c>
      <c r="K103" s="175" t="s">
        <v>787</v>
      </c>
      <c r="L103" s="175" t="s">
        <v>21</v>
      </c>
      <c r="M103" s="175" t="s">
        <v>21</v>
      </c>
      <c r="N103" s="175">
        <v>13</v>
      </c>
      <c r="O103" s="175" t="s">
        <v>382</v>
      </c>
      <c r="P103" s="175" t="s">
        <v>717</v>
      </c>
      <c r="Q103" s="175" t="s">
        <v>1201</v>
      </c>
      <c r="R103" s="175" t="s">
        <v>339</v>
      </c>
      <c r="S103" s="175" t="s">
        <v>22</v>
      </c>
      <c r="T103" s="175" t="s">
        <v>337</v>
      </c>
      <c r="U103" s="176">
        <v>19</v>
      </c>
      <c r="V103" s="176">
        <v>20</v>
      </c>
      <c r="W103" s="176" t="s">
        <v>21</v>
      </c>
      <c r="X103" s="179">
        <f t="shared" si="23"/>
        <v>20</v>
      </c>
      <c r="Y103" s="176">
        <v>4</v>
      </c>
      <c r="Z103" s="176" t="s">
        <v>20</v>
      </c>
      <c r="AA103" s="176" t="s">
        <v>18</v>
      </c>
      <c r="AB103" s="185" t="s">
        <v>18</v>
      </c>
      <c r="AC103" s="186" t="s">
        <v>21</v>
      </c>
      <c r="AD103" s="181" t="s">
        <v>1702</v>
      </c>
      <c r="AE103" s="179" t="s">
        <v>18</v>
      </c>
      <c r="AF103" s="191"/>
      <c r="AG103" s="175" t="s">
        <v>1173</v>
      </c>
      <c r="AH103" s="179">
        <f t="shared" si="15"/>
        <v>5</v>
      </c>
      <c r="AI103" s="179">
        <v>1</v>
      </c>
      <c r="AJ103" s="183">
        <f t="shared" si="16"/>
        <v>5074</v>
      </c>
      <c r="AK103" s="179">
        <f t="shared" si="17"/>
        <v>5</v>
      </c>
      <c r="AL103" s="183">
        <v>0</v>
      </c>
      <c r="AM103" s="183">
        <f t="shared" si="24"/>
        <v>380000</v>
      </c>
      <c r="AN103" s="183">
        <f t="shared" si="18"/>
        <v>0</v>
      </c>
      <c r="AO103" s="183">
        <f t="shared" si="19"/>
        <v>0</v>
      </c>
      <c r="AP103" s="183">
        <f t="shared" si="20"/>
        <v>1928120</v>
      </c>
      <c r="AR103" s="183">
        <f t="shared" si="21"/>
        <v>0</v>
      </c>
      <c r="AS103" s="183">
        <f t="shared" si="22"/>
        <v>2308120</v>
      </c>
      <c r="AT103" s="175" t="s">
        <v>1703</v>
      </c>
      <c r="AU103" s="175" t="s">
        <v>1704</v>
      </c>
      <c r="AV103" s="175" t="s">
        <v>1705</v>
      </c>
      <c r="AW103" s="175" t="s">
        <v>1706</v>
      </c>
    </row>
    <row r="104" spans="1:49" ht="24.95" customHeight="1" x14ac:dyDescent="0.25">
      <c r="A104" s="175">
        <v>14390</v>
      </c>
      <c r="B104" s="175" t="s">
        <v>98</v>
      </c>
      <c r="C104" s="175" t="s">
        <v>41</v>
      </c>
      <c r="D104" s="176">
        <v>1</v>
      </c>
      <c r="E104" s="176">
        <v>2025</v>
      </c>
      <c r="F104" s="176">
        <v>2025</v>
      </c>
      <c r="G104" s="175" t="s">
        <v>23</v>
      </c>
      <c r="H104" s="175" t="s">
        <v>98</v>
      </c>
      <c r="I104" s="175" t="s">
        <v>1175</v>
      </c>
      <c r="J104" s="177" t="s">
        <v>875</v>
      </c>
      <c r="K104" s="175" t="s">
        <v>874</v>
      </c>
      <c r="L104" s="175" t="s">
        <v>21</v>
      </c>
      <c r="M104" s="175" t="s">
        <v>21</v>
      </c>
      <c r="N104" s="175">
        <v>5</v>
      </c>
      <c r="O104" s="175" t="s">
        <v>395</v>
      </c>
      <c r="P104" s="175" t="s">
        <v>1007</v>
      </c>
      <c r="Q104" s="175" t="s">
        <v>409</v>
      </c>
      <c r="R104" s="175" t="s">
        <v>339</v>
      </c>
      <c r="S104" s="175" t="s">
        <v>22</v>
      </c>
      <c r="T104" s="175" t="s">
        <v>1006</v>
      </c>
      <c r="U104" s="176">
        <v>20</v>
      </c>
      <c r="V104" s="176">
        <v>8</v>
      </c>
      <c r="W104" s="176" t="s">
        <v>21</v>
      </c>
      <c r="X104" s="179">
        <f t="shared" si="23"/>
        <v>8</v>
      </c>
      <c r="Y104" s="176">
        <v>4</v>
      </c>
      <c r="Z104" s="176" t="s">
        <v>20</v>
      </c>
      <c r="AA104" s="176" t="s">
        <v>18</v>
      </c>
      <c r="AB104" s="185" t="s">
        <v>18</v>
      </c>
      <c r="AC104" s="186" t="s">
        <v>21</v>
      </c>
      <c r="AD104" s="181" t="s">
        <v>1707</v>
      </c>
      <c r="AE104" s="179" t="s">
        <v>18</v>
      </c>
      <c r="AF104" s="191"/>
      <c r="AG104" s="175" t="s">
        <v>1173</v>
      </c>
      <c r="AH104" s="179">
        <f t="shared" si="15"/>
        <v>2</v>
      </c>
      <c r="AI104" s="179">
        <v>1</v>
      </c>
      <c r="AJ104" s="183">
        <f t="shared" si="16"/>
        <v>5074</v>
      </c>
      <c r="AK104" s="179">
        <f t="shared" si="17"/>
        <v>2</v>
      </c>
      <c r="AL104" s="183">
        <v>0</v>
      </c>
      <c r="AM104" s="183">
        <f t="shared" si="24"/>
        <v>160000</v>
      </c>
      <c r="AN104" s="183">
        <f t="shared" si="18"/>
        <v>0</v>
      </c>
      <c r="AO104" s="183">
        <f t="shared" si="19"/>
        <v>0</v>
      </c>
      <c r="AP104" s="183">
        <f t="shared" si="20"/>
        <v>811840</v>
      </c>
      <c r="AR104" s="183">
        <f t="shared" si="21"/>
        <v>0</v>
      </c>
      <c r="AS104" s="183">
        <f t="shared" si="22"/>
        <v>971840</v>
      </c>
      <c r="AT104" s="175" t="s">
        <v>1708</v>
      </c>
      <c r="AU104" s="175" t="s">
        <v>1709</v>
      </c>
      <c r="AV104" s="175" t="s">
        <v>1710</v>
      </c>
      <c r="AW104" s="175" t="s">
        <v>1711</v>
      </c>
    </row>
    <row r="105" spans="1:49" ht="24.95" customHeight="1" x14ac:dyDescent="0.25">
      <c r="A105" s="175">
        <v>14299</v>
      </c>
      <c r="B105" s="175" t="s">
        <v>94</v>
      </c>
      <c r="C105" s="175" t="s">
        <v>37</v>
      </c>
      <c r="D105" s="176">
        <v>1</v>
      </c>
      <c r="E105" s="176">
        <v>2025</v>
      </c>
      <c r="F105" s="176">
        <v>2025</v>
      </c>
      <c r="G105" s="175" t="s">
        <v>23</v>
      </c>
      <c r="H105" s="175" t="s">
        <v>94</v>
      </c>
      <c r="I105" s="175" t="s">
        <v>113</v>
      </c>
      <c r="J105" s="177" t="s">
        <v>704</v>
      </c>
      <c r="K105" s="175" t="s">
        <v>705</v>
      </c>
      <c r="L105" s="175" t="s">
        <v>21</v>
      </c>
      <c r="M105" s="175" t="s">
        <v>21</v>
      </c>
      <c r="N105" s="175">
        <v>13</v>
      </c>
      <c r="O105" s="175" t="s">
        <v>382</v>
      </c>
      <c r="P105" s="175" t="s">
        <v>717</v>
      </c>
      <c r="Q105" s="175" t="s">
        <v>1201</v>
      </c>
      <c r="R105" s="175" t="s">
        <v>339</v>
      </c>
      <c r="S105" s="175" t="s">
        <v>22</v>
      </c>
      <c r="T105" s="175" t="s">
        <v>337</v>
      </c>
      <c r="U105" s="176">
        <v>15</v>
      </c>
      <c r="V105" s="176">
        <v>90</v>
      </c>
      <c r="W105" s="176" t="s">
        <v>21</v>
      </c>
      <c r="X105" s="179">
        <f t="shared" si="23"/>
        <v>90</v>
      </c>
      <c r="Y105" s="176">
        <v>4</v>
      </c>
      <c r="Z105" s="176" t="s">
        <v>20</v>
      </c>
      <c r="AA105" s="176" t="s">
        <v>18</v>
      </c>
      <c r="AB105" s="185" t="s">
        <v>18</v>
      </c>
      <c r="AC105" s="186" t="s">
        <v>21</v>
      </c>
      <c r="AD105" s="181" t="s">
        <v>1712</v>
      </c>
      <c r="AE105" s="179" t="s">
        <v>18</v>
      </c>
      <c r="AF105" s="191"/>
      <c r="AG105" s="175" t="s">
        <v>1173</v>
      </c>
      <c r="AH105" s="179">
        <f t="shared" si="15"/>
        <v>23</v>
      </c>
      <c r="AI105" s="179">
        <f>VLOOKUP(K105,[1]TRAMO!$A:$B,2,0)</f>
        <v>2</v>
      </c>
      <c r="AJ105" s="183">
        <f t="shared" si="16"/>
        <v>6372</v>
      </c>
      <c r="AK105" s="179">
        <f t="shared" si="17"/>
        <v>22.5</v>
      </c>
      <c r="AL105" s="183">
        <v>0</v>
      </c>
      <c r="AM105" s="183">
        <f t="shared" si="24"/>
        <v>1380000</v>
      </c>
      <c r="AN105" s="183">
        <f t="shared" si="18"/>
        <v>0</v>
      </c>
      <c r="AO105" s="183">
        <f t="shared" si="19"/>
        <v>0</v>
      </c>
      <c r="AP105" s="183">
        <f t="shared" si="20"/>
        <v>8602200</v>
      </c>
      <c r="AR105" s="183">
        <f t="shared" si="21"/>
        <v>0</v>
      </c>
      <c r="AS105" s="183">
        <f t="shared" si="22"/>
        <v>9982200</v>
      </c>
      <c r="AT105" s="175" t="s">
        <v>1713</v>
      </c>
      <c r="AU105" s="175" t="s">
        <v>1714</v>
      </c>
      <c r="AV105" s="175" t="s">
        <v>1715</v>
      </c>
      <c r="AW105" s="175" t="s">
        <v>1041</v>
      </c>
    </row>
    <row r="106" spans="1:49" ht="24.95" customHeight="1" x14ac:dyDescent="0.25">
      <c r="A106" s="175">
        <v>14378</v>
      </c>
      <c r="B106" s="175" t="s">
        <v>83</v>
      </c>
      <c r="C106" s="175" t="s">
        <v>1022</v>
      </c>
      <c r="D106" s="176">
        <v>1</v>
      </c>
      <c r="E106" s="176">
        <v>2025</v>
      </c>
      <c r="F106" s="176">
        <v>2025</v>
      </c>
      <c r="G106" s="175" t="s">
        <v>23</v>
      </c>
      <c r="H106" s="175" t="s">
        <v>83</v>
      </c>
      <c r="I106" s="175" t="s">
        <v>102</v>
      </c>
      <c r="J106" s="177" t="s">
        <v>704</v>
      </c>
      <c r="K106" s="175" t="s">
        <v>705</v>
      </c>
      <c r="L106" s="175" t="s">
        <v>21</v>
      </c>
      <c r="M106" s="175" t="s">
        <v>21</v>
      </c>
      <c r="N106" s="175">
        <v>13</v>
      </c>
      <c r="O106" s="175" t="s">
        <v>382</v>
      </c>
      <c r="P106" s="175" t="s">
        <v>714</v>
      </c>
      <c r="Q106" s="175" t="s">
        <v>1201</v>
      </c>
      <c r="R106" s="175" t="s">
        <v>339</v>
      </c>
      <c r="S106" s="175" t="s">
        <v>22</v>
      </c>
      <c r="T106" s="175" t="s">
        <v>337</v>
      </c>
      <c r="U106" s="176">
        <v>20</v>
      </c>
      <c r="V106" s="176">
        <v>90</v>
      </c>
      <c r="W106" s="176" t="s">
        <v>21</v>
      </c>
      <c r="X106" s="179">
        <f t="shared" si="23"/>
        <v>90</v>
      </c>
      <c r="Y106" s="176">
        <v>5</v>
      </c>
      <c r="Z106" s="176" t="s">
        <v>20</v>
      </c>
      <c r="AA106" s="176" t="s">
        <v>18</v>
      </c>
      <c r="AB106" s="185" t="s">
        <v>18</v>
      </c>
      <c r="AC106" s="186" t="s">
        <v>21</v>
      </c>
      <c r="AD106" s="181" t="s">
        <v>1716</v>
      </c>
      <c r="AE106" s="179" t="s">
        <v>18</v>
      </c>
      <c r="AF106" s="191"/>
      <c r="AG106" s="175" t="s">
        <v>1173</v>
      </c>
      <c r="AH106" s="179">
        <f t="shared" si="15"/>
        <v>18</v>
      </c>
      <c r="AI106" s="179">
        <f>VLOOKUP(K106,[1]TRAMO!$A:$B,2,0)</f>
        <v>2</v>
      </c>
      <c r="AJ106" s="183">
        <f t="shared" si="16"/>
        <v>6372</v>
      </c>
      <c r="AK106" s="179">
        <f t="shared" si="17"/>
        <v>18</v>
      </c>
      <c r="AL106" s="183">
        <v>0</v>
      </c>
      <c r="AM106" s="183">
        <f t="shared" si="24"/>
        <v>1440000</v>
      </c>
      <c r="AN106" s="183">
        <f t="shared" si="18"/>
        <v>0</v>
      </c>
      <c r="AO106" s="183">
        <f t="shared" si="19"/>
        <v>0</v>
      </c>
      <c r="AP106" s="183">
        <f t="shared" si="20"/>
        <v>11469600</v>
      </c>
      <c r="AR106" s="183">
        <f t="shared" si="21"/>
        <v>0</v>
      </c>
      <c r="AS106" s="183">
        <f t="shared" si="22"/>
        <v>12909600</v>
      </c>
      <c r="AT106" s="175" t="s">
        <v>1535</v>
      </c>
      <c r="AU106" s="175" t="s">
        <v>1536</v>
      </c>
      <c r="AV106" s="175" t="s">
        <v>1537</v>
      </c>
      <c r="AW106" s="175" t="s">
        <v>1538</v>
      </c>
    </row>
    <row r="107" spans="1:49" ht="24.95" customHeight="1" x14ac:dyDescent="0.25">
      <c r="A107" s="175">
        <v>14470</v>
      </c>
      <c r="B107" s="175" t="s">
        <v>96</v>
      </c>
      <c r="C107" s="175" t="s">
        <v>39</v>
      </c>
      <c r="D107" s="176">
        <v>4</v>
      </c>
      <c r="E107" s="176">
        <v>2025</v>
      </c>
      <c r="F107" s="176">
        <v>2025</v>
      </c>
      <c r="G107" s="175" t="s">
        <v>23</v>
      </c>
      <c r="H107" s="175" t="s">
        <v>96</v>
      </c>
      <c r="I107" s="175" t="s">
        <v>1042</v>
      </c>
      <c r="J107" s="177" t="s">
        <v>704</v>
      </c>
      <c r="K107" s="175" t="s">
        <v>705</v>
      </c>
      <c r="L107" s="175" t="s">
        <v>21</v>
      </c>
      <c r="M107" s="175" t="s">
        <v>21</v>
      </c>
      <c r="N107" s="175">
        <v>8</v>
      </c>
      <c r="O107" s="175" t="s">
        <v>709</v>
      </c>
      <c r="P107" s="175" t="s">
        <v>1539</v>
      </c>
      <c r="Q107" s="175" t="s">
        <v>1201</v>
      </c>
      <c r="R107" s="175" t="s">
        <v>339</v>
      </c>
      <c r="S107" s="175" t="s">
        <v>22</v>
      </c>
      <c r="T107" s="175" t="s">
        <v>337</v>
      </c>
      <c r="U107" s="176">
        <v>15</v>
      </c>
      <c r="V107" s="176">
        <v>90</v>
      </c>
      <c r="W107" s="176" t="s">
        <v>21</v>
      </c>
      <c r="X107" s="179">
        <f t="shared" si="23"/>
        <v>90</v>
      </c>
      <c r="Y107" s="176">
        <v>5</v>
      </c>
      <c r="Z107" s="176" t="s">
        <v>20</v>
      </c>
      <c r="AA107" s="176" t="s">
        <v>18</v>
      </c>
      <c r="AB107" s="185" t="s">
        <v>18</v>
      </c>
      <c r="AC107" s="186" t="s">
        <v>21</v>
      </c>
      <c r="AD107" s="181" t="s">
        <v>1717</v>
      </c>
      <c r="AE107" s="179" t="s">
        <v>18</v>
      </c>
      <c r="AF107" s="191"/>
      <c r="AG107" s="175" t="s">
        <v>1173</v>
      </c>
      <c r="AH107" s="179">
        <f t="shared" si="15"/>
        <v>18</v>
      </c>
      <c r="AI107" s="179">
        <f>VLOOKUP(K107,[1]TRAMO!$A:$B,2,0)</f>
        <v>2</v>
      </c>
      <c r="AJ107" s="183">
        <f t="shared" si="16"/>
        <v>6372</v>
      </c>
      <c r="AK107" s="179">
        <f t="shared" si="17"/>
        <v>18</v>
      </c>
      <c r="AL107" s="183">
        <v>0</v>
      </c>
      <c r="AM107" s="183">
        <f t="shared" si="24"/>
        <v>1080000</v>
      </c>
      <c r="AN107" s="183">
        <f t="shared" si="18"/>
        <v>0</v>
      </c>
      <c r="AO107" s="183">
        <f t="shared" si="19"/>
        <v>0</v>
      </c>
      <c r="AP107" s="183">
        <f t="shared" si="20"/>
        <v>8602200</v>
      </c>
      <c r="AR107" s="183">
        <f t="shared" si="21"/>
        <v>0</v>
      </c>
      <c r="AS107" s="183">
        <f t="shared" si="22"/>
        <v>9682200</v>
      </c>
      <c r="AT107" s="175" t="s">
        <v>1718</v>
      </c>
      <c r="AU107" s="175" t="s">
        <v>1719</v>
      </c>
      <c r="AV107" s="175" t="s">
        <v>1720</v>
      </c>
      <c r="AW107" s="175" t="s">
        <v>1721</v>
      </c>
    </row>
    <row r="108" spans="1:49" ht="24.95" customHeight="1" x14ac:dyDescent="0.25">
      <c r="A108" s="175">
        <v>14415</v>
      </c>
      <c r="B108" s="175" t="s">
        <v>98</v>
      </c>
      <c r="C108" s="175" t="s">
        <v>41</v>
      </c>
      <c r="D108" s="176">
        <v>1</v>
      </c>
      <c r="E108" s="176">
        <v>2025</v>
      </c>
      <c r="F108" s="176">
        <v>2025</v>
      </c>
      <c r="G108" s="175" t="s">
        <v>23</v>
      </c>
      <c r="H108" s="175" t="s">
        <v>98</v>
      </c>
      <c r="I108" s="175" t="s">
        <v>1175</v>
      </c>
      <c r="J108" s="177" t="s">
        <v>760</v>
      </c>
      <c r="K108" s="175" t="s">
        <v>759</v>
      </c>
      <c r="L108" s="175" t="s">
        <v>21</v>
      </c>
      <c r="M108" s="175" t="s">
        <v>21</v>
      </c>
      <c r="N108" s="175">
        <v>14</v>
      </c>
      <c r="O108" s="175" t="s">
        <v>1722</v>
      </c>
      <c r="P108" s="175" t="s">
        <v>731</v>
      </c>
      <c r="Q108" s="175" t="s">
        <v>409</v>
      </c>
      <c r="R108" s="175" t="s">
        <v>339</v>
      </c>
      <c r="S108" s="175" t="s">
        <v>22</v>
      </c>
      <c r="T108" s="175" t="s">
        <v>866</v>
      </c>
      <c r="U108" s="176">
        <v>20</v>
      </c>
      <c r="V108" s="176">
        <v>8</v>
      </c>
      <c r="W108" s="176" t="s">
        <v>21</v>
      </c>
      <c r="X108" s="179">
        <f t="shared" si="23"/>
        <v>8</v>
      </c>
      <c r="Y108" s="176">
        <v>5</v>
      </c>
      <c r="Z108" s="176" t="s">
        <v>20</v>
      </c>
      <c r="AA108" s="176" t="s">
        <v>18</v>
      </c>
      <c r="AB108" s="185" t="s">
        <v>18</v>
      </c>
      <c r="AC108" s="186" t="s">
        <v>21</v>
      </c>
      <c r="AD108" s="181" t="s">
        <v>1723</v>
      </c>
      <c r="AE108" s="179" t="s">
        <v>18</v>
      </c>
      <c r="AF108" s="191"/>
      <c r="AG108" s="175" t="s">
        <v>1173</v>
      </c>
      <c r="AH108" s="179">
        <f t="shared" si="15"/>
        <v>2</v>
      </c>
      <c r="AI108" s="179">
        <v>1</v>
      </c>
      <c r="AJ108" s="183">
        <f t="shared" si="16"/>
        <v>5074</v>
      </c>
      <c r="AK108" s="179">
        <f t="shared" si="17"/>
        <v>1.6</v>
      </c>
      <c r="AL108" s="183">
        <v>0</v>
      </c>
      <c r="AM108" s="183">
        <f t="shared" si="24"/>
        <v>160000</v>
      </c>
      <c r="AN108" s="183">
        <f t="shared" si="18"/>
        <v>0</v>
      </c>
      <c r="AO108" s="183">
        <f t="shared" si="19"/>
        <v>0</v>
      </c>
      <c r="AP108" s="183">
        <f t="shared" si="20"/>
        <v>811840</v>
      </c>
      <c r="AR108" s="183">
        <f t="shared" si="21"/>
        <v>0</v>
      </c>
      <c r="AS108" s="183">
        <f t="shared" si="22"/>
        <v>971840</v>
      </c>
      <c r="AT108" s="175" t="s">
        <v>1724</v>
      </c>
      <c r="AU108" s="175" t="s">
        <v>1725</v>
      </c>
      <c r="AV108" s="175" t="s">
        <v>1726</v>
      </c>
      <c r="AW108" s="175" t="s">
        <v>1727</v>
      </c>
    </row>
    <row r="109" spans="1:49" ht="24.95" customHeight="1" x14ac:dyDescent="0.25">
      <c r="A109" s="175">
        <v>14391</v>
      </c>
      <c r="B109" s="175" t="s">
        <v>98</v>
      </c>
      <c r="C109" s="175" t="s">
        <v>41</v>
      </c>
      <c r="D109" s="176">
        <v>1</v>
      </c>
      <c r="E109" s="176">
        <v>2025</v>
      </c>
      <c r="F109" s="176">
        <v>2025</v>
      </c>
      <c r="G109" s="175" t="s">
        <v>23</v>
      </c>
      <c r="H109" s="175" t="s">
        <v>98</v>
      </c>
      <c r="I109" s="175" t="s">
        <v>1175</v>
      </c>
      <c r="J109" s="177" t="s">
        <v>762</v>
      </c>
      <c r="K109" s="175" t="s">
        <v>761</v>
      </c>
      <c r="L109" s="175" t="s">
        <v>21</v>
      </c>
      <c r="M109" s="175" t="s">
        <v>21</v>
      </c>
      <c r="N109" s="175">
        <v>5</v>
      </c>
      <c r="O109" s="175" t="s">
        <v>395</v>
      </c>
      <c r="P109" s="175" t="s">
        <v>1007</v>
      </c>
      <c r="Q109" s="175" t="s">
        <v>409</v>
      </c>
      <c r="R109" s="175" t="s">
        <v>339</v>
      </c>
      <c r="S109" s="175" t="s">
        <v>22</v>
      </c>
      <c r="T109" s="175" t="s">
        <v>393</v>
      </c>
      <c r="U109" s="176">
        <v>17</v>
      </c>
      <c r="V109" s="176">
        <v>72</v>
      </c>
      <c r="W109" s="176" t="s">
        <v>21</v>
      </c>
      <c r="X109" s="179">
        <f t="shared" si="23"/>
        <v>72</v>
      </c>
      <c r="Y109" s="176">
        <v>4</v>
      </c>
      <c r="Z109" s="176" t="s">
        <v>20</v>
      </c>
      <c r="AA109" s="176" t="s">
        <v>18</v>
      </c>
      <c r="AB109" s="185" t="s">
        <v>18</v>
      </c>
      <c r="AC109" s="186" t="s">
        <v>21</v>
      </c>
      <c r="AD109" s="181" t="s">
        <v>1707</v>
      </c>
      <c r="AE109" s="179" t="s">
        <v>18</v>
      </c>
      <c r="AF109" s="191"/>
      <c r="AG109" s="175" t="s">
        <v>1173</v>
      </c>
      <c r="AH109" s="179">
        <f t="shared" si="15"/>
        <v>18</v>
      </c>
      <c r="AI109" s="179">
        <f>VLOOKUP(K109,[1]TRAMO!$A:$B,2,0)</f>
        <v>1</v>
      </c>
      <c r="AJ109" s="183">
        <f t="shared" si="16"/>
        <v>5074</v>
      </c>
      <c r="AK109" s="179">
        <f t="shared" si="17"/>
        <v>18</v>
      </c>
      <c r="AL109" s="183">
        <v>0</v>
      </c>
      <c r="AM109" s="183">
        <f t="shared" si="24"/>
        <v>1224000</v>
      </c>
      <c r="AN109" s="183">
        <f t="shared" si="18"/>
        <v>0</v>
      </c>
      <c r="AO109" s="183">
        <f t="shared" si="19"/>
        <v>0</v>
      </c>
      <c r="AP109" s="183">
        <f t="shared" si="20"/>
        <v>6210576</v>
      </c>
      <c r="AR109" s="183">
        <f t="shared" si="21"/>
        <v>0</v>
      </c>
      <c r="AS109" s="183">
        <f t="shared" si="22"/>
        <v>7434576</v>
      </c>
      <c r="AT109" s="175" t="s">
        <v>1708</v>
      </c>
      <c r="AU109" s="175" t="s">
        <v>1709</v>
      </c>
      <c r="AV109" s="175" t="s">
        <v>1710</v>
      </c>
      <c r="AW109" s="175" t="s">
        <v>1711</v>
      </c>
    </row>
    <row r="110" spans="1:49" ht="24.95" customHeight="1" x14ac:dyDescent="0.25">
      <c r="A110" s="175">
        <v>14275</v>
      </c>
      <c r="B110" s="175" t="s">
        <v>98</v>
      </c>
      <c r="C110" s="175" t="s">
        <v>41</v>
      </c>
      <c r="D110" s="176">
        <v>1</v>
      </c>
      <c r="E110" s="176">
        <v>2025</v>
      </c>
      <c r="F110" s="176">
        <v>2025</v>
      </c>
      <c r="G110" s="175" t="s">
        <v>23</v>
      </c>
      <c r="H110" s="175" t="s">
        <v>98</v>
      </c>
      <c r="I110" s="175" t="s">
        <v>1175</v>
      </c>
      <c r="J110" s="177" t="s">
        <v>762</v>
      </c>
      <c r="K110" s="175" t="s">
        <v>761</v>
      </c>
      <c r="L110" s="175" t="s">
        <v>875</v>
      </c>
      <c r="M110" s="175" t="s">
        <v>874</v>
      </c>
      <c r="N110" s="175">
        <v>14</v>
      </c>
      <c r="O110" s="175" t="s">
        <v>1722</v>
      </c>
      <c r="P110" s="175" t="s">
        <v>828</v>
      </c>
      <c r="Q110" s="175" t="s">
        <v>409</v>
      </c>
      <c r="R110" s="175" t="s">
        <v>339</v>
      </c>
      <c r="S110" s="175" t="s">
        <v>22</v>
      </c>
      <c r="T110" s="175" t="s">
        <v>784</v>
      </c>
      <c r="U110" s="176">
        <v>11</v>
      </c>
      <c r="V110" s="176">
        <v>72</v>
      </c>
      <c r="W110" s="176">
        <v>8</v>
      </c>
      <c r="X110" s="179">
        <f t="shared" si="23"/>
        <v>80</v>
      </c>
      <c r="Y110" s="176">
        <v>4</v>
      </c>
      <c r="Z110" s="176" t="s">
        <v>20</v>
      </c>
      <c r="AA110" s="176" t="s">
        <v>18</v>
      </c>
      <c r="AB110" s="185" t="s">
        <v>18</v>
      </c>
      <c r="AC110" s="186" t="s">
        <v>21</v>
      </c>
      <c r="AD110" s="181" t="s">
        <v>1728</v>
      </c>
      <c r="AE110" s="179" t="s">
        <v>18</v>
      </c>
      <c r="AF110" s="191"/>
      <c r="AG110" s="175" t="s">
        <v>1173</v>
      </c>
      <c r="AH110" s="179">
        <f t="shared" si="15"/>
        <v>20</v>
      </c>
      <c r="AI110" s="179">
        <f>VLOOKUP(K110,[1]TRAMO!$A:$B,2,0)</f>
        <v>1</v>
      </c>
      <c r="AJ110" s="183">
        <f t="shared" si="16"/>
        <v>5074</v>
      </c>
      <c r="AK110" s="179">
        <f t="shared" si="17"/>
        <v>20</v>
      </c>
      <c r="AL110" s="183">
        <v>0</v>
      </c>
      <c r="AM110" s="183">
        <f t="shared" si="24"/>
        <v>880000</v>
      </c>
      <c r="AN110" s="183">
        <f t="shared" si="18"/>
        <v>0</v>
      </c>
      <c r="AO110" s="183">
        <f t="shared" si="19"/>
        <v>0</v>
      </c>
      <c r="AP110" s="183">
        <f t="shared" si="20"/>
        <v>4465120</v>
      </c>
      <c r="AR110" s="183">
        <f t="shared" si="21"/>
        <v>0</v>
      </c>
      <c r="AS110" s="183">
        <f t="shared" si="22"/>
        <v>5345120</v>
      </c>
      <c r="AT110" s="175" t="s">
        <v>1729</v>
      </c>
      <c r="AU110" s="175" t="s">
        <v>1730</v>
      </c>
      <c r="AV110" s="175" t="s">
        <v>1731</v>
      </c>
      <c r="AW110" s="175" t="s">
        <v>1732</v>
      </c>
    </row>
    <row r="111" spans="1:49" ht="24.95" customHeight="1" x14ac:dyDescent="0.25">
      <c r="A111" s="175">
        <v>14276</v>
      </c>
      <c r="B111" s="175" t="s">
        <v>98</v>
      </c>
      <c r="C111" s="175" t="s">
        <v>41</v>
      </c>
      <c r="D111" s="176">
        <v>1</v>
      </c>
      <c r="E111" s="176">
        <v>2025</v>
      </c>
      <c r="F111" s="176">
        <v>2025</v>
      </c>
      <c r="G111" s="175" t="s">
        <v>23</v>
      </c>
      <c r="H111" s="175" t="s">
        <v>98</v>
      </c>
      <c r="I111" s="175" t="s">
        <v>1175</v>
      </c>
      <c r="J111" s="177" t="s">
        <v>762</v>
      </c>
      <c r="K111" s="175" t="s">
        <v>761</v>
      </c>
      <c r="L111" s="175" t="s">
        <v>875</v>
      </c>
      <c r="M111" s="175" t="s">
        <v>874</v>
      </c>
      <c r="N111" s="175">
        <v>9</v>
      </c>
      <c r="O111" s="175" t="s">
        <v>424</v>
      </c>
      <c r="P111" s="175" t="s">
        <v>872</v>
      </c>
      <c r="Q111" s="175" t="s">
        <v>409</v>
      </c>
      <c r="R111" s="175" t="s">
        <v>339</v>
      </c>
      <c r="S111" s="175" t="s">
        <v>22</v>
      </c>
      <c r="T111" s="175" t="s">
        <v>784</v>
      </c>
      <c r="U111" s="176">
        <v>11</v>
      </c>
      <c r="V111" s="176">
        <v>72</v>
      </c>
      <c r="W111" s="176">
        <v>8</v>
      </c>
      <c r="X111" s="179">
        <f t="shared" si="23"/>
        <v>80</v>
      </c>
      <c r="Y111" s="176">
        <v>4</v>
      </c>
      <c r="Z111" s="176" t="s">
        <v>20</v>
      </c>
      <c r="AA111" s="176" t="s">
        <v>18</v>
      </c>
      <c r="AB111" s="185" t="s">
        <v>18</v>
      </c>
      <c r="AC111" s="186" t="s">
        <v>21</v>
      </c>
      <c r="AD111" s="181" t="s">
        <v>1733</v>
      </c>
      <c r="AE111" s="179" t="s">
        <v>18</v>
      </c>
      <c r="AF111" s="191"/>
      <c r="AG111" s="175" t="s">
        <v>1173</v>
      </c>
      <c r="AH111" s="179">
        <f t="shared" si="15"/>
        <v>20</v>
      </c>
      <c r="AI111" s="179">
        <f>VLOOKUP(K111,[1]TRAMO!$A:$B,2,0)</f>
        <v>1</v>
      </c>
      <c r="AJ111" s="183">
        <f t="shared" si="16"/>
        <v>5074</v>
      </c>
      <c r="AK111" s="179">
        <f t="shared" si="17"/>
        <v>20</v>
      </c>
      <c r="AL111" s="183">
        <v>0</v>
      </c>
      <c r="AM111" s="183">
        <f t="shared" si="24"/>
        <v>880000</v>
      </c>
      <c r="AN111" s="183">
        <f t="shared" si="18"/>
        <v>0</v>
      </c>
      <c r="AO111" s="183">
        <f t="shared" si="19"/>
        <v>0</v>
      </c>
      <c r="AP111" s="183">
        <f t="shared" si="20"/>
        <v>4465120</v>
      </c>
      <c r="AR111" s="183">
        <f t="shared" si="21"/>
        <v>0</v>
      </c>
      <c r="AS111" s="183">
        <f t="shared" si="22"/>
        <v>5345120</v>
      </c>
      <c r="AT111" s="175" t="s">
        <v>1729</v>
      </c>
      <c r="AU111" s="175" t="s">
        <v>1730</v>
      </c>
      <c r="AV111" s="175" t="s">
        <v>1731</v>
      </c>
      <c r="AW111" s="175" t="s">
        <v>1732</v>
      </c>
    </row>
    <row r="112" spans="1:49" ht="24.95" customHeight="1" x14ac:dyDescent="0.25">
      <c r="A112" s="175">
        <v>14284</v>
      </c>
      <c r="B112" s="175" t="s">
        <v>98</v>
      </c>
      <c r="C112" s="175" t="s">
        <v>41</v>
      </c>
      <c r="D112" s="176">
        <v>1</v>
      </c>
      <c r="E112" s="176">
        <v>2025</v>
      </c>
      <c r="F112" s="176">
        <v>2025</v>
      </c>
      <c r="G112" s="175" t="s">
        <v>23</v>
      </c>
      <c r="H112" s="175" t="s">
        <v>98</v>
      </c>
      <c r="I112" s="175" t="s">
        <v>1175</v>
      </c>
      <c r="J112" s="177" t="s">
        <v>762</v>
      </c>
      <c r="K112" s="175" t="s">
        <v>761</v>
      </c>
      <c r="L112" s="175" t="s">
        <v>875</v>
      </c>
      <c r="M112" s="175" t="s">
        <v>874</v>
      </c>
      <c r="N112" s="175">
        <v>13</v>
      </c>
      <c r="O112" s="175" t="s">
        <v>382</v>
      </c>
      <c r="P112" s="175" t="s">
        <v>1734</v>
      </c>
      <c r="Q112" s="175" t="s">
        <v>409</v>
      </c>
      <c r="R112" s="175" t="s">
        <v>339</v>
      </c>
      <c r="S112" s="175" t="s">
        <v>22</v>
      </c>
      <c r="T112" s="175" t="s">
        <v>337</v>
      </c>
      <c r="U112" s="176">
        <v>20</v>
      </c>
      <c r="V112" s="176">
        <v>72</v>
      </c>
      <c r="W112" s="176">
        <v>8</v>
      </c>
      <c r="X112" s="179">
        <f t="shared" si="23"/>
        <v>80</v>
      </c>
      <c r="Y112" s="176">
        <v>3</v>
      </c>
      <c r="Z112" s="176" t="s">
        <v>20</v>
      </c>
      <c r="AA112" s="176" t="s">
        <v>18</v>
      </c>
      <c r="AB112" s="185" t="s">
        <v>18</v>
      </c>
      <c r="AC112" s="186" t="s">
        <v>21</v>
      </c>
      <c r="AD112" s="181" t="s">
        <v>1735</v>
      </c>
      <c r="AE112" s="179" t="s">
        <v>18</v>
      </c>
      <c r="AF112" s="191"/>
      <c r="AG112" s="175" t="s">
        <v>1173</v>
      </c>
      <c r="AH112" s="179">
        <f t="shared" si="15"/>
        <v>27</v>
      </c>
      <c r="AI112" s="179">
        <f>VLOOKUP(K112,[1]TRAMO!$A:$B,2,0)</f>
        <v>1</v>
      </c>
      <c r="AJ112" s="183">
        <f t="shared" si="16"/>
        <v>5074</v>
      </c>
      <c r="AK112" s="179">
        <f t="shared" si="17"/>
        <v>26.666666666666668</v>
      </c>
      <c r="AL112" s="183">
        <v>0</v>
      </c>
      <c r="AM112" s="183">
        <f t="shared" si="24"/>
        <v>2160000</v>
      </c>
      <c r="AN112" s="183">
        <f t="shared" si="18"/>
        <v>0</v>
      </c>
      <c r="AO112" s="183">
        <f t="shared" si="19"/>
        <v>0</v>
      </c>
      <c r="AP112" s="183">
        <f t="shared" si="20"/>
        <v>8118400</v>
      </c>
      <c r="AR112" s="183">
        <f t="shared" si="21"/>
        <v>0</v>
      </c>
      <c r="AS112" s="183">
        <f t="shared" si="22"/>
        <v>10278400</v>
      </c>
      <c r="AT112" s="175" t="s">
        <v>1729</v>
      </c>
      <c r="AU112" s="175" t="s">
        <v>1730</v>
      </c>
      <c r="AV112" s="175" t="s">
        <v>1736</v>
      </c>
      <c r="AW112" s="175" t="s">
        <v>1737</v>
      </c>
    </row>
    <row r="113" spans="1:49" ht="24.95" customHeight="1" x14ac:dyDescent="0.25">
      <c r="A113" s="175">
        <v>14218</v>
      </c>
      <c r="B113" s="175" t="s">
        <v>89</v>
      </c>
      <c r="C113" s="175" t="s">
        <v>32</v>
      </c>
      <c r="D113" s="176">
        <v>1</v>
      </c>
      <c r="E113" s="176">
        <v>2025</v>
      </c>
      <c r="F113" s="176">
        <v>2025</v>
      </c>
      <c r="G113" s="175" t="s">
        <v>23</v>
      </c>
      <c r="H113" s="175" t="s">
        <v>89</v>
      </c>
      <c r="I113" s="175" t="s">
        <v>1170</v>
      </c>
      <c r="J113" s="177" t="s">
        <v>1171</v>
      </c>
      <c r="K113" s="175" t="s">
        <v>1172</v>
      </c>
      <c r="L113" s="175" t="s">
        <v>21</v>
      </c>
      <c r="M113" s="175" t="s">
        <v>21</v>
      </c>
      <c r="N113" s="175">
        <v>13</v>
      </c>
      <c r="O113" s="175" t="s">
        <v>382</v>
      </c>
      <c r="P113" s="175" t="s">
        <v>402</v>
      </c>
      <c r="Q113" s="175" t="s">
        <v>1201</v>
      </c>
      <c r="R113" s="175" t="s">
        <v>339</v>
      </c>
      <c r="S113" s="175" t="s">
        <v>19</v>
      </c>
      <c r="T113" s="175" t="s">
        <v>337</v>
      </c>
      <c r="U113" s="176">
        <v>15</v>
      </c>
      <c r="V113" s="176">
        <v>120</v>
      </c>
      <c r="W113" s="176" t="s">
        <v>21</v>
      </c>
      <c r="X113" s="179">
        <f t="shared" si="23"/>
        <v>120</v>
      </c>
      <c r="Y113" s="176">
        <v>4</v>
      </c>
      <c r="Z113" s="176" t="s">
        <v>20</v>
      </c>
      <c r="AA113" s="176" t="s">
        <v>18</v>
      </c>
      <c r="AB113" s="185" t="s">
        <v>18</v>
      </c>
      <c r="AC113" s="186" t="s">
        <v>21</v>
      </c>
      <c r="AD113" s="181" t="s">
        <v>1738</v>
      </c>
      <c r="AE113" s="179" t="s">
        <v>18</v>
      </c>
      <c r="AF113" s="191"/>
      <c r="AG113" s="175" t="s">
        <v>1173</v>
      </c>
      <c r="AH113" s="179">
        <f t="shared" si="15"/>
        <v>30</v>
      </c>
      <c r="AI113" s="179">
        <v>2</v>
      </c>
      <c r="AJ113" s="183">
        <f t="shared" si="16"/>
        <v>6372</v>
      </c>
      <c r="AK113" s="179">
        <f t="shared" si="17"/>
        <v>30</v>
      </c>
      <c r="AL113" s="183">
        <v>0</v>
      </c>
      <c r="AM113" s="183">
        <f t="shared" si="24"/>
        <v>1800000</v>
      </c>
      <c r="AN113" s="183">
        <f t="shared" si="18"/>
        <v>0</v>
      </c>
      <c r="AO113" s="183">
        <f t="shared" si="19"/>
        <v>0</v>
      </c>
      <c r="AP113" s="183">
        <f t="shared" si="20"/>
        <v>11469600</v>
      </c>
      <c r="AR113" s="183">
        <f t="shared" si="21"/>
        <v>0</v>
      </c>
      <c r="AS113" s="183">
        <f t="shared" si="22"/>
        <v>13269600</v>
      </c>
      <c r="AT113" s="175" t="s">
        <v>1739</v>
      </c>
      <c r="AU113" s="175" t="s">
        <v>1740</v>
      </c>
      <c r="AV113" s="175" t="s">
        <v>1741</v>
      </c>
      <c r="AW113" s="175" t="s">
        <v>1742</v>
      </c>
    </row>
    <row r="114" spans="1:49" ht="24.95" customHeight="1" x14ac:dyDescent="0.25">
      <c r="A114" s="175">
        <v>14327</v>
      </c>
      <c r="B114" s="175" t="s">
        <v>86</v>
      </c>
      <c r="C114" s="175" t="s">
        <v>29</v>
      </c>
      <c r="D114" s="176">
        <v>1</v>
      </c>
      <c r="E114" s="176">
        <v>2025</v>
      </c>
      <c r="F114" s="176">
        <v>2025</v>
      </c>
      <c r="G114" s="175" t="s">
        <v>23</v>
      </c>
      <c r="H114" s="175" t="s">
        <v>86</v>
      </c>
      <c r="I114" s="175" t="s">
        <v>105</v>
      </c>
      <c r="J114" s="177" t="s">
        <v>1171</v>
      </c>
      <c r="K114" s="175" t="s">
        <v>1172</v>
      </c>
      <c r="L114" s="175" t="s">
        <v>21</v>
      </c>
      <c r="M114" s="175" t="s">
        <v>21</v>
      </c>
      <c r="N114" s="175">
        <v>13</v>
      </c>
      <c r="O114" s="175" t="s">
        <v>382</v>
      </c>
      <c r="P114" s="175" t="s">
        <v>402</v>
      </c>
      <c r="Q114" s="175" t="s">
        <v>1201</v>
      </c>
      <c r="R114" s="175" t="s">
        <v>339</v>
      </c>
      <c r="S114" s="175" t="s">
        <v>19</v>
      </c>
      <c r="T114" s="175" t="s">
        <v>337</v>
      </c>
      <c r="U114" s="176">
        <v>11</v>
      </c>
      <c r="V114" s="176">
        <v>120</v>
      </c>
      <c r="W114" s="176" t="s">
        <v>21</v>
      </c>
      <c r="X114" s="179">
        <f t="shared" si="23"/>
        <v>120</v>
      </c>
      <c r="Y114" s="176">
        <v>4</v>
      </c>
      <c r="Z114" s="176" t="s">
        <v>20</v>
      </c>
      <c r="AA114" s="176" t="s">
        <v>18</v>
      </c>
      <c r="AB114" s="185" t="s">
        <v>18</v>
      </c>
      <c r="AC114" s="186" t="s">
        <v>21</v>
      </c>
      <c r="AD114" s="181" t="s">
        <v>1743</v>
      </c>
      <c r="AE114" s="179" t="s">
        <v>18</v>
      </c>
      <c r="AF114" s="191"/>
      <c r="AG114" s="175" t="s">
        <v>1173</v>
      </c>
      <c r="AH114" s="179">
        <f t="shared" si="15"/>
        <v>30</v>
      </c>
      <c r="AI114" s="179">
        <v>2</v>
      </c>
      <c r="AJ114" s="183">
        <f t="shared" si="16"/>
        <v>6372</v>
      </c>
      <c r="AK114" s="179">
        <f t="shared" si="17"/>
        <v>30</v>
      </c>
      <c r="AL114" s="183">
        <v>0</v>
      </c>
      <c r="AM114" s="183">
        <f t="shared" si="24"/>
        <v>1320000</v>
      </c>
      <c r="AN114" s="183">
        <f t="shared" si="18"/>
        <v>0</v>
      </c>
      <c r="AO114" s="183">
        <f t="shared" si="19"/>
        <v>0</v>
      </c>
      <c r="AP114" s="183">
        <f t="shared" si="20"/>
        <v>8411040</v>
      </c>
      <c r="AR114" s="183">
        <f t="shared" si="21"/>
        <v>0</v>
      </c>
      <c r="AS114" s="183">
        <f t="shared" si="22"/>
        <v>9731040</v>
      </c>
      <c r="AT114" s="175" t="s">
        <v>1744</v>
      </c>
      <c r="AU114" s="175" t="s">
        <v>1745</v>
      </c>
      <c r="AV114" s="175" t="s">
        <v>1746</v>
      </c>
      <c r="AW114" s="175" t="s">
        <v>1747</v>
      </c>
    </row>
    <row r="115" spans="1:49" ht="24.95" customHeight="1" x14ac:dyDescent="0.25">
      <c r="A115" s="175">
        <v>14385</v>
      </c>
      <c r="B115" s="175" t="s">
        <v>98</v>
      </c>
      <c r="C115" s="175" t="s">
        <v>41</v>
      </c>
      <c r="D115" s="176">
        <v>1</v>
      </c>
      <c r="E115" s="176">
        <v>2025</v>
      </c>
      <c r="F115" s="176">
        <v>2025</v>
      </c>
      <c r="G115" s="175" t="s">
        <v>23</v>
      </c>
      <c r="H115" s="175" t="s">
        <v>98</v>
      </c>
      <c r="I115" s="175" t="s">
        <v>1175</v>
      </c>
      <c r="J115" s="177" t="s">
        <v>1176</v>
      </c>
      <c r="K115" s="175" t="s">
        <v>1177</v>
      </c>
      <c r="L115" s="175" t="s">
        <v>21</v>
      </c>
      <c r="M115" s="175" t="s">
        <v>21</v>
      </c>
      <c r="N115" s="175">
        <v>13</v>
      </c>
      <c r="O115" s="175" t="s">
        <v>382</v>
      </c>
      <c r="P115" s="175" t="s">
        <v>724</v>
      </c>
      <c r="Q115" s="175" t="s">
        <v>1178</v>
      </c>
      <c r="R115" s="175" t="s">
        <v>339</v>
      </c>
      <c r="S115" s="175" t="s">
        <v>22</v>
      </c>
      <c r="T115" s="175" t="s">
        <v>348</v>
      </c>
      <c r="U115" s="176">
        <v>16</v>
      </c>
      <c r="V115" s="176">
        <v>110</v>
      </c>
      <c r="W115" s="176" t="s">
        <v>21</v>
      </c>
      <c r="X115" s="179">
        <f t="shared" si="23"/>
        <v>110</v>
      </c>
      <c r="Y115" s="176">
        <v>4</v>
      </c>
      <c r="Z115" s="176" t="s">
        <v>20</v>
      </c>
      <c r="AA115" s="176" t="s">
        <v>18</v>
      </c>
      <c r="AB115" s="185" t="s">
        <v>18</v>
      </c>
      <c r="AC115" s="186" t="s">
        <v>21</v>
      </c>
      <c r="AD115" s="181" t="s">
        <v>1179</v>
      </c>
      <c r="AE115" s="179" t="s">
        <v>18</v>
      </c>
      <c r="AF115" s="191"/>
      <c r="AG115" s="175" t="s">
        <v>1173</v>
      </c>
      <c r="AH115" s="179">
        <f t="shared" si="15"/>
        <v>28</v>
      </c>
      <c r="AI115" s="179">
        <v>2</v>
      </c>
      <c r="AJ115" s="183">
        <f t="shared" si="16"/>
        <v>6372</v>
      </c>
      <c r="AK115" s="179">
        <f t="shared" si="17"/>
        <v>27.5</v>
      </c>
      <c r="AL115" s="183">
        <v>0</v>
      </c>
      <c r="AM115" s="183">
        <f t="shared" si="24"/>
        <v>1792000</v>
      </c>
      <c r="AN115" s="183">
        <f t="shared" si="18"/>
        <v>0</v>
      </c>
      <c r="AO115" s="183">
        <f t="shared" si="19"/>
        <v>0</v>
      </c>
      <c r="AP115" s="183">
        <f t="shared" si="20"/>
        <v>11214720</v>
      </c>
      <c r="AR115" s="183">
        <f t="shared" si="21"/>
        <v>0</v>
      </c>
      <c r="AS115" s="183">
        <f t="shared" si="22"/>
        <v>13006720</v>
      </c>
      <c r="AT115" s="175" t="s">
        <v>1515</v>
      </c>
      <c r="AU115" s="175" t="s">
        <v>1516</v>
      </c>
      <c r="AV115" s="175" t="s">
        <v>1347</v>
      </c>
      <c r="AW115" s="175" t="s">
        <v>1346</v>
      </c>
    </row>
    <row r="116" spans="1:49" ht="24.95" customHeight="1" x14ac:dyDescent="0.25">
      <c r="A116" s="175">
        <v>14495</v>
      </c>
      <c r="B116" s="175" t="s">
        <v>96</v>
      </c>
      <c r="C116" s="175" t="s">
        <v>39</v>
      </c>
      <c r="D116" s="176">
        <v>4</v>
      </c>
      <c r="E116" s="176">
        <v>2025</v>
      </c>
      <c r="F116" s="176">
        <v>2025</v>
      </c>
      <c r="G116" s="175" t="s">
        <v>23</v>
      </c>
      <c r="H116" s="175" t="s">
        <v>96</v>
      </c>
      <c r="I116" s="175" t="s">
        <v>1042</v>
      </c>
      <c r="J116" s="177" t="s">
        <v>1176</v>
      </c>
      <c r="K116" s="175" t="s">
        <v>1177</v>
      </c>
      <c r="L116" s="175" t="s">
        <v>21</v>
      </c>
      <c r="M116" s="175" t="s">
        <v>21</v>
      </c>
      <c r="N116" s="175">
        <v>13</v>
      </c>
      <c r="O116" s="175" t="s">
        <v>382</v>
      </c>
      <c r="P116" s="175" t="s">
        <v>714</v>
      </c>
      <c r="Q116" s="175" t="s">
        <v>1201</v>
      </c>
      <c r="R116" s="175" t="s">
        <v>339</v>
      </c>
      <c r="S116" s="175" t="s">
        <v>22</v>
      </c>
      <c r="T116" s="175" t="s">
        <v>337</v>
      </c>
      <c r="U116" s="176">
        <v>10</v>
      </c>
      <c r="V116" s="176">
        <v>110</v>
      </c>
      <c r="W116" s="176" t="s">
        <v>21</v>
      </c>
      <c r="X116" s="179">
        <f t="shared" si="23"/>
        <v>110</v>
      </c>
      <c r="Y116" s="176">
        <v>5</v>
      </c>
      <c r="Z116" s="176" t="s">
        <v>20</v>
      </c>
      <c r="AA116" s="176" t="s">
        <v>18</v>
      </c>
      <c r="AB116" s="185" t="s">
        <v>18</v>
      </c>
      <c r="AC116" s="186" t="s">
        <v>21</v>
      </c>
      <c r="AD116" s="181" t="s">
        <v>1748</v>
      </c>
      <c r="AE116" s="179" t="s">
        <v>18</v>
      </c>
      <c r="AF116" s="191"/>
      <c r="AG116" s="175" t="s">
        <v>1173</v>
      </c>
      <c r="AH116" s="179">
        <f t="shared" si="15"/>
        <v>22</v>
      </c>
      <c r="AI116" s="179">
        <v>2</v>
      </c>
      <c r="AJ116" s="183">
        <f t="shared" si="16"/>
        <v>6372</v>
      </c>
      <c r="AK116" s="179">
        <f t="shared" si="17"/>
        <v>22</v>
      </c>
      <c r="AL116" s="183">
        <v>0</v>
      </c>
      <c r="AM116" s="183">
        <f t="shared" si="24"/>
        <v>880000</v>
      </c>
      <c r="AN116" s="183">
        <f t="shared" si="18"/>
        <v>0</v>
      </c>
      <c r="AO116" s="183">
        <f t="shared" si="19"/>
        <v>0</v>
      </c>
      <c r="AP116" s="183">
        <f t="shared" si="20"/>
        <v>7009200</v>
      </c>
      <c r="AR116" s="183">
        <f t="shared" si="21"/>
        <v>0</v>
      </c>
      <c r="AS116" s="183">
        <f t="shared" si="22"/>
        <v>7889200</v>
      </c>
      <c r="AT116" s="175" t="s">
        <v>1718</v>
      </c>
      <c r="AU116" s="175" t="s">
        <v>1719</v>
      </c>
      <c r="AV116" s="175" t="s">
        <v>1720</v>
      </c>
      <c r="AW116" s="175" t="s">
        <v>1721</v>
      </c>
    </row>
    <row r="117" spans="1:49" ht="24.95" customHeight="1" x14ac:dyDescent="0.25">
      <c r="A117" s="175">
        <v>14291</v>
      </c>
      <c r="B117" s="175" t="s">
        <v>96</v>
      </c>
      <c r="C117" s="175" t="s">
        <v>39</v>
      </c>
      <c r="D117" s="176">
        <v>4</v>
      </c>
      <c r="E117" s="176">
        <v>2025</v>
      </c>
      <c r="F117" s="176">
        <v>2025</v>
      </c>
      <c r="G117" s="175" t="s">
        <v>23</v>
      </c>
      <c r="H117" s="175" t="s">
        <v>96</v>
      </c>
      <c r="I117" s="175" t="s">
        <v>1042</v>
      </c>
      <c r="J117" s="177" t="s">
        <v>802</v>
      </c>
      <c r="K117" s="175" t="s">
        <v>801</v>
      </c>
      <c r="L117" s="175" t="s">
        <v>21</v>
      </c>
      <c r="M117" s="175" t="s">
        <v>21</v>
      </c>
      <c r="N117" s="175">
        <v>10</v>
      </c>
      <c r="O117" s="175" t="s">
        <v>706</v>
      </c>
      <c r="P117" s="175" t="s">
        <v>754</v>
      </c>
      <c r="Q117" s="175" t="s">
        <v>1201</v>
      </c>
      <c r="R117" s="175" t="s">
        <v>339</v>
      </c>
      <c r="S117" s="175" t="s">
        <v>22</v>
      </c>
      <c r="T117" s="175" t="s">
        <v>337</v>
      </c>
      <c r="U117" s="176">
        <v>15</v>
      </c>
      <c r="V117" s="176">
        <v>110</v>
      </c>
      <c r="W117" s="176" t="s">
        <v>21</v>
      </c>
      <c r="X117" s="179">
        <f t="shared" si="23"/>
        <v>110</v>
      </c>
      <c r="Y117" s="176">
        <v>5</v>
      </c>
      <c r="Z117" s="176" t="s">
        <v>20</v>
      </c>
      <c r="AA117" s="176" t="s">
        <v>18</v>
      </c>
      <c r="AB117" s="185" t="s">
        <v>18</v>
      </c>
      <c r="AC117" s="186" t="s">
        <v>21</v>
      </c>
      <c r="AD117" s="181" t="s">
        <v>1749</v>
      </c>
      <c r="AE117" s="179" t="s">
        <v>18</v>
      </c>
      <c r="AF117" s="191"/>
      <c r="AG117" s="175" t="s">
        <v>1173</v>
      </c>
      <c r="AH117" s="179">
        <f t="shared" si="15"/>
        <v>22</v>
      </c>
      <c r="AI117" s="179">
        <f>VLOOKUP(K117,[1]TRAMO!$A:$B,2,0)</f>
        <v>1</v>
      </c>
      <c r="AJ117" s="183">
        <f t="shared" si="16"/>
        <v>5074</v>
      </c>
      <c r="AK117" s="179">
        <f t="shared" si="17"/>
        <v>22</v>
      </c>
      <c r="AL117" s="183">
        <v>0</v>
      </c>
      <c r="AM117" s="183">
        <f t="shared" si="24"/>
        <v>1320000</v>
      </c>
      <c r="AN117" s="183">
        <f t="shared" si="18"/>
        <v>0</v>
      </c>
      <c r="AO117" s="183">
        <f t="shared" si="19"/>
        <v>0</v>
      </c>
      <c r="AP117" s="183">
        <f t="shared" si="20"/>
        <v>8372100</v>
      </c>
      <c r="AR117" s="183">
        <f t="shared" si="21"/>
        <v>0</v>
      </c>
      <c r="AS117" s="183">
        <f t="shared" si="22"/>
        <v>9692100</v>
      </c>
      <c r="AT117" s="175" t="s">
        <v>1750</v>
      </c>
      <c r="AU117" s="175" t="s">
        <v>1751</v>
      </c>
      <c r="AV117" s="175" t="s">
        <v>1752</v>
      </c>
      <c r="AW117" s="175" t="s">
        <v>1025</v>
      </c>
    </row>
    <row r="118" spans="1:49" ht="24.95" customHeight="1" x14ac:dyDescent="0.25">
      <c r="A118" s="175">
        <v>14332</v>
      </c>
      <c r="B118" s="175" t="s">
        <v>86</v>
      </c>
      <c r="C118" s="175" t="s">
        <v>29</v>
      </c>
      <c r="D118" s="176">
        <v>1</v>
      </c>
      <c r="E118" s="176">
        <v>2025</v>
      </c>
      <c r="F118" s="176">
        <v>2025</v>
      </c>
      <c r="G118" s="175" t="s">
        <v>23</v>
      </c>
      <c r="H118" s="175" t="s">
        <v>86</v>
      </c>
      <c r="I118" s="175" t="s">
        <v>105</v>
      </c>
      <c r="J118" s="177" t="s">
        <v>802</v>
      </c>
      <c r="K118" s="175" t="s">
        <v>801</v>
      </c>
      <c r="L118" s="175" t="s">
        <v>21</v>
      </c>
      <c r="M118" s="175" t="s">
        <v>21</v>
      </c>
      <c r="N118" s="175">
        <v>13</v>
      </c>
      <c r="O118" s="175" t="s">
        <v>382</v>
      </c>
      <c r="P118" s="175" t="s">
        <v>919</v>
      </c>
      <c r="Q118" s="175" t="s">
        <v>702</v>
      </c>
      <c r="R118" s="175" t="s">
        <v>339</v>
      </c>
      <c r="S118" s="175" t="s">
        <v>22</v>
      </c>
      <c r="T118" s="175" t="s">
        <v>337</v>
      </c>
      <c r="U118" s="176">
        <v>10</v>
      </c>
      <c r="V118" s="176">
        <v>110</v>
      </c>
      <c r="W118" s="176" t="s">
        <v>21</v>
      </c>
      <c r="X118" s="179">
        <f t="shared" si="23"/>
        <v>110</v>
      </c>
      <c r="Y118" s="176">
        <v>4</v>
      </c>
      <c r="Z118" s="176" t="s">
        <v>20</v>
      </c>
      <c r="AA118" s="176" t="s">
        <v>18</v>
      </c>
      <c r="AB118" s="185" t="s">
        <v>18</v>
      </c>
      <c r="AC118" s="186" t="s">
        <v>21</v>
      </c>
      <c r="AD118" s="181" t="s">
        <v>1753</v>
      </c>
      <c r="AE118" s="179" t="s">
        <v>18</v>
      </c>
      <c r="AF118" s="191"/>
      <c r="AG118" s="175" t="s">
        <v>1173</v>
      </c>
      <c r="AH118" s="179">
        <f t="shared" si="15"/>
        <v>28</v>
      </c>
      <c r="AI118" s="179">
        <f>VLOOKUP(K118,[1]TRAMO!$A:$B,2,0)</f>
        <v>1</v>
      </c>
      <c r="AJ118" s="183">
        <f t="shared" si="16"/>
        <v>5074</v>
      </c>
      <c r="AK118" s="179">
        <f t="shared" si="17"/>
        <v>27.5</v>
      </c>
      <c r="AL118" s="183">
        <v>0</v>
      </c>
      <c r="AM118" s="183">
        <f t="shared" si="24"/>
        <v>1120000</v>
      </c>
      <c r="AN118" s="183">
        <f t="shared" si="18"/>
        <v>0</v>
      </c>
      <c r="AO118" s="183">
        <f t="shared" si="19"/>
        <v>0</v>
      </c>
      <c r="AP118" s="183">
        <f t="shared" si="20"/>
        <v>5581400</v>
      </c>
      <c r="AR118" s="183">
        <f t="shared" si="21"/>
        <v>0</v>
      </c>
      <c r="AS118" s="183">
        <f t="shared" si="22"/>
        <v>6701400</v>
      </c>
      <c r="AT118" s="175" t="s">
        <v>1754</v>
      </c>
      <c r="AU118" s="175" t="s">
        <v>1755</v>
      </c>
      <c r="AV118" s="175" t="s">
        <v>1756</v>
      </c>
      <c r="AW118" s="175" t="s">
        <v>1040</v>
      </c>
    </row>
    <row r="119" spans="1:49" ht="24.95" customHeight="1" x14ac:dyDescent="0.25">
      <c r="A119" s="175">
        <v>14344</v>
      </c>
      <c r="B119" s="175" t="s">
        <v>86</v>
      </c>
      <c r="C119" s="175" t="s">
        <v>29</v>
      </c>
      <c r="D119" s="176">
        <v>1</v>
      </c>
      <c r="E119" s="176">
        <v>2025</v>
      </c>
      <c r="F119" s="176">
        <v>2025</v>
      </c>
      <c r="G119" s="175" t="s">
        <v>23</v>
      </c>
      <c r="H119" s="175" t="s">
        <v>86</v>
      </c>
      <c r="I119" s="175" t="s">
        <v>105</v>
      </c>
      <c r="J119" s="177" t="s">
        <v>802</v>
      </c>
      <c r="K119" s="175" t="s">
        <v>801</v>
      </c>
      <c r="L119" s="175" t="s">
        <v>21</v>
      </c>
      <c r="M119" s="175" t="s">
        <v>21</v>
      </c>
      <c r="N119" s="175">
        <v>13</v>
      </c>
      <c r="O119" s="175" t="s">
        <v>382</v>
      </c>
      <c r="P119" s="175" t="s">
        <v>1757</v>
      </c>
      <c r="Q119" s="175" t="s">
        <v>1201</v>
      </c>
      <c r="R119" s="175" t="s">
        <v>339</v>
      </c>
      <c r="S119" s="175" t="s">
        <v>22</v>
      </c>
      <c r="T119" s="175" t="s">
        <v>337</v>
      </c>
      <c r="U119" s="176">
        <v>20</v>
      </c>
      <c r="V119" s="176">
        <v>110</v>
      </c>
      <c r="W119" s="176" t="s">
        <v>21</v>
      </c>
      <c r="X119" s="179">
        <f t="shared" si="23"/>
        <v>110</v>
      </c>
      <c r="Y119" s="176">
        <v>4</v>
      </c>
      <c r="Z119" s="176" t="s">
        <v>20</v>
      </c>
      <c r="AA119" s="176" t="s">
        <v>18</v>
      </c>
      <c r="AB119" s="185" t="s">
        <v>18</v>
      </c>
      <c r="AC119" s="186" t="s">
        <v>21</v>
      </c>
      <c r="AD119" s="181" t="s">
        <v>1753</v>
      </c>
      <c r="AE119" s="179" t="s">
        <v>18</v>
      </c>
      <c r="AF119" s="191"/>
      <c r="AG119" s="175" t="s">
        <v>1173</v>
      </c>
      <c r="AH119" s="179">
        <f t="shared" si="15"/>
        <v>28</v>
      </c>
      <c r="AI119" s="179">
        <f>VLOOKUP(K119,[1]TRAMO!$A:$B,2,0)</f>
        <v>1</v>
      </c>
      <c r="AJ119" s="183">
        <f t="shared" si="16"/>
        <v>5074</v>
      </c>
      <c r="AK119" s="179">
        <f t="shared" si="17"/>
        <v>27.5</v>
      </c>
      <c r="AL119" s="183">
        <v>0</v>
      </c>
      <c r="AM119" s="183">
        <f t="shared" si="24"/>
        <v>2240000</v>
      </c>
      <c r="AN119" s="183">
        <f t="shared" si="18"/>
        <v>0</v>
      </c>
      <c r="AO119" s="183">
        <f t="shared" si="19"/>
        <v>0</v>
      </c>
      <c r="AP119" s="183">
        <f t="shared" si="20"/>
        <v>11162800</v>
      </c>
      <c r="AR119" s="183">
        <f t="shared" si="21"/>
        <v>0</v>
      </c>
      <c r="AS119" s="183">
        <f t="shared" si="22"/>
        <v>13402800</v>
      </c>
      <c r="AT119" s="175" t="s">
        <v>1758</v>
      </c>
      <c r="AU119" s="175" t="s">
        <v>1759</v>
      </c>
      <c r="AV119" s="175" t="s">
        <v>1760</v>
      </c>
      <c r="AW119" s="175" t="s">
        <v>1761</v>
      </c>
    </row>
    <row r="120" spans="1:49" ht="24.95" customHeight="1" x14ac:dyDescent="0.25">
      <c r="A120" s="175">
        <v>14419</v>
      </c>
      <c r="B120" s="175" t="s">
        <v>86</v>
      </c>
      <c r="C120" s="175" t="s">
        <v>29</v>
      </c>
      <c r="D120" s="176">
        <v>1</v>
      </c>
      <c r="E120" s="176">
        <v>2025</v>
      </c>
      <c r="F120" s="176">
        <v>2025</v>
      </c>
      <c r="G120" s="175" t="s">
        <v>23</v>
      </c>
      <c r="H120" s="175" t="s">
        <v>86</v>
      </c>
      <c r="I120" s="175" t="s">
        <v>105</v>
      </c>
      <c r="J120" s="177" t="s">
        <v>1762</v>
      </c>
      <c r="K120" s="175" t="s">
        <v>1763</v>
      </c>
      <c r="L120" s="175" t="s">
        <v>21</v>
      </c>
      <c r="M120" s="175" t="s">
        <v>21</v>
      </c>
      <c r="N120" s="175">
        <v>9</v>
      </c>
      <c r="O120" s="175" t="s">
        <v>424</v>
      </c>
      <c r="P120" s="175" t="s">
        <v>834</v>
      </c>
      <c r="Q120" s="175" t="s">
        <v>1504</v>
      </c>
      <c r="R120" s="175" t="s">
        <v>339</v>
      </c>
      <c r="S120" s="175" t="s">
        <v>22</v>
      </c>
      <c r="T120" s="175" t="s">
        <v>337</v>
      </c>
      <c r="U120" s="176">
        <v>10</v>
      </c>
      <c r="V120" s="176">
        <v>109</v>
      </c>
      <c r="W120" s="176" t="s">
        <v>21</v>
      </c>
      <c r="X120" s="179">
        <f t="shared" si="23"/>
        <v>109</v>
      </c>
      <c r="Y120" s="176">
        <v>4</v>
      </c>
      <c r="Z120" s="176" t="s">
        <v>20</v>
      </c>
      <c r="AA120" s="176" t="s">
        <v>18</v>
      </c>
      <c r="AB120" s="185" t="s">
        <v>18</v>
      </c>
      <c r="AC120" s="186" t="s">
        <v>21</v>
      </c>
      <c r="AD120" s="181" t="s">
        <v>1764</v>
      </c>
      <c r="AE120" s="179" t="s">
        <v>18</v>
      </c>
      <c r="AF120" s="191"/>
      <c r="AG120" s="175" t="s">
        <v>1173</v>
      </c>
      <c r="AH120" s="179">
        <f t="shared" si="15"/>
        <v>28</v>
      </c>
      <c r="AI120" s="179">
        <v>2</v>
      </c>
      <c r="AJ120" s="183">
        <f t="shared" si="16"/>
        <v>6372</v>
      </c>
      <c r="AK120" s="179">
        <f t="shared" si="17"/>
        <v>27.25</v>
      </c>
      <c r="AL120" s="183">
        <v>0</v>
      </c>
      <c r="AM120" s="183">
        <f t="shared" si="24"/>
        <v>1120000</v>
      </c>
      <c r="AN120" s="183">
        <f t="shared" si="18"/>
        <v>0</v>
      </c>
      <c r="AO120" s="183">
        <f t="shared" si="19"/>
        <v>0</v>
      </c>
      <c r="AP120" s="183">
        <f t="shared" si="20"/>
        <v>6945480</v>
      </c>
      <c r="AR120" s="183">
        <f t="shared" si="21"/>
        <v>0</v>
      </c>
      <c r="AS120" s="183">
        <f t="shared" si="22"/>
        <v>8065480</v>
      </c>
      <c r="AT120" s="175" t="s">
        <v>1765</v>
      </c>
      <c r="AU120" s="175" t="s">
        <v>1766</v>
      </c>
      <c r="AV120" s="175" t="s">
        <v>1508</v>
      </c>
      <c r="AW120" s="175" t="s">
        <v>1767</v>
      </c>
    </row>
    <row r="121" spans="1:49" ht="24.95" customHeight="1" x14ac:dyDescent="0.25">
      <c r="A121" s="175">
        <v>14426</v>
      </c>
      <c r="B121" s="175" t="s">
        <v>98</v>
      </c>
      <c r="C121" s="175" t="s">
        <v>41</v>
      </c>
      <c r="D121" s="176">
        <v>1</v>
      </c>
      <c r="E121" s="176">
        <v>2025</v>
      </c>
      <c r="F121" s="176">
        <v>2025</v>
      </c>
      <c r="G121" s="175" t="s">
        <v>23</v>
      </c>
      <c r="H121" s="175" t="s">
        <v>98</v>
      </c>
      <c r="I121" s="175" t="s">
        <v>1175</v>
      </c>
      <c r="J121" s="177" t="s">
        <v>999</v>
      </c>
      <c r="K121" s="175" t="s">
        <v>1000</v>
      </c>
      <c r="L121" s="175" t="s">
        <v>21</v>
      </c>
      <c r="M121" s="175" t="s">
        <v>21</v>
      </c>
      <c r="N121" s="175">
        <v>15</v>
      </c>
      <c r="O121" s="175" t="s">
        <v>810</v>
      </c>
      <c r="P121" s="175" t="s">
        <v>1768</v>
      </c>
      <c r="Q121" s="175" t="s">
        <v>1201</v>
      </c>
      <c r="R121" s="175" t="s">
        <v>339</v>
      </c>
      <c r="S121" s="175" t="s">
        <v>22</v>
      </c>
      <c r="T121" s="175" t="s">
        <v>337</v>
      </c>
      <c r="U121" s="176">
        <v>10</v>
      </c>
      <c r="V121" s="176">
        <v>80</v>
      </c>
      <c r="W121" s="176" t="s">
        <v>21</v>
      </c>
      <c r="X121" s="179">
        <f t="shared" si="23"/>
        <v>80</v>
      </c>
      <c r="Y121" s="176">
        <v>4</v>
      </c>
      <c r="Z121" s="176" t="s">
        <v>20</v>
      </c>
      <c r="AA121" s="176" t="s">
        <v>18</v>
      </c>
      <c r="AB121" s="185" t="s">
        <v>18</v>
      </c>
      <c r="AC121" s="186" t="s">
        <v>21</v>
      </c>
      <c r="AD121" s="181" t="s">
        <v>1769</v>
      </c>
      <c r="AE121" s="179" t="s">
        <v>18</v>
      </c>
      <c r="AF121" s="191"/>
      <c r="AG121" s="175" t="s">
        <v>1173</v>
      </c>
      <c r="AH121" s="179">
        <f t="shared" si="15"/>
        <v>20</v>
      </c>
      <c r="AI121" s="179">
        <f>VLOOKUP(K121,[1]TRAMO!$A:$B,2,0)</f>
        <v>2</v>
      </c>
      <c r="AJ121" s="183">
        <f t="shared" si="16"/>
        <v>6372</v>
      </c>
      <c r="AK121" s="179">
        <f t="shared" si="17"/>
        <v>20</v>
      </c>
      <c r="AL121" s="183">
        <v>0</v>
      </c>
      <c r="AM121" s="183">
        <f t="shared" si="24"/>
        <v>800000</v>
      </c>
      <c r="AN121" s="183">
        <f t="shared" si="18"/>
        <v>0</v>
      </c>
      <c r="AO121" s="183">
        <f t="shared" si="19"/>
        <v>0</v>
      </c>
      <c r="AP121" s="183">
        <f t="shared" si="20"/>
        <v>5097600</v>
      </c>
      <c r="AR121" s="183">
        <f t="shared" si="21"/>
        <v>0</v>
      </c>
      <c r="AS121" s="183">
        <f t="shared" si="22"/>
        <v>5897600</v>
      </c>
      <c r="AT121" s="175" t="s">
        <v>1524</v>
      </c>
      <c r="AU121" s="175" t="s">
        <v>1525</v>
      </c>
      <c r="AV121" s="175" t="s">
        <v>1770</v>
      </c>
      <c r="AW121" s="175" t="s">
        <v>1771</v>
      </c>
    </row>
    <row r="122" spans="1:49" ht="24.95" customHeight="1" x14ac:dyDescent="0.25">
      <c r="A122" s="175">
        <v>14439</v>
      </c>
      <c r="B122" s="175" t="s">
        <v>98</v>
      </c>
      <c r="C122" s="175" t="s">
        <v>41</v>
      </c>
      <c r="D122" s="176">
        <v>1</v>
      </c>
      <c r="E122" s="176">
        <v>2025</v>
      </c>
      <c r="F122" s="176">
        <v>2025</v>
      </c>
      <c r="G122" s="175" t="s">
        <v>23</v>
      </c>
      <c r="H122" s="175" t="s">
        <v>98</v>
      </c>
      <c r="I122" s="175" t="s">
        <v>1175</v>
      </c>
      <c r="J122" s="177" t="s">
        <v>999</v>
      </c>
      <c r="K122" s="175" t="s">
        <v>1000</v>
      </c>
      <c r="L122" s="175" t="s">
        <v>21</v>
      </c>
      <c r="M122" s="175" t="s">
        <v>21</v>
      </c>
      <c r="N122" s="175">
        <v>6</v>
      </c>
      <c r="O122" s="175" t="s">
        <v>796</v>
      </c>
      <c r="P122" s="175" t="s">
        <v>1681</v>
      </c>
      <c r="Q122" s="175" t="s">
        <v>1201</v>
      </c>
      <c r="R122" s="175" t="s">
        <v>339</v>
      </c>
      <c r="S122" s="175" t="s">
        <v>22</v>
      </c>
      <c r="T122" s="175" t="s">
        <v>337</v>
      </c>
      <c r="U122" s="176">
        <v>10</v>
      </c>
      <c r="V122" s="176">
        <v>80</v>
      </c>
      <c r="W122" s="176" t="s">
        <v>21</v>
      </c>
      <c r="X122" s="179">
        <f t="shared" si="23"/>
        <v>80</v>
      </c>
      <c r="Y122" s="176">
        <v>4</v>
      </c>
      <c r="Z122" s="176" t="s">
        <v>20</v>
      </c>
      <c r="AA122" s="176" t="s">
        <v>18</v>
      </c>
      <c r="AB122" s="185" t="s">
        <v>18</v>
      </c>
      <c r="AC122" s="186" t="s">
        <v>21</v>
      </c>
      <c r="AD122" s="181" t="s">
        <v>1682</v>
      </c>
      <c r="AE122" s="179" t="s">
        <v>18</v>
      </c>
      <c r="AF122" s="191"/>
      <c r="AG122" s="175" t="s">
        <v>1173</v>
      </c>
      <c r="AH122" s="179">
        <f t="shared" si="15"/>
        <v>20</v>
      </c>
      <c r="AI122" s="179">
        <f>VLOOKUP(K122,[1]TRAMO!$A:$B,2,0)</f>
        <v>2</v>
      </c>
      <c r="AJ122" s="183">
        <f t="shared" si="16"/>
        <v>6372</v>
      </c>
      <c r="AK122" s="179">
        <f t="shared" si="17"/>
        <v>20</v>
      </c>
      <c r="AL122" s="183">
        <v>0</v>
      </c>
      <c r="AM122" s="183">
        <f t="shared" si="24"/>
        <v>800000</v>
      </c>
      <c r="AN122" s="183">
        <f t="shared" si="18"/>
        <v>0</v>
      </c>
      <c r="AO122" s="183">
        <f t="shared" si="19"/>
        <v>0</v>
      </c>
      <c r="AP122" s="183">
        <f t="shared" si="20"/>
        <v>5097600</v>
      </c>
      <c r="AR122" s="183">
        <f t="shared" si="21"/>
        <v>0</v>
      </c>
      <c r="AS122" s="183">
        <f t="shared" si="22"/>
        <v>5897600</v>
      </c>
      <c r="AT122" s="175" t="s">
        <v>1524</v>
      </c>
      <c r="AU122" s="175" t="s">
        <v>1525</v>
      </c>
      <c r="AV122" s="175" t="s">
        <v>1772</v>
      </c>
      <c r="AW122" s="175" t="s">
        <v>1684</v>
      </c>
    </row>
    <row r="123" spans="1:49" ht="24.95" customHeight="1" x14ac:dyDescent="0.25">
      <c r="A123" s="175">
        <v>14584</v>
      </c>
      <c r="B123" s="175" t="s">
        <v>98</v>
      </c>
      <c r="C123" s="175" t="s">
        <v>41</v>
      </c>
      <c r="D123" s="176">
        <v>1</v>
      </c>
      <c r="E123" s="176">
        <v>2025</v>
      </c>
      <c r="F123" s="176">
        <v>2025</v>
      </c>
      <c r="G123" s="175" t="s">
        <v>23</v>
      </c>
      <c r="H123" s="175" t="s">
        <v>98</v>
      </c>
      <c r="I123" s="175" t="s">
        <v>1175</v>
      </c>
      <c r="J123" s="177" t="s">
        <v>999</v>
      </c>
      <c r="K123" s="175" t="s">
        <v>1000</v>
      </c>
      <c r="L123" s="175" t="s">
        <v>21</v>
      </c>
      <c r="M123" s="175" t="s">
        <v>21</v>
      </c>
      <c r="N123" s="175">
        <v>5</v>
      </c>
      <c r="O123" s="175" t="s">
        <v>395</v>
      </c>
      <c r="P123" s="175" t="s">
        <v>708</v>
      </c>
      <c r="Q123" s="175" t="s">
        <v>1201</v>
      </c>
      <c r="R123" s="175" t="s">
        <v>339</v>
      </c>
      <c r="S123" s="175" t="s">
        <v>22</v>
      </c>
      <c r="T123" s="175" t="s">
        <v>347</v>
      </c>
      <c r="U123" s="176">
        <v>20</v>
      </c>
      <c r="V123" s="176">
        <v>80</v>
      </c>
      <c r="W123" s="176" t="s">
        <v>21</v>
      </c>
      <c r="X123" s="179">
        <f t="shared" si="23"/>
        <v>80</v>
      </c>
      <c r="Y123" s="176">
        <v>4</v>
      </c>
      <c r="Z123" s="176" t="s">
        <v>20</v>
      </c>
      <c r="AA123" s="176" t="s">
        <v>18</v>
      </c>
      <c r="AB123" s="185" t="s">
        <v>18</v>
      </c>
      <c r="AC123" s="186" t="s">
        <v>21</v>
      </c>
      <c r="AD123" s="181" t="s">
        <v>1773</v>
      </c>
      <c r="AE123" s="179" t="s">
        <v>18</v>
      </c>
      <c r="AF123" s="191"/>
      <c r="AG123" s="175" t="s">
        <v>1173</v>
      </c>
      <c r="AH123" s="179">
        <f t="shared" si="15"/>
        <v>20</v>
      </c>
      <c r="AI123" s="179">
        <f>VLOOKUP(K123,[1]TRAMO!$A:$B,2,0)</f>
        <v>2</v>
      </c>
      <c r="AJ123" s="183">
        <f t="shared" si="16"/>
        <v>6372</v>
      </c>
      <c r="AK123" s="179">
        <f t="shared" si="17"/>
        <v>20</v>
      </c>
      <c r="AL123" s="183">
        <v>0</v>
      </c>
      <c r="AM123" s="183">
        <f t="shared" si="24"/>
        <v>1600000</v>
      </c>
      <c r="AN123" s="183">
        <f t="shared" si="18"/>
        <v>0</v>
      </c>
      <c r="AO123" s="183">
        <f t="shared" si="19"/>
        <v>0</v>
      </c>
      <c r="AP123" s="183">
        <f t="shared" si="20"/>
        <v>10195200</v>
      </c>
      <c r="AR123" s="183">
        <f t="shared" si="21"/>
        <v>0</v>
      </c>
      <c r="AS123" s="183">
        <f t="shared" si="22"/>
        <v>11795200</v>
      </c>
      <c r="AT123" s="175" t="s">
        <v>1547</v>
      </c>
      <c r="AU123" s="175" t="s">
        <v>1548</v>
      </c>
      <c r="AV123" s="175" t="s">
        <v>1549</v>
      </c>
      <c r="AW123" s="175" t="s">
        <v>1629</v>
      </c>
    </row>
    <row r="124" spans="1:49" ht="24.95" customHeight="1" x14ac:dyDescent="0.25">
      <c r="A124" s="175">
        <v>14455</v>
      </c>
      <c r="B124" s="175" t="s">
        <v>98</v>
      </c>
      <c r="C124" s="175" t="s">
        <v>41</v>
      </c>
      <c r="D124" s="176">
        <v>1</v>
      </c>
      <c r="E124" s="176">
        <v>2025</v>
      </c>
      <c r="F124" s="176">
        <v>2025</v>
      </c>
      <c r="G124" s="175" t="s">
        <v>23</v>
      </c>
      <c r="H124" s="175" t="s">
        <v>98</v>
      </c>
      <c r="I124" s="175" t="s">
        <v>1175</v>
      </c>
      <c r="J124" s="177" t="s">
        <v>1774</v>
      </c>
      <c r="K124" s="175" t="s">
        <v>1775</v>
      </c>
      <c r="L124" s="175" t="s">
        <v>21</v>
      </c>
      <c r="M124" s="175" t="s">
        <v>21</v>
      </c>
      <c r="N124" s="175">
        <v>13</v>
      </c>
      <c r="O124" s="175" t="s">
        <v>382</v>
      </c>
      <c r="P124" s="175" t="s">
        <v>717</v>
      </c>
      <c r="Q124" s="175" t="s">
        <v>822</v>
      </c>
      <c r="R124" s="175" t="s">
        <v>339</v>
      </c>
      <c r="S124" s="175" t="s">
        <v>19</v>
      </c>
      <c r="T124" s="175" t="s">
        <v>337</v>
      </c>
      <c r="U124" s="176">
        <v>10</v>
      </c>
      <c r="V124" s="176">
        <v>80</v>
      </c>
      <c r="W124" s="176" t="s">
        <v>21</v>
      </c>
      <c r="X124" s="179">
        <f t="shared" si="23"/>
        <v>80</v>
      </c>
      <c r="Y124" s="176">
        <v>4</v>
      </c>
      <c r="Z124" s="176" t="s">
        <v>20</v>
      </c>
      <c r="AA124" s="176" t="s">
        <v>18</v>
      </c>
      <c r="AB124" s="185" t="s">
        <v>18</v>
      </c>
      <c r="AC124" s="186" t="s">
        <v>21</v>
      </c>
      <c r="AD124" s="181" t="s">
        <v>1776</v>
      </c>
      <c r="AE124" s="179" t="s">
        <v>18</v>
      </c>
      <c r="AF124" s="191"/>
      <c r="AG124" s="175" t="s">
        <v>1173</v>
      </c>
      <c r="AH124" s="179">
        <f t="shared" si="15"/>
        <v>20</v>
      </c>
      <c r="AI124" s="179">
        <v>2</v>
      </c>
      <c r="AJ124" s="183">
        <f t="shared" si="16"/>
        <v>6372</v>
      </c>
      <c r="AK124" s="179">
        <f t="shared" si="17"/>
        <v>20</v>
      </c>
      <c r="AL124" s="183">
        <v>0</v>
      </c>
      <c r="AM124" s="183">
        <f t="shared" si="24"/>
        <v>800000</v>
      </c>
      <c r="AN124" s="183">
        <f t="shared" si="18"/>
        <v>0</v>
      </c>
      <c r="AO124" s="183">
        <f t="shared" si="19"/>
        <v>0</v>
      </c>
      <c r="AP124" s="183">
        <f t="shared" si="20"/>
        <v>5097600</v>
      </c>
      <c r="AR124" s="183">
        <f t="shared" si="21"/>
        <v>0</v>
      </c>
      <c r="AS124" s="183">
        <f t="shared" si="22"/>
        <v>5897600</v>
      </c>
      <c r="AT124" s="175" t="s">
        <v>1777</v>
      </c>
      <c r="AU124" s="175" t="s">
        <v>1778</v>
      </c>
      <c r="AV124" s="175" t="s">
        <v>1779</v>
      </c>
      <c r="AW124" s="175" t="s">
        <v>1780</v>
      </c>
    </row>
    <row r="125" spans="1:49" ht="24.95" customHeight="1" x14ac:dyDescent="0.25">
      <c r="A125" s="175">
        <v>14352</v>
      </c>
      <c r="B125" s="175" t="s">
        <v>86</v>
      </c>
      <c r="C125" s="175" t="s">
        <v>29</v>
      </c>
      <c r="D125" s="176">
        <v>1</v>
      </c>
      <c r="E125" s="176">
        <v>2025</v>
      </c>
      <c r="F125" s="176">
        <v>2025</v>
      </c>
      <c r="G125" s="175" t="s">
        <v>23</v>
      </c>
      <c r="H125" s="175" t="s">
        <v>86</v>
      </c>
      <c r="I125" s="175" t="s">
        <v>105</v>
      </c>
      <c r="J125" s="177" t="s">
        <v>1774</v>
      </c>
      <c r="K125" s="175" t="s">
        <v>1775</v>
      </c>
      <c r="L125" s="175" t="s">
        <v>407</v>
      </c>
      <c r="M125" s="175" t="s">
        <v>408</v>
      </c>
      <c r="N125" s="175">
        <v>5</v>
      </c>
      <c r="O125" s="175" t="s">
        <v>395</v>
      </c>
      <c r="P125" s="175" t="s">
        <v>794</v>
      </c>
      <c r="Q125" s="175" t="s">
        <v>1504</v>
      </c>
      <c r="R125" s="175" t="s">
        <v>339</v>
      </c>
      <c r="S125" s="175" t="s">
        <v>22</v>
      </c>
      <c r="T125" s="175" t="s">
        <v>337</v>
      </c>
      <c r="U125" s="176">
        <v>10</v>
      </c>
      <c r="V125" s="176">
        <v>80</v>
      </c>
      <c r="W125" s="176">
        <v>12</v>
      </c>
      <c r="X125" s="179">
        <f t="shared" si="23"/>
        <v>92</v>
      </c>
      <c r="Y125" s="176">
        <v>4</v>
      </c>
      <c r="Z125" s="176" t="s">
        <v>20</v>
      </c>
      <c r="AA125" s="176" t="s">
        <v>18</v>
      </c>
      <c r="AB125" s="185" t="s">
        <v>18</v>
      </c>
      <c r="AC125" s="186" t="s">
        <v>21</v>
      </c>
      <c r="AD125" s="181" t="s">
        <v>1781</v>
      </c>
      <c r="AE125" s="179" t="s">
        <v>18</v>
      </c>
      <c r="AF125" s="191"/>
      <c r="AG125" s="175" t="s">
        <v>1173</v>
      </c>
      <c r="AH125" s="179">
        <f t="shared" si="15"/>
        <v>23</v>
      </c>
      <c r="AI125" s="179">
        <v>2</v>
      </c>
      <c r="AJ125" s="183">
        <f t="shared" si="16"/>
        <v>6372</v>
      </c>
      <c r="AK125" s="179">
        <f t="shared" si="17"/>
        <v>23</v>
      </c>
      <c r="AL125" s="183">
        <v>0</v>
      </c>
      <c r="AM125" s="183">
        <f t="shared" si="24"/>
        <v>920000</v>
      </c>
      <c r="AN125" s="183">
        <f t="shared" si="18"/>
        <v>0</v>
      </c>
      <c r="AO125" s="183">
        <f t="shared" si="19"/>
        <v>0</v>
      </c>
      <c r="AP125" s="183">
        <f t="shared" si="20"/>
        <v>5862240</v>
      </c>
      <c r="AR125" s="183">
        <f t="shared" si="21"/>
        <v>0</v>
      </c>
      <c r="AS125" s="183">
        <f t="shared" si="22"/>
        <v>6782240</v>
      </c>
      <c r="AT125" s="175" t="s">
        <v>1506</v>
      </c>
      <c r="AU125" s="175" t="s">
        <v>1507</v>
      </c>
      <c r="AV125" s="175" t="s">
        <v>1508</v>
      </c>
      <c r="AW125" s="175" t="s">
        <v>1767</v>
      </c>
    </row>
    <row r="126" spans="1:49" ht="24.95" customHeight="1" x14ac:dyDescent="0.25">
      <c r="A126" s="175">
        <v>14431</v>
      </c>
      <c r="B126" s="175" t="s">
        <v>86</v>
      </c>
      <c r="C126" s="175" t="s">
        <v>29</v>
      </c>
      <c r="D126" s="176">
        <v>1</v>
      </c>
      <c r="E126" s="176">
        <v>2025</v>
      </c>
      <c r="F126" s="176">
        <v>2025</v>
      </c>
      <c r="G126" s="175" t="s">
        <v>23</v>
      </c>
      <c r="H126" s="175" t="s">
        <v>86</v>
      </c>
      <c r="I126" s="175" t="s">
        <v>105</v>
      </c>
      <c r="J126" s="177" t="s">
        <v>1774</v>
      </c>
      <c r="K126" s="175" t="s">
        <v>1775</v>
      </c>
      <c r="L126" s="175" t="s">
        <v>407</v>
      </c>
      <c r="M126" s="175" t="s">
        <v>408</v>
      </c>
      <c r="N126" s="175">
        <v>13</v>
      </c>
      <c r="O126" s="175" t="s">
        <v>382</v>
      </c>
      <c r="P126" s="175" t="s">
        <v>416</v>
      </c>
      <c r="Q126" s="175" t="s">
        <v>1504</v>
      </c>
      <c r="R126" s="175" t="s">
        <v>339</v>
      </c>
      <c r="S126" s="175" t="s">
        <v>22</v>
      </c>
      <c r="T126" s="175" t="s">
        <v>337</v>
      </c>
      <c r="U126" s="176">
        <v>10</v>
      </c>
      <c r="V126" s="176">
        <v>80</v>
      </c>
      <c r="W126" s="176">
        <v>12</v>
      </c>
      <c r="X126" s="179">
        <f t="shared" si="23"/>
        <v>92</v>
      </c>
      <c r="Y126" s="176">
        <v>4</v>
      </c>
      <c r="Z126" s="176" t="s">
        <v>20</v>
      </c>
      <c r="AA126" s="176" t="s">
        <v>18</v>
      </c>
      <c r="AB126" s="185" t="s">
        <v>18</v>
      </c>
      <c r="AC126" s="186" t="s">
        <v>21</v>
      </c>
      <c r="AD126" s="181" t="s">
        <v>1782</v>
      </c>
      <c r="AE126" s="179" t="s">
        <v>18</v>
      </c>
      <c r="AF126" s="191"/>
      <c r="AG126" s="175" t="s">
        <v>1173</v>
      </c>
      <c r="AH126" s="179">
        <f t="shared" si="15"/>
        <v>23</v>
      </c>
      <c r="AI126" s="179">
        <v>2</v>
      </c>
      <c r="AJ126" s="183">
        <f t="shared" si="16"/>
        <v>6372</v>
      </c>
      <c r="AK126" s="179">
        <f t="shared" si="17"/>
        <v>23</v>
      </c>
      <c r="AL126" s="183">
        <v>0</v>
      </c>
      <c r="AM126" s="183">
        <f t="shared" si="24"/>
        <v>920000</v>
      </c>
      <c r="AN126" s="183">
        <f t="shared" si="18"/>
        <v>0</v>
      </c>
      <c r="AO126" s="183">
        <f t="shared" si="19"/>
        <v>0</v>
      </c>
      <c r="AP126" s="183">
        <f t="shared" si="20"/>
        <v>5862240</v>
      </c>
      <c r="AR126" s="183">
        <f t="shared" si="21"/>
        <v>0</v>
      </c>
      <c r="AS126" s="183">
        <f t="shared" si="22"/>
        <v>6782240</v>
      </c>
      <c r="AT126" s="175" t="s">
        <v>1765</v>
      </c>
      <c r="AU126" s="175" t="s">
        <v>1766</v>
      </c>
      <c r="AV126" s="175" t="s">
        <v>1508</v>
      </c>
      <c r="AW126" s="175" t="s">
        <v>1509</v>
      </c>
    </row>
    <row r="127" spans="1:49" ht="24.95" customHeight="1" x14ac:dyDescent="0.25">
      <c r="A127" s="175">
        <v>14372</v>
      </c>
      <c r="B127" s="175" t="s">
        <v>83</v>
      </c>
      <c r="C127" s="175" t="s">
        <v>1022</v>
      </c>
      <c r="D127" s="176">
        <v>1</v>
      </c>
      <c r="E127" s="176">
        <v>2025</v>
      </c>
      <c r="F127" s="176">
        <v>2025</v>
      </c>
      <c r="G127" s="175" t="s">
        <v>23</v>
      </c>
      <c r="H127" s="175" t="s">
        <v>83</v>
      </c>
      <c r="I127" s="175" t="s">
        <v>102</v>
      </c>
      <c r="J127" s="177" t="s">
        <v>718</v>
      </c>
      <c r="K127" s="175" t="s">
        <v>719</v>
      </c>
      <c r="L127" s="175" t="s">
        <v>21</v>
      </c>
      <c r="M127" s="175" t="s">
        <v>21</v>
      </c>
      <c r="N127" s="175">
        <v>13</v>
      </c>
      <c r="O127" s="175" t="s">
        <v>382</v>
      </c>
      <c r="P127" s="175" t="s">
        <v>714</v>
      </c>
      <c r="Q127" s="175" t="s">
        <v>1201</v>
      </c>
      <c r="R127" s="175" t="s">
        <v>339</v>
      </c>
      <c r="S127" s="175" t="s">
        <v>19</v>
      </c>
      <c r="T127" s="175" t="s">
        <v>337</v>
      </c>
      <c r="U127" s="176">
        <v>20</v>
      </c>
      <c r="V127" s="176">
        <v>90</v>
      </c>
      <c r="W127" s="176" t="s">
        <v>21</v>
      </c>
      <c r="X127" s="179">
        <f t="shared" si="23"/>
        <v>90</v>
      </c>
      <c r="Y127" s="176">
        <v>5</v>
      </c>
      <c r="Z127" s="176" t="s">
        <v>20</v>
      </c>
      <c r="AA127" s="176" t="s">
        <v>18</v>
      </c>
      <c r="AB127" s="185" t="s">
        <v>18</v>
      </c>
      <c r="AC127" s="186" t="s">
        <v>21</v>
      </c>
      <c r="AD127" s="181" t="s">
        <v>1783</v>
      </c>
      <c r="AE127" s="179" t="s">
        <v>18</v>
      </c>
      <c r="AF127" s="191"/>
      <c r="AG127" s="175" t="s">
        <v>1173</v>
      </c>
      <c r="AH127" s="179">
        <f t="shared" si="15"/>
        <v>18</v>
      </c>
      <c r="AI127" s="179">
        <f>VLOOKUP(K127,[1]TRAMO!$A:$B,2,0)</f>
        <v>2</v>
      </c>
      <c r="AJ127" s="183">
        <f t="shared" si="16"/>
        <v>6372</v>
      </c>
      <c r="AK127" s="179">
        <f t="shared" si="17"/>
        <v>18</v>
      </c>
      <c r="AL127" s="183">
        <v>0</v>
      </c>
      <c r="AM127" s="183">
        <f t="shared" si="24"/>
        <v>1440000</v>
      </c>
      <c r="AN127" s="183">
        <f t="shared" si="18"/>
        <v>0</v>
      </c>
      <c r="AO127" s="183">
        <f t="shared" si="19"/>
        <v>0</v>
      </c>
      <c r="AP127" s="183">
        <f t="shared" si="20"/>
        <v>11469600</v>
      </c>
      <c r="AR127" s="183">
        <f t="shared" si="21"/>
        <v>0</v>
      </c>
      <c r="AS127" s="183">
        <f t="shared" si="22"/>
        <v>12909600</v>
      </c>
      <c r="AT127" s="175" t="s">
        <v>1535</v>
      </c>
      <c r="AU127" s="175" t="s">
        <v>1536</v>
      </c>
      <c r="AV127" s="175" t="s">
        <v>1537</v>
      </c>
      <c r="AW127" s="175" t="s">
        <v>1538</v>
      </c>
    </row>
    <row r="128" spans="1:49" ht="24.95" customHeight="1" x14ac:dyDescent="0.25">
      <c r="A128" s="175">
        <v>14428</v>
      </c>
      <c r="B128" s="175" t="s">
        <v>86</v>
      </c>
      <c r="C128" s="175" t="s">
        <v>29</v>
      </c>
      <c r="D128" s="176">
        <v>1</v>
      </c>
      <c r="E128" s="176">
        <v>2025</v>
      </c>
      <c r="F128" s="176">
        <v>2025</v>
      </c>
      <c r="G128" s="175" t="s">
        <v>23</v>
      </c>
      <c r="H128" s="175" t="s">
        <v>86</v>
      </c>
      <c r="I128" s="175" t="s">
        <v>105</v>
      </c>
      <c r="J128" s="177" t="s">
        <v>718</v>
      </c>
      <c r="K128" s="175" t="s">
        <v>719</v>
      </c>
      <c r="L128" s="175" t="s">
        <v>407</v>
      </c>
      <c r="M128" s="175" t="s">
        <v>408</v>
      </c>
      <c r="N128" s="175">
        <v>13</v>
      </c>
      <c r="O128" s="175" t="s">
        <v>382</v>
      </c>
      <c r="P128" s="175" t="s">
        <v>416</v>
      </c>
      <c r="Q128" s="175" t="s">
        <v>1504</v>
      </c>
      <c r="R128" s="175" t="s">
        <v>339</v>
      </c>
      <c r="S128" s="175" t="s">
        <v>22</v>
      </c>
      <c r="T128" s="175" t="s">
        <v>337</v>
      </c>
      <c r="U128" s="176">
        <v>10</v>
      </c>
      <c r="V128" s="176">
        <v>90</v>
      </c>
      <c r="W128" s="176">
        <v>12</v>
      </c>
      <c r="X128" s="179">
        <f t="shared" si="23"/>
        <v>102</v>
      </c>
      <c r="Y128" s="176">
        <v>4</v>
      </c>
      <c r="Z128" s="176" t="s">
        <v>20</v>
      </c>
      <c r="AA128" s="176" t="s">
        <v>18</v>
      </c>
      <c r="AB128" s="185" t="s">
        <v>18</v>
      </c>
      <c r="AC128" s="186" t="s">
        <v>21</v>
      </c>
      <c r="AD128" s="181" t="s">
        <v>1781</v>
      </c>
      <c r="AE128" s="179" t="s">
        <v>18</v>
      </c>
      <c r="AF128" s="191"/>
      <c r="AG128" s="175" t="s">
        <v>1173</v>
      </c>
      <c r="AH128" s="179">
        <f t="shared" si="15"/>
        <v>26</v>
      </c>
      <c r="AI128" s="179">
        <f>VLOOKUP(K128,[1]TRAMO!$A:$B,2,0)</f>
        <v>2</v>
      </c>
      <c r="AJ128" s="183">
        <f t="shared" si="16"/>
        <v>6372</v>
      </c>
      <c r="AK128" s="179">
        <f t="shared" si="17"/>
        <v>25.5</v>
      </c>
      <c r="AL128" s="183">
        <v>0</v>
      </c>
      <c r="AM128" s="183">
        <f t="shared" si="24"/>
        <v>1040000</v>
      </c>
      <c r="AN128" s="183">
        <f t="shared" si="18"/>
        <v>0</v>
      </c>
      <c r="AO128" s="183">
        <f t="shared" si="19"/>
        <v>0</v>
      </c>
      <c r="AP128" s="183">
        <f t="shared" si="20"/>
        <v>6499440</v>
      </c>
      <c r="AR128" s="183">
        <f t="shared" si="21"/>
        <v>0</v>
      </c>
      <c r="AS128" s="183">
        <f t="shared" si="22"/>
        <v>7539440</v>
      </c>
      <c r="AT128" s="175" t="s">
        <v>1765</v>
      </c>
      <c r="AU128" s="175" t="s">
        <v>1766</v>
      </c>
      <c r="AV128" s="175" t="s">
        <v>1508</v>
      </c>
      <c r="AW128" s="175" t="s">
        <v>1767</v>
      </c>
    </row>
    <row r="129" spans="1:49" ht="24.95" customHeight="1" x14ac:dyDescent="0.25">
      <c r="A129" s="175">
        <v>14219</v>
      </c>
      <c r="B129" s="175" t="s">
        <v>82</v>
      </c>
      <c r="C129" s="175" t="s">
        <v>1018</v>
      </c>
      <c r="D129" s="176">
        <v>1</v>
      </c>
      <c r="E129" s="176">
        <v>2025</v>
      </c>
      <c r="F129" s="176">
        <v>2025</v>
      </c>
      <c r="G129" s="175" t="s">
        <v>23</v>
      </c>
      <c r="H129" s="175" t="s">
        <v>82</v>
      </c>
      <c r="I129" s="175" t="s">
        <v>101</v>
      </c>
      <c r="J129" s="177" t="s">
        <v>718</v>
      </c>
      <c r="K129" s="175" t="s">
        <v>719</v>
      </c>
      <c r="L129" s="175" t="s">
        <v>875</v>
      </c>
      <c r="M129" s="175" t="s">
        <v>874</v>
      </c>
      <c r="N129" s="175">
        <v>13</v>
      </c>
      <c r="O129" s="175" t="s">
        <v>382</v>
      </c>
      <c r="P129" s="175" t="s">
        <v>714</v>
      </c>
      <c r="Q129" s="175" t="s">
        <v>1201</v>
      </c>
      <c r="R129" s="175" t="s">
        <v>339</v>
      </c>
      <c r="S129" s="175" t="s">
        <v>22</v>
      </c>
      <c r="T129" s="175" t="s">
        <v>347</v>
      </c>
      <c r="U129" s="176">
        <v>19</v>
      </c>
      <c r="V129" s="176">
        <v>90</v>
      </c>
      <c r="W129" s="176">
        <v>8</v>
      </c>
      <c r="X129" s="179">
        <f t="shared" si="23"/>
        <v>98</v>
      </c>
      <c r="Y129" s="176">
        <v>4</v>
      </c>
      <c r="Z129" s="176" t="s">
        <v>20</v>
      </c>
      <c r="AA129" s="176" t="s">
        <v>18</v>
      </c>
      <c r="AB129" s="185" t="s">
        <v>18</v>
      </c>
      <c r="AC129" s="186" t="s">
        <v>21</v>
      </c>
      <c r="AD129" s="181" t="s">
        <v>1784</v>
      </c>
      <c r="AE129" s="179" t="s">
        <v>18</v>
      </c>
      <c r="AF129" s="191"/>
      <c r="AG129" s="175" t="s">
        <v>1173</v>
      </c>
      <c r="AH129" s="179">
        <f t="shared" si="15"/>
        <v>25</v>
      </c>
      <c r="AI129" s="179">
        <f>VLOOKUP(K129,[1]TRAMO!$A:$B,2,0)</f>
        <v>2</v>
      </c>
      <c r="AJ129" s="183">
        <f t="shared" si="16"/>
        <v>6372</v>
      </c>
      <c r="AK129" s="179">
        <f t="shared" si="17"/>
        <v>24.5</v>
      </c>
      <c r="AL129" s="183">
        <v>0</v>
      </c>
      <c r="AM129" s="183">
        <f t="shared" si="24"/>
        <v>1900000</v>
      </c>
      <c r="AN129" s="183">
        <f t="shared" si="18"/>
        <v>0</v>
      </c>
      <c r="AO129" s="183">
        <f t="shared" si="19"/>
        <v>0</v>
      </c>
      <c r="AP129" s="183">
        <f t="shared" si="20"/>
        <v>11864664</v>
      </c>
      <c r="AR129" s="183">
        <f t="shared" si="21"/>
        <v>0</v>
      </c>
      <c r="AS129" s="183">
        <f t="shared" si="22"/>
        <v>13764664</v>
      </c>
      <c r="AT129" s="175" t="s">
        <v>21</v>
      </c>
      <c r="AU129" s="175" t="s">
        <v>1785</v>
      </c>
      <c r="AV129" s="175" t="s">
        <v>1786</v>
      </c>
      <c r="AW129" s="175" t="s">
        <v>1021</v>
      </c>
    </row>
    <row r="130" spans="1:49" ht="24.95" customHeight="1" x14ac:dyDescent="0.25">
      <c r="A130" s="175">
        <v>14481</v>
      </c>
      <c r="B130" s="175" t="s">
        <v>98</v>
      </c>
      <c r="C130" s="175" t="s">
        <v>41</v>
      </c>
      <c r="D130" s="176">
        <v>1</v>
      </c>
      <c r="E130" s="176">
        <v>2025</v>
      </c>
      <c r="F130" s="176">
        <v>2025</v>
      </c>
      <c r="G130" s="175" t="s">
        <v>23</v>
      </c>
      <c r="H130" s="175" t="s">
        <v>98</v>
      </c>
      <c r="I130" s="175" t="s">
        <v>1175</v>
      </c>
      <c r="J130" s="177" t="s">
        <v>792</v>
      </c>
      <c r="K130" s="175" t="s">
        <v>791</v>
      </c>
      <c r="L130" s="175" t="s">
        <v>21</v>
      </c>
      <c r="M130" s="175" t="s">
        <v>21</v>
      </c>
      <c r="N130" s="175">
        <v>13</v>
      </c>
      <c r="O130" s="175" t="s">
        <v>382</v>
      </c>
      <c r="P130" s="175" t="s">
        <v>733</v>
      </c>
      <c r="Q130" s="175" t="s">
        <v>841</v>
      </c>
      <c r="R130" s="175" t="s">
        <v>339</v>
      </c>
      <c r="S130" s="175" t="s">
        <v>19</v>
      </c>
      <c r="T130" s="175" t="s">
        <v>347</v>
      </c>
      <c r="U130" s="176">
        <v>15</v>
      </c>
      <c r="V130" s="176">
        <v>100</v>
      </c>
      <c r="W130" s="176" t="s">
        <v>21</v>
      </c>
      <c r="X130" s="179">
        <f t="shared" si="23"/>
        <v>100</v>
      </c>
      <c r="Y130" s="176">
        <v>4</v>
      </c>
      <c r="Z130" s="176" t="s">
        <v>20</v>
      </c>
      <c r="AA130" s="176" t="s">
        <v>18</v>
      </c>
      <c r="AB130" s="185" t="s">
        <v>18</v>
      </c>
      <c r="AC130" s="186" t="s">
        <v>21</v>
      </c>
      <c r="AD130" s="181" t="s">
        <v>1693</v>
      </c>
      <c r="AE130" s="179" t="s">
        <v>18</v>
      </c>
      <c r="AF130" s="191"/>
      <c r="AG130" s="175" t="s">
        <v>1173</v>
      </c>
      <c r="AH130" s="179">
        <f t="shared" ref="AH130:AH193" si="25">ROUNDUP(AK130,0)</f>
        <v>25</v>
      </c>
      <c r="AI130" s="179">
        <f>VLOOKUP(K130,[1]TRAMO!$A:$B,2,0)</f>
        <v>1</v>
      </c>
      <c r="AJ130" s="183">
        <f t="shared" ref="AJ130:AJ193" si="26">IF(AI130=1,5074,IF(AI130=2,6372,IF(AI130=3,7434,"ERROR")))</f>
        <v>5074</v>
      </c>
      <c r="AK130" s="179">
        <f t="shared" ref="AK130:AK193" si="27">+(X130/Y130)</f>
        <v>25</v>
      </c>
      <c r="AL130" s="183">
        <v>0</v>
      </c>
      <c r="AM130" s="183">
        <f t="shared" si="24"/>
        <v>1500000</v>
      </c>
      <c r="AN130" s="183">
        <f t="shared" ref="AN130:AN193" si="28">IF(AA130="SI",5000*AH130*U130,0)</f>
        <v>0</v>
      </c>
      <c r="AO130" s="183">
        <f t="shared" ref="AO130:AO193" si="29">IF(AB130="SI",270000*U130,0)</f>
        <v>0</v>
      </c>
      <c r="AP130" s="183">
        <f t="shared" ref="AP130:AP193" si="30">+(AJ130*X130*U130)</f>
        <v>7611000</v>
      </c>
      <c r="AR130" s="183">
        <f t="shared" ref="AR130:AR193" si="31">+(AL130*U130)</f>
        <v>0</v>
      </c>
      <c r="AS130" s="183">
        <f t="shared" ref="AS130:AS193" si="32">+(AM130+AN130+AO130+AP130+AR130)</f>
        <v>9111000</v>
      </c>
      <c r="AT130" s="175" t="s">
        <v>1694</v>
      </c>
      <c r="AU130" s="175" t="s">
        <v>1695</v>
      </c>
      <c r="AV130" s="175" t="s">
        <v>1696</v>
      </c>
      <c r="AW130" s="175" t="s">
        <v>1039</v>
      </c>
    </row>
    <row r="131" spans="1:49" ht="24.95" customHeight="1" x14ac:dyDescent="0.25">
      <c r="A131" s="175">
        <v>14295</v>
      </c>
      <c r="B131" s="175" t="s">
        <v>96</v>
      </c>
      <c r="C131" s="175" t="s">
        <v>39</v>
      </c>
      <c r="D131" s="176">
        <v>4</v>
      </c>
      <c r="E131" s="176">
        <v>2025</v>
      </c>
      <c r="F131" s="176">
        <v>2025</v>
      </c>
      <c r="G131" s="175" t="s">
        <v>23</v>
      </c>
      <c r="H131" s="175" t="s">
        <v>96</v>
      </c>
      <c r="I131" s="175" t="s">
        <v>1042</v>
      </c>
      <c r="J131" s="177" t="s">
        <v>800</v>
      </c>
      <c r="K131" s="175" t="s">
        <v>799</v>
      </c>
      <c r="L131" s="175" t="s">
        <v>21</v>
      </c>
      <c r="M131" s="175" t="s">
        <v>21</v>
      </c>
      <c r="N131" s="175">
        <v>6</v>
      </c>
      <c r="O131" s="175" t="s">
        <v>796</v>
      </c>
      <c r="P131" s="175" t="s">
        <v>858</v>
      </c>
      <c r="Q131" s="175" t="s">
        <v>385</v>
      </c>
      <c r="R131" s="175" t="s">
        <v>339</v>
      </c>
      <c r="S131" s="175" t="s">
        <v>22</v>
      </c>
      <c r="T131" s="175" t="s">
        <v>337</v>
      </c>
      <c r="U131" s="176">
        <v>10</v>
      </c>
      <c r="V131" s="176">
        <v>108</v>
      </c>
      <c r="W131" s="176" t="s">
        <v>21</v>
      </c>
      <c r="X131" s="179">
        <f t="shared" si="23"/>
        <v>108</v>
      </c>
      <c r="Y131" s="176">
        <v>5</v>
      </c>
      <c r="Z131" s="176" t="s">
        <v>20</v>
      </c>
      <c r="AA131" s="176" t="s">
        <v>18</v>
      </c>
      <c r="AB131" s="185" t="s">
        <v>18</v>
      </c>
      <c r="AC131" s="186" t="s">
        <v>21</v>
      </c>
      <c r="AD131" s="181" t="s">
        <v>1787</v>
      </c>
      <c r="AE131" s="179" t="s">
        <v>18</v>
      </c>
      <c r="AF131" s="191"/>
      <c r="AG131" s="175" t="s">
        <v>1173</v>
      </c>
      <c r="AH131" s="179">
        <f t="shared" si="25"/>
        <v>22</v>
      </c>
      <c r="AI131" s="179">
        <f>VLOOKUP(K131,[1]TRAMO!$A:$B,2,0)</f>
        <v>2</v>
      </c>
      <c r="AJ131" s="183">
        <f t="shared" si="26"/>
        <v>6372</v>
      </c>
      <c r="AK131" s="179">
        <f t="shared" si="27"/>
        <v>21.6</v>
      </c>
      <c r="AL131" s="183">
        <v>0</v>
      </c>
      <c r="AM131" s="183">
        <f t="shared" si="24"/>
        <v>880000</v>
      </c>
      <c r="AN131" s="183">
        <f t="shared" si="28"/>
        <v>0</v>
      </c>
      <c r="AO131" s="183">
        <f t="shared" si="29"/>
        <v>0</v>
      </c>
      <c r="AP131" s="183">
        <f t="shared" si="30"/>
        <v>6881760</v>
      </c>
      <c r="AR131" s="183">
        <f t="shared" si="31"/>
        <v>0</v>
      </c>
      <c r="AS131" s="183">
        <f t="shared" si="32"/>
        <v>7761760</v>
      </c>
      <c r="AT131" s="175" t="s">
        <v>1750</v>
      </c>
      <c r="AU131" s="175" t="s">
        <v>1751</v>
      </c>
      <c r="AV131" s="175" t="s">
        <v>1788</v>
      </c>
      <c r="AW131" s="175" t="s">
        <v>1789</v>
      </c>
    </row>
    <row r="132" spans="1:49" ht="24.95" customHeight="1" x14ac:dyDescent="0.25">
      <c r="A132" s="175">
        <v>14224</v>
      </c>
      <c r="B132" s="175" t="s">
        <v>80</v>
      </c>
      <c r="C132" s="175" t="s">
        <v>17</v>
      </c>
      <c r="D132" s="176">
        <v>1</v>
      </c>
      <c r="E132" s="176">
        <v>2025</v>
      </c>
      <c r="F132" s="176">
        <v>2025</v>
      </c>
      <c r="G132" s="175" t="s">
        <v>23</v>
      </c>
      <c r="H132" s="175" t="s">
        <v>80</v>
      </c>
      <c r="I132" s="175" t="s">
        <v>1016</v>
      </c>
      <c r="J132" s="177" t="s">
        <v>700</v>
      </c>
      <c r="K132" s="175" t="s">
        <v>701</v>
      </c>
      <c r="L132" s="175" t="s">
        <v>21</v>
      </c>
      <c r="M132" s="175" t="s">
        <v>21</v>
      </c>
      <c r="N132" s="175">
        <v>13</v>
      </c>
      <c r="O132" s="175" t="s">
        <v>382</v>
      </c>
      <c r="P132" s="175" t="s">
        <v>776</v>
      </c>
      <c r="Q132" s="175" t="s">
        <v>1201</v>
      </c>
      <c r="R132" s="175" t="s">
        <v>339</v>
      </c>
      <c r="S132" s="175" t="s">
        <v>22</v>
      </c>
      <c r="T132" s="175" t="s">
        <v>337</v>
      </c>
      <c r="U132" s="176">
        <v>17</v>
      </c>
      <c r="V132" s="176">
        <v>150</v>
      </c>
      <c r="W132" s="176" t="s">
        <v>21</v>
      </c>
      <c r="X132" s="179">
        <f t="shared" si="23"/>
        <v>150</v>
      </c>
      <c r="Y132" s="176">
        <v>4</v>
      </c>
      <c r="Z132" s="176" t="s">
        <v>20</v>
      </c>
      <c r="AA132" s="176" t="s">
        <v>18</v>
      </c>
      <c r="AB132" s="185" t="s">
        <v>18</v>
      </c>
      <c r="AC132" s="186" t="s">
        <v>21</v>
      </c>
      <c r="AD132" s="181" t="s">
        <v>1790</v>
      </c>
      <c r="AE132" s="179" t="s">
        <v>18</v>
      </c>
      <c r="AF132" s="191"/>
      <c r="AG132" s="175" t="s">
        <v>1173</v>
      </c>
      <c r="AH132" s="179">
        <f t="shared" si="25"/>
        <v>38</v>
      </c>
      <c r="AI132" s="179">
        <f>VLOOKUP(K132,[1]TRAMO!$A:$B,2,0)</f>
        <v>2</v>
      </c>
      <c r="AJ132" s="183">
        <f t="shared" si="26"/>
        <v>6372</v>
      </c>
      <c r="AK132" s="179">
        <f t="shared" si="27"/>
        <v>37.5</v>
      </c>
      <c r="AL132" s="183">
        <v>0</v>
      </c>
      <c r="AM132" s="183">
        <f t="shared" si="24"/>
        <v>2584000</v>
      </c>
      <c r="AN132" s="183">
        <f t="shared" si="28"/>
        <v>0</v>
      </c>
      <c r="AO132" s="183">
        <f t="shared" si="29"/>
        <v>0</v>
      </c>
      <c r="AP132" s="183">
        <f t="shared" si="30"/>
        <v>16248600</v>
      </c>
      <c r="AR132" s="183">
        <f t="shared" si="31"/>
        <v>0</v>
      </c>
      <c r="AS132" s="183">
        <f t="shared" si="32"/>
        <v>18832600</v>
      </c>
      <c r="AT132" s="175" t="s">
        <v>1791</v>
      </c>
      <c r="AU132" s="175" t="s">
        <v>1792</v>
      </c>
      <c r="AV132" s="175" t="s">
        <v>1793</v>
      </c>
      <c r="AW132" s="175" t="s">
        <v>1041</v>
      </c>
    </row>
    <row r="133" spans="1:49" ht="24.95" customHeight="1" x14ac:dyDescent="0.25">
      <c r="A133" s="175">
        <v>14402</v>
      </c>
      <c r="B133" s="175" t="s">
        <v>98</v>
      </c>
      <c r="C133" s="175" t="s">
        <v>41</v>
      </c>
      <c r="D133" s="176">
        <v>1</v>
      </c>
      <c r="E133" s="176">
        <v>2025</v>
      </c>
      <c r="F133" s="176">
        <v>2025</v>
      </c>
      <c r="G133" s="175" t="s">
        <v>23</v>
      </c>
      <c r="H133" s="175" t="s">
        <v>98</v>
      </c>
      <c r="I133" s="175" t="s">
        <v>1175</v>
      </c>
      <c r="J133" s="177" t="s">
        <v>700</v>
      </c>
      <c r="K133" s="175" t="s">
        <v>701</v>
      </c>
      <c r="L133" s="175" t="s">
        <v>21</v>
      </c>
      <c r="M133" s="175" t="s">
        <v>21</v>
      </c>
      <c r="N133" s="175">
        <v>13</v>
      </c>
      <c r="O133" s="175" t="s">
        <v>382</v>
      </c>
      <c r="P133" s="175" t="s">
        <v>776</v>
      </c>
      <c r="Q133" s="175" t="s">
        <v>1201</v>
      </c>
      <c r="R133" s="175" t="s">
        <v>339</v>
      </c>
      <c r="S133" s="175" t="s">
        <v>19</v>
      </c>
      <c r="T133" s="175" t="s">
        <v>337</v>
      </c>
      <c r="U133" s="176">
        <v>19</v>
      </c>
      <c r="V133" s="176">
        <v>150</v>
      </c>
      <c r="W133" s="176" t="s">
        <v>21</v>
      </c>
      <c r="X133" s="179">
        <f t="shared" si="23"/>
        <v>150</v>
      </c>
      <c r="Y133" s="176">
        <v>4</v>
      </c>
      <c r="Z133" s="176" t="s">
        <v>20</v>
      </c>
      <c r="AA133" s="176" t="s">
        <v>18</v>
      </c>
      <c r="AB133" s="185" t="s">
        <v>18</v>
      </c>
      <c r="AC133" s="186" t="s">
        <v>21</v>
      </c>
      <c r="AD133" s="181" t="s">
        <v>1794</v>
      </c>
      <c r="AE133" s="179" t="s">
        <v>18</v>
      </c>
      <c r="AF133" s="191"/>
      <c r="AG133" s="175" t="s">
        <v>1173</v>
      </c>
      <c r="AH133" s="179">
        <f t="shared" si="25"/>
        <v>38</v>
      </c>
      <c r="AI133" s="179">
        <f>VLOOKUP(K133,[1]TRAMO!$A:$B,2,0)</f>
        <v>2</v>
      </c>
      <c r="AJ133" s="183">
        <f t="shared" si="26"/>
        <v>6372</v>
      </c>
      <c r="AK133" s="179">
        <f t="shared" si="27"/>
        <v>37.5</v>
      </c>
      <c r="AL133" s="183">
        <v>0</v>
      </c>
      <c r="AM133" s="183">
        <f t="shared" si="24"/>
        <v>2888000</v>
      </c>
      <c r="AN133" s="183">
        <f t="shared" si="28"/>
        <v>0</v>
      </c>
      <c r="AO133" s="183">
        <f t="shared" si="29"/>
        <v>0</v>
      </c>
      <c r="AP133" s="183">
        <f t="shared" si="30"/>
        <v>18160200</v>
      </c>
      <c r="AR133" s="183">
        <f t="shared" si="31"/>
        <v>0</v>
      </c>
      <c r="AS133" s="183">
        <f t="shared" si="32"/>
        <v>21048200</v>
      </c>
      <c r="AT133" s="175" t="s">
        <v>1795</v>
      </c>
      <c r="AU133" s="175" t="s">
        <v>1796</v>
      </c>
      <c r="AV133" s="175" t="s">
        <v>1026</v>
      </c>
      <c r="AW133" s="175" t="s">
        <v>1041</v>
      </c>
    </row>
    <row r="134" spans="1:49" ht="24.95" customHeight="1" x14ac:dyDescent="0.25">
      <c r="A134" s="175">
        <v>14404</v>
      </c>
      <c r="B134" s="175" t="s">
        <v>98</v>
      </c>
      <c r="C134" s="175" t="s">
        <v>41</v>
      </c>
      <c r="D134" s="176">
        <v>1</v>
      </c>
      <c r="E134" s="176">
        <v>2025</v>
      </c>
      <c r="F134" s="176">
        <v>2025</v>
      </c>
      <c r="G134" s="175" t="s">
        <v>23</v>
      </c>
      <c r="H134" s="175" t="s">
        <v>98</v>
      </c>
      <c r="I134" s="175" t="s">
        <v>1175</v>
      </c>
      <c r="J134" s="177" t="s">
        <v>700</v>
      </c>
      <c r="K134" s="175" t="s">
        <v>701</v>
      </c>
      <c r="L134" s="175" t="s">
        <v>21</v>
      </c>
      <c r="M134" s="175" t="s">
        <v>21</v>
      </c>
      <c r="N134" s="175">
        <v>13</v>
      </c>
      <c r="O134" s="175" t="s">
        <v>382</v>
      </c>
      <c r="P134" s="175" t="s">
        <v>383</v>
      </c>
      <c r="Q134" s="175" t="s">
        <v>1201</v>
      </c>
      <c r="R134" s="175" t="s">
        <v>339</v>
      </c>
      <c r="S134" s="175" t="s">
        <v>22</v>
      </c>
      <c r="T134" s="175" t="s">
        <v>337</v>
      </c>
      <c r="U134" s="176">
        <v>20</v>
      </c>
      <c r="V134" s="176">
        <v>150</v>
      </c>
      <c r="W134" s="176" t="s">
        <v>21</v>
      </c>
      <c r="X134" s="179">
        <f t="shared" si="23"/>
        <v>150</v>
      </c>
      <c r="Y134" s="176">
        <v>4</v>
      </c>
      <c r="Z134" s="176" t="s">
        <v>20</v>
      </c>
      <c r="AA134" s="176" t="s">
        <v>18</v>
      </c>
      <c r="AB134" s="185" t="s">
        <v>18</v>
      </c>
      <c r="AC134" s="186" t="s">
        <v>21</v>
      </c>
      <c r="AD134" s="181" t="s">
        <v>1794</v>
      </c>
      <c r="AE134" s="179" t="s">
        <v>18</v>
      </c>
      <c r="AF134" s="191"/>
      <c r="AG134" s="175" t="s">
        <v>1173</v>
      </c>
      <c r="AH134" s="179">
        <f t="shared" si="25"/>
        <v>38</v>
      </c>
      <c r="AI134" s="179">
        <f>VLOOKUP(K134,[1]TRAMO!$A:$B,2,0)</f>
        <v>2</v>
      </c>
      <c r="AJ134" s="183">
        <f t="shared" si="26"/>
        <v>6372</v>
      </c>
      <c r="AK134" s="179">
        <f t="shared" si="27"/>
        <v>37.5</v>
      </c>
      <c r="AL134" s="183">
        <v>0</v>
      </c>
      <c r="AM134" s="183">
        <f t="shared" si="24"/>
        <v>3040000</v>
      </c>
      <c r="AN134" s="183">
        <f t="shared" si="28"/>
        <v>0</v>
      </c>
      <c r="AO134" s="183">
        <f t="shared" si="29"/>
        <v>0</v>
      </c>
      <c r="AP134" s="183">
        <f t="shared" si="30"/>
        <v>19116000</v>
      </c>
      <c r="AR134" s="183">
        <f t="shared" si="31"/>
        <v>0</v>
      </c>
      <c r="AS134" s="183">
        <f t="shared" si="32"/>
        <v>22156000</v>
      </c>
      <c r="AT134" s="175" t="s">
        <v>1795</v>
      </c>
      <c r="AU134" s="175" t="s">
        <v>1796</v>
      </c>
      <c r="AV134" s="175" t="s">
        <v>1026</v>
      </c>
      <c r="AW134" s="175" t="s">
        <v>1041</v>
      </c>
    </row>
    <row r="135" spans="1:49" ht="24.95" customHeight="1" x14ac:dyDescent="0.25">
      <c r="A135" s="175">
        <v>14261</v>
      </c>
      <c r="B135" s="175" t="s">
        <v>98</v>
      </c>
      <c r="C135" s="175" t="s">
        <v>41</v>
      </c>
      <c r="D135" s="176">
        <v>1</v>
      </c>
      <c r="E135" s="176">
        <v>2025</v>
      </c>
      <c r="F135" s="176">
        <v>2025</v>
      </c>
      <c r="G135" s="175" t="s">
        <v>23</v>
      </c>
      <c r="H135" s="175" t="s">
        <v>98</v>
      </c>
      <c r="I135" s="175" t="s">
        <v>1175</v>
      </c>
      <c r="J135" s="177" t="s">
        <v>1797</v>
      </c>
      <c r="K135" s="175" t="s">
        <v>1798</v>
      </c>
      <c r="L135" s="175" t="s">
        <v>21</v>
      </c>
      <c r="M135" s="175" t="s">
        <v>21</v>
      </c>
      <c r="N135" s="175">
        <v>8</v>
      </c>
      <c r="O135" s="175" t="s">
        <v>709</v>
      </c>
      <c r="P135" s="175" t="s">
        <v>764</v>
      </c>
      <c r="Q135" s="175" t="s">
        <v>388</v>
      </c>
      <c r="R135" s="175" t="s">
        <v>339</v>
      </c>
      <c r="S135" s="175" t="s">
        <v>19</v>
      </c>
      <c r="T135" s="175" t="s">
        <v>393</v>
      </c>
      <c r="U135" s="176">
        <v>12</v>
      </c>
      <c r="V135" s="176">
        <v>70</v>
      </c>
      <c r="W135" s="176" t="s">
        <v>21</v>
      </c>
      <c r="X135" s="179">
        <f t="shared" si="23"/>
        <v>70</v>
      </c>
      <c r="Y135" s="176">
        <v>4</v>
      </c>
      <c r="Z135" s="176" t="s">
        <v>20</v>
      </c>
      <c r="AA135" s="176" t="s">
        <v>18</v>
      </c>
      <c r="AB135" s="185" t="s">
        <v>18</v>
      </c>
      <c r="AC135" s="186" t="s">
        <v>21</v>
      </c>
      <c r="AD135" s="181" t="s">
        <v>1799</v>
      </c>
      <c r="AE135" s="179" t="s">
        <v>18</v>
      </c>
      <c r="AF135" s="191"/>
      <c r="AG135" s="175" t="s">
        <v>1173</v>
      </c>
      <c r="AH135" s="179">
        <f t="shared" si="25"/>
        <v>18</v>
      </c>
      <c r="AI135" s="179">
        <v>2</v>
      </c>
      <c r="AJ135" s="183">
        <f t="shared" si="26"/>
        <v>6372</v>
      </c>
      <c r="AK135" s="179">
        <f t="shared" si="27"/>
        <v>17.5</v>
      </c>
      <c r="AL135" s="183">
        <v>0</v>
      </c>
      <c r="AM135" s="183">
        <f t="shared" si="24"/>
        <v>864000</v>
      </c>
      <c r="AN135" s="183">
        <f t="shared" si="28"/>
        <v>0</v>
      </c>
      <c r="AO135" s="183">
        <f t="shared" si="29"/>
        <v>0</v>
      </c>
      <c r="AP135" s="183">
        <f t="shared" si="30"/>
        <v>5352480</v>
      </c>
      <c r="AR135" s="183">
        <f t="shared" si="31"/>
        <v>0</v>
      </c>
      <c r="AS135" s="183">
        <f t="shared" si="32"/>
        <v>6216480</v>
      </c>
      <c r="AT135" s="175" t="s">
        <v>1499</v>
      </c>
      <c r="AU135" s="175" t="s">
        <v>1500</v>
      </c>
      <c r="AV135" s="175" t="s">
        <v>1800</v>
      </c>
      <c r="AW135" s="175" t="s">
        <v>1801</v>
      </c>
    </row>
    <row r="136" spans="1:49" ht="24.95" customHeight="1" x14ac:dyDescent="0.25">
      <c r="A136" s="175">
        <v>14501</v>
      </c>
      <c r="B136" s="175" t="s">
        <v>98</v>
      </c>
      <c r="C136" s="175" t="s">
        <v>41</v>
      </c>
      <c r="D136" s="176">
        <v>1</v>
      </c>
      <c r="E136" s="176">
        <v>2025</v>
      </c>
      <c r="F136" s="176">
        <v>2025</v>
      </c>
      <c r="G136" s="175" t="s">
        <v>23</v>
      </c>
      <c r="H136" s="175" t="s">
        <v>98</v>
      </c>
      <c r="I136" s="175" t="s">
        <v>1175</v>
      </c>
      <c r="J136" s="177" t="s">
        <v>1797</v>
      </c>
      <c r="K136" s="175" t="s">
        <v>1798</v>
      </c>
      <c r="L136" s="175" t="s">
        <v>21</v>
      </c>
      <c r="M136" s="175" t="s">
        <v>21</v>
      </c>
      <c r="N136" s="175">
        <v>8</v>
      </c>
      <c r="O136" s="175" t="s">
        <v>709</v>
      </c>
      <c r="P136" s="175" t="s">
        <v>923</v>
      </c>
      <c r="Q136" s="175" t="s">
        <v>388</v>
      </c>
      <c r="R136" s="175" t="s">
        <v>339</v>
      </c>
      <c r="S136" s="175" t="s">
        <v>19</v>
      </c>
      <c r="T136" s="175" t="s">
        <v>347</v>
      </c>
      <c r="U136" s="176">
        <v>10</v>
      </c>
      <c r="V136" s="176">
        <v>70</v>
      </c>
      <c r="W136" s="176" t="s">
        <v>21</v>
      </c>
      <c r="X136" s="179">
        <f t="shared" ref="X136:X199" si="33">(SUM(V136:W136))*1</f>
        <v>70</v>
      </c>
      <c r="Y136" s="176">
        <v>5</v>
      </c>
      <c r="Z136" s="176" t="s">
        <v>20</v>
      </c>
      <c r="AA136" s="176" t="s">
        <v>18</v>
      </c>
      <c r="AB136" s="185" t="s">
        <v>18</v>
      </c>
      <c r="AC136" s="186" t="s">
        <v>21</v>
      </c>
      <c r="AD136" s="181" t="s">
        <v>1802</v>
      </c>
      <c r="AE136" s="179" t="s">
        <v>18</v>
      </c>
      <c r="AF136" s="191"/>
      <c r="AG136" s="175" t="s">
        <v>1173</v>
      </c>
      <c r="AH136" s="179">
        <f t="shared" si="25"/>
        <v>14</v>
      </c>
      <c r="AI136" s="179">
        <v>2</v>
      </c>
      <c r="AJ136" s="183">
        <f t="shared" si="26"/>
        <v>6372</v>
      </c>
      <c r="AK136" s="179">
        <f t="shared" si="27"/>
        <v>14</v>
      </c>
      <c r="AL136" s="183">
        <v>0</v>
      </c>
      <c r="AM136" s="183">
        <f t="shared" si="24"/>
        <v>560000</v>
      </c>
      <c r="AN136" s="183">
        <f t="shared" si="28"/>
        <v>0</v>
      </c>
      <c r="AO136" s="183">
        <f t="shared" si="29"/>
        <v>0</v>
      </c>
      <c r="AP136" s="183">
        <f t="shared" si="30"/>
        <v>4460400</v>
      </c>
      <c r="AR136" s="183">
        <f t="shared" si="31"/>
        <v>0</v>
      </c>
      <c r="AS136" s="183">
        <f t="shared" si="32"/>
        <v>5020400</v>
      </c>
      <c r="AT136" s="175" t="s">
        <v>1588</v>
      </c>
      <c r="AU136" s="175" t="s">
        <v>1589</v>
      </c>
      <c r="AV136" s="175" t="s">
        <v>1803</v>
      </c>
      <c r="AW136" s="175" t="s">
        <v>1804</v>
      </c>
    </row>
    <row r="137" spans="1:49" ht="24.95" customHeight="1" x14ac:dyDescent="0.25">
      <c r="A137" s="175">
        <v>14461</v>
      </c>
      <c r="B137" s="175" t="s">
        <v>98</v>
      </c>
      <c r="C137" s="175" t="s">
        <v>41</v>
      </c>
      <c r="D137" s="176">
        <v>1</v>
      </c>
      <c r="E137" s="176">
        <v>2025</v>
      </c>
      <c r="F137" s="176">
        <v>2025</v>
      </c>
      <c r="G137" s="175" t="s">
        <v>23</v>
      </c>
      <c r="H137" s="175" t="s">
        <v>98</v>
      </c>
      <c r="I137" s="175" t="s">
        <v>1175</v>
      </c>
      <c r="J137" s="177" t="s">
        <v>772</v>
      </c>
      <c r="K137" s="175" t="s">
        <v>771</v>
      </c>
      <c r="L137" s="175" t="s">
        <v>21</v>
      </c>
      <c r="M137" s="175" t="s">
        <v>21</v>
      </c>
      <c r="N137" s="175">
        <v>13</v>
      </c>
      <c r="O137" s="175" t="s">
        <v>382</v>
      </c>
      <c r="P137" s="175" t="s">
        <v>720</v>
      </c>
      <c r="Q137" s="175" t="s">
        <v>1201</v>
      </c>
      <c r="R137" s="175" t="s">
        <v>339</v>
      </c>
      <c r="S137" s="175" t="s">
        <v>19</v>
      </c>
      <c r="T137" s="175" t="s">
        <v>393</v>
      </c>
      <c r="U137" s="176">
        <v>12</v>
      </c>
      <c r="V137" s="176">
        <v>100</v>
      </c>
      <c r="W137" s="176" t="s">
        <v>21</v>
      </c>
      <c r="X137" s="179">
        <f t="shared" si="33"/>
        <v>100</v>
      </c>
      <c r="Y137" s="176">
        <v>4</v>
      </c>
      <c r="Z137" s="176" t="s">
        <v>20</v>
      </c>
      <c r="AA137" s="176" t="s">
        <v>18</v>
      </c>
      <c r="AB137" s="185" t="s">
        <v>18</v>
      </c>
      <c r="AC137" s="186" t="s">
        <v>21</v>
      </c>
      <c r="AD137" s="181" t="s">
        <v>1805</v>
      </c>
      <c r="AE137" s="179" t="s">
        <v>18</v>
      </c>
      <c r="AF137" s="191"/>
      <c r="AG137" s="175" t="s">
        <v>1173</v>
      </c>
      <c r="AH137" s="179">
        <f t="shared" si="25"/>
        <v>25</v>
      </c>
      <c r="AI137" s="179">
        <f>VLOOKUP(K137,[1]TRAMO!$A:$B,2,0)</f>
        <v>2</v>
      </c>
      <c r="AJ137" s="183">
        <f t="shared" si="26"/>
        <v>6372</v>
      </c>
      <c r="AK137" s="179">
        <f t="shared" si="27"/>
        <v>25</v>
      </c>
      <c r="AL137" s="183">
        <v>0</v>
      </c>
      <c r="AM137" s="183">
        <f t="shared" si="24"/>
        <v>1200000</v>
      </c>
      <c r="AN137" s="183">
        <f t="shared" si="28"/>
        <v>0</v>
      </c>
      <c r="AO137" s="183">
        <f t="shared" si="29"/>
        <v>0</v>
      </c>
      <c r="AP137" s="183">
        <f t="shared" si="30"/>
        <v>7646400</v>
      </c>
      <c r="AR137" s="183">
        <f t="shared" si="31"/>
        <v>0</v>
      </c>
      <c r="AS137" s="183">
        <f t="shared" si="32"/>
        <v>8846400</v>
      </c>
      <c r="AT137" s="175" t="s">
        <v>1806</v>
      </c>
      <c r="AU137" s="175" t="s">
        <v>1807</v>
      </c>
      <c r="AV137" s="175" t="s">
        <v>1808</v>
      </c>
      <c r="AW137" s="175" t="s">
        <v>1059</v>
      </c>
    </row>
    <row r="138" spans="1:49" ht="24.95" customHeight="1" x14ac:dyDescent="0.25">
      <c r="A138" s="175">
        <v>14456</v>
      </c>
      <c r="B138" s="175" t="s">
        <v>98</v>
      </c>
      <c r="C138" s="175" t="s">
        <v>41</v>
      </c>
      <c r="D138" s="176">
        <v>1</v>
      </c>
      <c r="E138" s="176">
        <v>2025</v>
      </c>
      <c r="F138" s="176">
        <v>2025</v>
      </c>
      <c r="G138" s="175" t="s">
        <v>23</v>
      </c>
      <c r="H138" s="175" t="s">
        <v>98</v>
      </c>
      <c r="I138" s="175" t="s">
        <v>1175</v>
      </c>
      <c r="J138" s="177" t="s">
        <v>1809</v>
      </c>
      <c r="K138" s="175" t="s">
        <v>1810</v>
      </c>
      <c r="L138" s="175" t="s">
        <v>21</v>
      </c>
      <c r="M138" s="175" t="s">
        <v>21</v>
      </c>
      <c r="N138" s="175">
        <v>13</v>
      </c>
      <c r="O138" s="175" t="s">
        <v>382</v>
      </c>
      <c r="P138" s="175" t="s">
        <v>717</v>
      </c>
      <c r="Q138" s="175" t="s">
        <v>822</v>
      </c>
      <c r="R138" s="175" t="s">
        <v>339</v>
      </c>
      <c r="S138" s="175" t="s">
        <v>19</v>
      </c>
      <c r="T138" s="175" t="s">
        <v>337</v>
      </c>
      <c r="U138" s="176">
        <v>10</v>
      </c>
      <c r="V138" s="176">
        <v>28</v>
      </c>
      <c r="W138" s="176" t="s">
        <v>21</v>
      </c>
      <c r="X138" s="179">
        <f t="shared" si="33"/>
        <v>28</v>
      </c>
      <c r="Y138" s="176">
        <v>4</v>
      </c>
      <c r="Z138" s="176" t="s">
        <v>18</v>
      </c>
      <c r="AA138" s="176" t="s">
        <v>18</v>
      </c>
      <c r="AB138" s="185" t="s">
        <v>18</v>
      </c>
      <c r="AC138" s="186" t="s">
        <v>21</v>
      </c>
      <c r="AD138" s="181" t="s">
        <v>1776</v>
      </c>
      <c r="AE138" s="179" t="s">
        <v>18</v>
      </c>
      <c r="AF138" s="191"/>
      <c r="AG138" s="175" t="s">
        <v>1173</v>
      </c>
      <c r="AH138" s="179">
        <f t="shared" si="25"/>
        <v>7</v>
      </c>
      <c r="AI138" s="179">
        <f>VLOOKUP(K138,[1]TRAMO!$A:$B,2,0)</f>
        <v>1</v>
      </c>
      <c r="AJ138" s="183">
        <f t="shared" si="26"/>
        <v>5074</v>
      </c>
      <c r="AK138" s="179">
        <f t="shared" si="27"/>
        <v>7</v>
      </c>
      <c r="AL138" s="183">
        <v>0</v>
      </c>
      <c r="AM138" s="183">
        <f t="shared" si="24"/>
        <v>0</v>
      </c>
      <c r="AN138" s="183">
        <f t="shared" si="28"/>
        <v>0</v>
      </c>
      <c r="AO138" s="183">
        <f t="shared" si="29"/>
        <v>0</v>
      </c>
      <c r="AP138" s="183">
        <f t="shared" si="30"/>
        <v>1420720</v>
      </c>
      <c r="AR138" s="183">
        <f t="shared" si="31"/>
        <v>0</v>
      </c>
      <c r="AS138" s="183">
        <f t="shared" si="32"/>
        <v>1420720</v>
      </c>
      <c r="AT138" s="175" t="s">
        <v>1777</v>
      </c>
      <c r="AU138" s="175" t="s">
        <v>1778</v>
      </c>
      <c r="AV138" s="175" t="s">
        <v>1779</v>
      </c>
      <c r="AW138" s="175" t="s">
        <v>1780</v>
      </c>
    </row>
    <row r="139" spans="1:49" ht="24.95" customHeight="1" x14ac:dyDescent="0.25">
      <c r="A139" s="175">
        <v>14459</v>
      </c>
      <c r="B139" s="175" t="s">
        <v>98</v>
      </c>
      <c r="C139" s="175" t="s">
        <v>41</v>
      </c>
      <c r="D139" s="176">
        <v>1</v>
      </c>
      <c r="E139" s="176">
        <v>2025</v>
      </c>
      <c r="F139" s="176">
        <v>2025</v>
      </c>
      <c r="G139" s="175" t="s">
        <v>23</v>
      </c>
      <c r="H139" s="175" t="s">
        <v>98</v>
      </c>
      <c r="I139" s="175" t="s">
        <v>1175</v>
      </c>
      <c r="J139" s="177" t="s">
        <v>1809</v>
      </c>
      <c r="K139" s="175" t="s">
        <v>1810</v>
      </c>
      <c r="L139" s="175" t="s">
        <v>21</v>
      </c>
      <c r="M139" s="175" t="s">
        <v>21</v>
      </c>
      <c r="N139" s="175">
        <v>13</v>
      </c>
      <c r="O139" s="175" t="s">
        <v>382</v>
      </c>
      <c r="P139" s="175" t="s">
        <v>717</v>
      </c>
      <c r="Q139" s="175" t="s">
        <v>822</v>
      </c>
      <c r="R139" s="175" t="s">
        <v>339</v>
      </c>
      <c r="S139" s="175" t="s">
        <v>19</v>
      </c>
      <c r="T139" s="175" t="s">
        <v>337</v>
      </c>
      <c r="U139" s="176">
        <v>10</v>
      </c>
      <c r="V139" s="176">
        <v>28</v>
      </c>
      <c r="W139" s="176" t="s">
        <v>21</v>
      </c>
      <c r="X139" s="179">
        <f t="shared" si="33"/>
        <v>28</v>
      </c>
      <c r="Y139" s="176">
        <v>4</v>
      </c>
      <c r="Z139" s="176" t="s">
        <v>18</v>
      </c>
      <c r="AA139" s="176" t="s">
        <v>18</v>
      </c>
      <c r="AB139" s="185" t="s">
        <v>18</v>
      </c>
      <c r="AC139" s="186" t="s">
        <v>21</v>
      </c>
      <c r="AD139" s="181" t="s">
        <v>1776</v>
      </c>
      <c r="AE139" s="179" t="s">
        <v>18</v>
      </c>
      <c r="AF139" s="191"/>
      <c r="AG139" s="175" t="s">
        <v>1173</v>
      </c>
      <c r="AH139" s="179">
        <f t="shared" si="25"/>
        <v>7</v>
      </c>
      <c r="AI139" s="179">
        <f>VLOOKUP(K139,[1]TRAMO!$A:$B,2,0)</f>
        <v>1</v>
      </c>
      <c r="AJ139" s="183">
        <f t="shared" si="26"/>
        <v>5074</v>
      </c>
      <c r="AK139" s="179">
        <f t="shared" si="27"/>
        <v>7</v>
      </c>
      <c r="AL139" s="183">
        <v>0</v>
      </c>
      <c r="AM139" s="183">
        <f t="shared" si="24"/>
        <v>0</v>
      </c>
      <c r="AN139" s="183">
        <f t="shared" si="28"/>
        <v>0</v>
      </c>
      <c r="AO139" s="183">
        <f t="shared" si="29"/>
        <v>0</v>
      </c>
      <c r="AP139" s="183">
        <f t="shared" si="30"/>
        <v>1420720</v>
      </c>
      <c r="AR139" s="183">
        <f t="shared" si="31"/>
        <v>0</v>
      </c>
      <c r="AS139" s="183">
        <f t="shared" si="32"/>
        <v>1420720</v>
      </c>
      <c r="AT139" s="175" t="s">
        <v>1777</v>
      </c>
      <c r="AU139" s="175" t="s">
        <v>1778</v>
      </c>
      <c r="AV139" s="175" t="s">
        <v>1779</v>
      </c>
      <c r="AW139" s="175" t="s">
        <v>1780</v>
      </c>
    </row>
    <row r="140" spans="1:49" ht="24.95" customHeight="1" x14ac:dyDescent="0.25">
      <c r="A140" s="175">
        <v>14460</v>
      </c>
      <c r="B140" s="175" t="s">
        <v>98</v>
      </c>
      <c r="C140" s="175" t="s">
        <v>41</v>
      </c>
      <c r="D140" s="176">
        <v>1</v>
      </c>
      <c r="E140" s="176">
        <v>2025</v>
      </c>
      <c r="F140" s="176">
        <v>2025</v>
      </c>
      <c r="G140" s="175" t="s">
        <v>23</v>
      </c>
      <c r="H140" s="175" t="s">
        <v>98</v>
      </c>
      <c r="I140" s="175" t="s">
        <v>1175</v>
      </c>
      <c r="J140" s="177" t="s">
        <v>1809</v>
      </c>
      <c r="K140" s="175" t="s">
        <v>1810</v>
      </c>
      <c r="L140" s="175" t="s">
        <v>21</v>
      </c>
      <c r="M140" s="175" t="s">
        <v>21</v>
      </c>
      <c r="N140" s="175">
        <v>13</v>
      </c>
      <c r="O140" s="175" t="s">
        <v>382</v>
      </c>
      <c r="P140" s="175" t="s">
        <v>717</v>
      </c>
      <c r="Q140" s="175" t="s">
        <v>822</v>
      </c>
      <c r="R140" s="175" t="s">
        <v>339</v>
      </c>
      <c r="S140" s="175" t="s">
        <v>19</v>
      </c>
      <c r="T140" s="175" t="s">
        <v>337</v>
      </c>
      <c r="U140" s="176">
        <v>10</v>
      </c>
      <c r="V140" s="176">
        <v>28</v>
      </c>
      <c r="W140" s="176" t="s">
        <v>21</v>
      </c>
      <c r="X140" s="179">
        <f t="shared" si="33"/>
        <v>28</v>
      </c>
      <c r="Y140" s="176">
        <v>4</v>
      </c>
      <c r="Z140" s="176" t="s">
        <v>18</v>
      </c>
      <c r="AA140" s="176" t="s">
        <v>18</v>
      </c>
      <c r="AB140" s="185" t="s">
        <v>18</v>
      </c>
      <c r="AC140" s="186" t="s">
        <v>21</v>
      </c>
      <c r="AD140" s="181" t="s">
        <v>1776</v>
      </c>
      <c r="AE140" s="179" t="s">
        <v>18</v>
      </c>
      <c r="AF140" s="191"/>
      <c r="AG140" s="175" t="s">
        <v>1173</v>
      </c>
      <c r="AH140" s="179">
        <f t="shared" si="25"/>
        <v>7</v>
      </c>
      <c r="AI140" s="179">
        <f>VLOOKUP(K140,[1]TRAMO!$A:$B,2,0)</f>
        <v>1</v>
      </c>
      <c r="AJ140" s="183">
        <f t="shared" si="26"/>
        <v>5074</v>
      </c>
      <c r="AK140" s="179">
        <f t="shared" si="27"/>
        <v>7</v>
      </c>
      <c r="AL140" s="183">
        <v>0</v>
      </c>
      <c r="AM140" s="183">
        <f t="shared" ref="AM140:AM203" si="34">IF(Z140="SI",4000*U140*AH140,0)</f>
        <v>0</v>
      </c>
      <c r="AN140" s="183">
        <f t="shared" si="28"/>
        <v>0</v>
      </c>
      <c r="AO140" s="183">
        <f t="shared" si="29"/>
        <v>0</v>
      </c>
      <c r="AP140" s="183">
        <f t="shared" si="30"/>
        <v>1420720</v>
      </c>
      <c r="AR140" s="183">
        <f t="shared" si="31"/>
        <v>0</v>
      </c>
      <c r="AS140" s="183">
        <f t="shared" si="32"/>
        <v>1420720</v>
      </c>
      <c r="AT140" s="175" t="s">
        <v>1777</v>
      </c>
      <c r="AU140" s="175" t="s">
        <v>1778</v>
      </c>
      <c r="AV140" s="175" t="s">
        <v>1779</v>
      </c>
      <c r="AW140" s="175" t="s">
        <v>1780</v>
      </c>
    </row>
    <row r="141" spans="1:49" ht="24.95" customHeight="1" x14ac:dyDescent="0.25">
      <c r="A141" s="175">
        <v>14496</v>
      </c>
      <c r="B141" s="175" t="s">
        <v>96</v>
      </c>
      <c r="C141" s="175" t="s">
        <v>39</v>
      </c>
      <c r="D141" s="176">
        <v>4</v>
      </c>
      <c r="E141" s="176">
        <v>2025</v>
      </c>
      <c r="F141" s="176">
        <v>2025</v>
      </c>
      <c r="G141" s="175" t="s">
        <v>23</v>
      </c>
      <c r="H141" s="175" t="s">
        <v>96</v>
      </c>
      <c r="I141" s="175" t="s">
        <v>1042</v>
      </c>
      <c r="J141" s="177" t="s">
        <v>1811</v>
      </c>
      <c r="K141" s="175" t="s">
        <v>1812</v>
      </c>
      <c r="L141" s="175" t="s">
        <v>21</v>
      </c>
      <c r="M141" s="175" t="s">
        <v>21</v>
      </c>
      <c r="N141" s="175">
        <v>13</v>
      </c>
      <c r="O141" s="175" t="s">
        <v>382</v>
      </c>
      <c r="P141" s="175" t="s">
        <v>717</v>
      </c>
      <c r="Q141" s="175" t="s">
        <v>1201</v>
      </c>
      <c r="R141" s="175" t="s">
        <v>339</v>
      </c>
      <c r="S141" s="175" t="s">
        <v>22</v>
      </c>
      <c r="T141" s="175" t="s">
        <v>337</v>
      </c>
      <c r="U141" s="176">
        <v>15</v>
      </c>
      <c r="V141" s="176">
        <v>64</v>
      </c>
      <c r="W141" s="176" t="s">
        <v>21</v>
      </c>
      <c r="X141" s="179">
        <f t="shared" si="33"/>
        <v>64</v>
      </c>
      <c r="Y141" s="176">
        <v>5</v>
      </c>
      <c r="Z141" s="176" t="s">
        <v>20</v>
      </c>
      <c r="AA141" s="176" t="s">
        <v>18</v>
      </c>
      <c r="AB141" s="185" t="s">
        <v>18</v>
      </c>
      <c r="AC141" s="186" t="s">
        <v>21</v>
      </c>
      <c r="AD141" s="181" t="s">
        <v>1813</v>
      </c>
      <c r="AE141" s="179" t="s">
        <v>18</v>
      </c>
      <c r="AF141" s="191"/>
      <c r="AG141" s="175" t="s">
        <v>1173</v>
      </c>
      <c r="AH141" s="179">
        <f t="shared" si="25"/>
        <v>13</v>
      </c>
      <c r="AI141" s="179">
        <f>VLOOKUP(K141,[1]TRAMO!$A:$B,2,0)</f>
        <v>3</v>
      </c>
      <c r="AJ141" s="183">
        <f t="shared" si="26"/>
        <v>7434</v>
      </c>
      <c r="AK141" s="179">
        <f t="shared" si="27"/>
        <v>12.8</v>
      </c>
      <c r="AL141" s="183">
        <v>0</v>
      </c>
      <c r="AM141" s="183">
        <f t="shared" si="34"/>
        <v>780000</v>
      </c>
      <c r="AN141" s="183">
        <f t="shared" si="28"/>
        <v>0</v>
      </c>
      <c r="AO141" s="183">
        <f t="shared" si="29"/>
        <v>0</v>
      </c>
      <c r="AP141" s="183">
        <f t="shared" si="30"/>
        <v>7136640</v>
      </c>
      <c r="AR141" s="183">
        <f t="shared" si="31"/>
        <v>0</v>
      </c>
      <c r="AS141" s="183">
        <f t="shared" si="32"/>
        <v>7916640</v>
      </c>
      <c r="AT141" s="175" t="s">
        <v>1718</v>
      </c>
      <c r="AU141" s="175" t="s">
        <v>1719</v>
      </c>
      <c r="AV141" s="175" t="s">
        <v>1720</v>
      </c>
      <c r="AW141" s="175" t="s">
        <v>1721</v>
      </c>
    </row>
    <row r="142" spans="1:49" ht="24.95" customHeight="1" x14ac:dyDescent="0.25">
      <c r="A142" s="175">
        <v>14374</v>
      </c>
      <c r="B142" s="175" t="s">
        <v>83</v>
      </c>
      <c r="C142" s="175" t="s">
        <v>1022</v>
      </c>
      <c r="D142" s="176">
        <v>1</v>
      </c>
      <c r="E142" s="176">
        <v>2025</v>
      </c>
      <c r="F142" s="176">
        <v>2025</v>
      </c>
      <c r="G142" s="175" t="s">
        <v>23</v>
      </c>
      <c r="H142" s="175" t="s">
        <v>83</v>
      </c>
      <c r="I142" s="175" t="s">
        <v>102</v>
      </c>
      <c r="J142" s="177" t="s">
        <v>1649</v>
      </c>
      <c r="K142" s="175" t="s">
        <v>1650</v>
      </c>
      <c r="L142" s="175" t="s">
        <v>21</v>
      </c>
      <c r="M142" s="175" t="s">
        <v>21</v>
      </c>
      <c r="N142" s="175">
        <v>13</v>
      </c>
      <c r="O142" s="175" t="s">
        <v>382</v>
      </c>
      <c r="P142" s="175" t="s">
        <v>714</v>
      </c>
      <c r="Q142" s="175" t="s">
        <v>1201</v>
      </c>
      <c r="R142" s="175" t="s">
        <v>339</v>
      </c>
      <c r="S142" s="175" t="s">
        <v>22</v>
      </c>
      <c r="T142" s="175" t="s">
        <v>337</v>
      </c>
      <c r="U142" s="176">
        <v>20</v>
      </c>
      <c r="V142" s="176">
        <v>96</v>
      </c>
      <c r="W142" s="176" t="s">
        <v>21</v>
      </c>
      <c r="X142" s="179">
        <f t="shared" si="33"/>
        <v>96</v>
      </c>
      <c r="Y142" s="176">
        <v>4</v>
      </c>
      <c r="Z142" s="176" t="s">
        <v>20</v>
      </c>
      <c r="AA142" s="176" t="s">
        <v>18</v>
      </c>
      <c r="AB142" s="185" t="s">
        <v>18</v>
      </c>
      <c r="AC142" s="186" t="s">
        <v>21</v>
      </c>
      <c r="AD142" s="181" t="s">
        <v>1814</v>
      </c>
      <c r="AE142" s="179" t="s">
        <v>18</v>
      </c>
      <c r="AF142" s="191"/>
      <c r="AG142" s="175" t="s">
        <v>1173</v>
      </c>
      <c r="AH142" s="179">
        <f t="shared" si="25"/>
        <v>24</v>
      </c>
      <c r="AI142" s="179">
        <f>VLOOKUP(K142,[1]TRAMO!$A:$B,2,0)</f>
        <v>3</v>
      </c>
      <c r="AJ142" s="183">
        <f t="shared" si="26"/>
        <v>7434</v>
      </c>
      <c r="AK142" s="179">
        <f t="shared" si="27"/>
        <v>24</v>
      </c>
      <c r="AL142" s="183">
        <v>0</v>
      </c>
      <c r="AM142" s="183">
        <f t="shared" si="34"/>
        <v>1920000</v>
      </c>
      <c r="AN142" s="183">
        <f t="shared" si="28"/>
        <v>0</v>
      </c>
      <c r="AO142" s="183">
        <f t="shared" si="29"/>
        <v>0</v>
      </c>
      <c r="AP142" s="183">
        <f t="shared" si="30"/>
        <v>14273280</v>
      </c>
      <c r="AR142" s="183">
        <f t="shared" si="31"/>
        <v>0</v>
      </c>
      <c r="AS142" s="183">
        <f t="shared" si="32"/>
        <v>16193280</v>
      </c>
      <c r="AT142" s="175" t="s">
        <v>1535</v>
      </c>
      <c r="AU142" s="175" t="s">
        <v>1536</v>
      </c>
      <c r="AV142" s="175" t="s">
        <v>1537</v>
      </c>
      <c r="AW142" s="175" t="s">
        <v>1538</v>
      </c>
    </row>
    <row r="143" spans="1:49" ht="24.95" customHeight="1" x14ac:dyDescent="0.25">
      <c r="A143" s="175">
        <v>14311</v>
      </c>
      <c r="B143" s="175" t="s">
        <v>96</v>
      </c>
      <c r="C143" s="175" t="s">
        <v>39</v>
      </c>
      <c r="D143" s="176">
        <v>4</v>
      </c>
      <c r="E143" s="176">
        <v>2025</v>
      </c>
      <c r="F143" s="176">
        <v>2025</v>
      </c>
      <c r="G143" s="175" t="s">
        <v>23</v>
      </c>
      <c r="H143" s="175" t="s">
        <v>96</v>
      </c>
      <c r="I143" s="175" t="s">
        <v>1042</v>
      </c>
      <c r="J143" s="177" t="s">
        <v>1815</v>
      </c>
      <c r="K143" s="175" t="s">
        <v>1816</v>
      </c>
      <c r="L143" s="175" t="s">
        <v>21</v>
      </c>
      <c r="M143" s="175" t="s">
        <v>21</v>
      </c>
      <c r="N143" s="175">
        <v>3</v>
      </c>
      <c r="O143" s="175" t="s">
        <v>751</v>
      </c>
      <c r="P143" s="175" t="s">
        <v>839</v>
      </c>
      <c r="Q143" s="175" t="s">
        <v>702</v>
      </c>
      <c r="R143" s="175" t="s">
        <v>339</v>
      </c>
      <c r="S143" s="175" t="s">
        <v>22</v>
      </c>
      <c r="T143" s="175" t="s">
        <v>337</v>
      </c>
      <c r="U143" s="176">
        <v>10</v>
      </c>
      <c r="V143" s="176">
        <v>96</v>
      </c>
      <c r="W143" s="176" t="s">
        <v>21</v>
      </c>
      <c r="X143" s="179">
        <f t="shared" si="33"/>
        <v>96</v>
      </c>
      <c r="Y143" s="176">
        <v>5</v>
      </c>
      <c r="Z143" s="176" t="s">
        <v>20</v>
      </c>
      <c r="AA143" s="176" t="s">
        <v>18</v>
      </c>
      <c r="AB143" s="185" t="s">
        <v>18</v>
      </c>
      <c r="AC143" s="186" t="s">
        <v>21</v>
      </c>
      <c r="AD143" s="181" t="s">
        <v>1817</v>
      </c>
      <c r="AE143" s="179" t="s">
        <v>18</v>
      </c>
      <c r="AF143" s="191"/>
      <c r="AG143" s="175" t="s">
        <v>1173</v>
      </c>
      <c r="AH143" s="179">
        <f t="shared" si="25"/>
        <v>20</v>
      </c>
      <c r="AI143" s="179">
        <v>2</v>
      </c>
      <c r="AJ143" s="183">
        <f t="shared" si="26"/>
        <v>6372</v>
      </c>
      <c r="AK143" s="179">
        <f t="shared" si="27"/>
        <v>19.2</v>
      </c>
      <c r="AL143" s="183">
        <v>0</v>
      </c>
      <c r="AM143" s="183">
        <f t="shared" si="34"/>
        <v>800000</v>
      </c>
      <c r="AN143" s="183">
        <f t="shared" si="28"/>
        <v>0</v>
      </c>
      <c r="AO143" s="183">
        <f t="shared" si="29"/>
        <v>0</v>
      </c>
      <c r="AP143" s="183">
        <f t="shared" si="30"/>
        <v>6117120</v>
      </c>
      <c r="AR143" s="183">
        <f t="shared" si="31"/>
        <v>0</v>
      </c>
      <c r="AS143" s="183">
        <f t="shared" si="32"/>
        <v>6917120</v>
      </c>
      <c r="AT143" s="175" t="s">
        <v>1818</v>
      </c>
      <c r="AU143" s="175" t="s">
        <v>1751</v>
      </c>
      <c r="AV143" s="175" t="s">
        <v>1819</v>
      </c>
      <c r="AW143" s="175" t="s">
        <v>1024</v>
      </c>
    </row>
    <row r="144" spans="1:49" ht="24.95" customHeight="1" x14ac:dyDescent="0.25">
      <c r="A144" s="175">
        <v>14265</v>
      </c>
      <c r="B144" s="175" t="s">
        <v>98</v>
      </c>
      <c r="C144" s="175" t="s">
        <v>41</v>
      </c>
      <c r="D144" s="176">
        <v>1</v>
      </c>
      <c r="E144" s="176">
        <v>2025</v>
      </c>
      <c r="F144" s="176">
        <v>2025</v>
      </c>
      <c r="G144" s="175" t="s">
        <v>23</v>
      </c>
      <c r="H144" s="175" t="s">
        <v>98</v>
      </c>
      <c r="I144" s="175" t="s">
        <v>1175</v>
      </c>
      <c r="J144" s="177" t="s">
        <v>824</v>
      </c>
      <c r="K144" s="175" t="s">
        <v>823</v>
      </c>
      <c r="L144" s="175" t="s">
        <v>21</v>
      </c>
      <c r="M144" s="175" t="s">
        <v>21</v>
      </c>
      <c r="N144" s="175">
        <v>8</v>
      </c>
      <c r="O144" s="175" t="s">
        <v>709</v>
      </c>
      <c r="P144" s="175" t="s">
        <v>1820</v>
      </c>
      <c r="Q144" s="175" t="s">
        <v>1201</v>
      </c>
      <c r="R144" s="175" t="s">
        <v>339</v>
      </c>
      <c r="S144" s="175" t="s">
        <v>19</v>
      </c>
      <c r="T144" s="175" t="s">
        <v>393</v>
      </c>
      <c r="U144" s="176">
        <v>10</v>
      </c>
      <c r="V144" s="176">
        <v>64</v>
      </c>
      <c r="W144" s="176" t="s">
        <v>21</v>
      </c>
      <c r="X144" s="179">
        <f t="shared" si="33"/>
        <v>64</v>
      </c>
      <c r="Y144" s="176">
        <v>4</v>
      </c>
      <c r="Z144" s="176" t="s">
        <v>20</v>
      </c>
      <c r="AA144" s="176" t="s">
        <v>18</v>
      </c>
      <c r="AB144" s="185" t="s">
        <v>18</v>
      </c>
      <c r="AC144" s="186" t="s">
        <v>21</v>
      </c>
      <c r="AD144" s="181" t="s">
        <v>1821</v>
      </c>
      <c r="AE144" s="179" t="s">
        <v>18</v>
      </c>
      <c r="AF144" s="191"/>
      <c r="AG144" s="175" t="s">
        <v>1173</v>
      </c>
      <c r="AH144" s="179">
        <f t="shared" si="25"/>
        <v>16</v>
      </c>
      <c r="AI144" s="179">
        <f>VLOOKUP(K144,[1]TRAMO!$A:$B,2,0)</f>
        <v>2</v>
      </c>
      <c r="AJ144" s="183">
        <f t="shared" si="26"/>
        <v>6372</v>
      </c>
      <c r="AK144" s="179">
        <f t="shared" si="27"/>
        <v>16</v>
      </c>
      <c r="AL144" s="183">
        <v>0</v>
      </c>
      <c r="AM144" s="183">
        <f t="shared" si="34"/>
        <v>640000</v>
      </c>
      <c r="AN144" s="183">
        <f t="shared" si="28"/>
        <v>0</v>
      </c>
      <c r="AO144" s="183">
        <f t="shared" si="29"/>
        <v>0</v>
      </c>
      <c r="AP144" s="183">
        <f t="shared" si="30"/>
        <v>4078080</v>
      </c>
      <c r="AR144" s="183">
        <f t="shared" si="31"/>
        <v>0</v>
      </c>
      <c r="AS144" s="183">
        <f t="shared" si="32"/>
        <v>4718080</v>
      </c>
      <c r="AT144" s="175" t="s">
        <v>1822</v>
      </c>
      <c r="AU144" s="175" t="s">
        <v>1823</v>
      </c>
      <c r="AV144" s="175" t="s">
        <v>1824</v>
      </c>
      <c r="AW144" s="175" t="s">
        <v>1825</v>
      </c>
    </row>
    <row r="145" spans="1:49" ht="24.95" customHeight="1" x14ac:dyDescent="0.25">
      <c r="A145" s="175">
        <v>14312</v>
      </c>
      <c r="B145" s="175" t="s">
        <v>96</v>
      </c>
      <c r="C145" s="175" t="s">
        <v>39</v>
      </c>
      <c r="D145" s="176">
        <v>4</v>
      </c>
      <c r="E145" s="176">
        <v>2025</v>
      </c>
      <c r="F145" s="176">
        <v>2025</v>
      </c>
      <c r="G145" s="175" t="s">
        <v>23</v>
      </c>
      <c r="H145" s="175" t="s">
        <v>96</v>
      </c>
      <c r="I145" s="175" t="s">
        <v>1042</v>
      </c>
      <c r="J145" s="177" t="s">
        <v>824</v>
      </c>
      <c r="K145" s="175" t="s">
        <v>823</v>
      </c>
      <c r="L145" s="175" t="s">
        <v>21</v>
      </c>
      <c r="M145" s="175" t="s">
        <v>21</v>
      </c>
      <c r="N145" s="175">
        <v>10</v>
      </c>
      <c r="O145" s="175" t="s">
        <v>706</v>
      </c>
      <c r="P145" s="175" t="s">
        <v>420</v>
      </c>
      <c r="Q145" s="175" t="s">
        <v>385</v>
      </c>
      <c r="R145" s="175" t="s">
        <v>339</v>
      </c>
      <c r="S145" s="175" t="s">
        <v>19</v>
      </c>
      <c r="T145" s="175" t="s">
        <v>337</v>
      </c>
      <c r="U145" s="176">
        <v>10</v>
      </c>
      <c r="V145" s="176">
        <v>64</v>
      </c>
      <c r="W145" s="176" t="s">
        <v>21</v>
      </c>
      <c r="X145" s="179">
        <f t="shared" si="33"/>
        <v>64</v>
      </c>
      <c r="Y145" s="176">
        <v>5</v>
      </c>
      <c r="Z145" s="176" t="s">
        <v>20</v>
      </c>
      <c r="AA145" s="176" t="s">
        <v>18</v>
      </c>
      <c r="AB145" s="185" t="s">
        <v>18</v>
      </c>
      <c r="AC145" s="186" t="s">
        <v>21</v>
      </c>
      <c r="AD145" s="181" t="s">
        <v>1826</v>
      </c>
      <c r="AE145" s="179" t="s">
        <v>18</v>
      </c>
      <c r="AF145" s="191"/>
      <c r="AG145" s="175" t="s">
        <v>1173</v>
      </c>
      <c r="AH145" s="179">
        <f t="shared" si="25"/>
        <v>13</v>
      </c>
      <c r="AI145" s="179">
        <f>VLOOKUP(K145,[1]TRAMO!$A:$B,2,0)</f>
        <v>2</v>
      </c>
      <c r="AJ145" s="183">
        <f t="shared" si="26"/>
        <v>6372</v>
      </c>
      <c r="AK145" s="179">
        <f t="shared" si="27"/>
        <v>12.8</v>
      </c>
      <c r="AL145" s="183">
        <v>0</v>
      </c>
      <c r="AM145" s="183">
        <f t="shared" si="34"/>
        <v>520000</v>
      </c>
      <c r="AN145" s="183">
        <f t="shared" si="28"/>
        <v>0</v>
      </c>
      <c r="AO145" s="183">
        <f t="shared" si="29"/>
        <v>0</v>
      </c>
      <c r="AP145" s="183">
        <f t="shared" si="30"/>
        <v>4078080</v>
      </c>
      <c r="AR145" s="183">
        <f t="shared" si="31"/>
        <v>0</v>
      </c>
      <c r="AS145" s="183">
        <f t="shared" si="32"/>
        <v>4598080</v>
      </c>
      <c r="AT145" s="175" t="s">
        <v>1750</v>
      </c>
      <c r="AU145" s="175" t="s">
        <v>1751</v>
      </c>
      <c r="AV145" s="175" t="s">
        <v>1788</v>
      </c>
      <c r="AW145" s="175" t="s">
        <v>1789</v>
      </c>
    </row>
    <row r="146" spans="1:49" ht="24.95" customHeight="1" x14ac:dyDescent="0.25">
      <c r="A146" s="175">
        <v>14313</v>
      </c>
      <c r="B146" s="175" t="s">
        <v>96</v>
      </c>
      <c r="C146" s="175" t="s">
        <v>39</v>
      </c>
      <c r="D146" s="176">
        <v>4</v>
      </c>
      <c r="E146" s="176">
        <v>2025</v>
      </c>
      <c r="F146" s="176">
        <v>2025</v>
      </c>
      <c r="G146" s="175" t="s">
        <v>23</v>
      </c>
      <c r="H146" s="175" t="s">
        <v>96</v>
      </c>
      <c r="I146" s="175" t="s">
        <v>1042</v>
      </c>
      <c r="J146" s="177" t="s">
        <v>824</v>
      </c>
      <c r="K146" s="175" t="s">
        <v>823</v>
      </c>
      <c r="L146" s="175" t="s">
        <v>21</v>
      </c>
      <c r="M146" s="175" t="s">
        <v>21</v>
      </c>
      <c r="N146" s="175">
        <v>4</v>
      </c>
      <c r="O146" s="175" t="s">
        <v>415</v>
      </c>
      <c r="P146" s="175" t="s">
        <v>1827</v>
      </c>
      <c r="Q146" s="175" t="s">
        <v>385</v>
      </c>
      <c r="R146" s="175" t="s">
        <v>339</v>
      </c>
      <c r="S146" s="175" t="s">
        <v>19</v>
      </c>
      <c r="T146" s="175" t="s">
        <v>337</v>
      </c>
      <c r="U146" s="176">
        <v>10</v>
      </c>
      <c r="V146" s="176">
        <v>64</v>
      </c>
      <c r="W146" s="176" t="s">
        <v>21</v>
      </c>
      <c r="X146" s="179">
        <f t="shared" si="33"/>
        <v>64</v>
      </c>
      <c r="Y146" s="176">
        <v>5</v>
      </c>
      <c r="Z146" s="176" t="s">
        <v>20</v>
      </c>
      <c r="AA146" s="176" t="s">
        <v>18</v>
      </c>
      <c r="AB146" s="185" t="s">
        <v>18</v>
      </c>
      <c r="AC146" s="186" t="s">
        <v>21</v>
      </c>
      <c r="AD146" s="181" t="s">
        <v>1828</v>
      </c>
      <c r="AE146" s="179" t="s">
        <v>18</v>
      </c>
      <c r="AF146" s="191"/>
      <c r="AG146" s="175" t="s">
        <v>1173</v>
      </c>
      <c r="AH146" s="179">
        <f t="shared" si="25"/>
        <v>13</v>
      </c>
      <c r="AI146" s="179">
        <f>VLOOKUP(K146,[1]TRAMO!$A:$B,2,0)</f>
        <v>2</v>
      </c>
      <c r="AJ146" s="183">
        <f t="shared" si="26"/>
        <v>6372</v>
      </c>
      <c r="AK146" s="179">
        <f t="shared" si="27"/>
        <v>12.8</v>
      </c>
      <c r="AL146" s="183">
        <v>0</v>
      </c>
      <c r="AM146" s="183">
        <f t="shared" si="34"/>
        <v>520000</v>
      </c>
      <c r="AN146" s="183">
        <f t="shared" si="28"/>
        <v>0</v>
      </c>
      <c r="AO146" s="183">
        <f t="shared" si="29"/>
        <v>0</v>
      </c>
      <c r="AP146" s="183">
        <f t="shared" si="30"/>
        <v>4078080</v>
      </c>
      <c r="AR146" s="183">
        <f t="shared" si="31"/>
        <v>0</v>
      </c>
      <c r="AS146" s="183">
        <f t="shared" si="32"/>
        <v>4598080</v>
      </c>
      <c r="AT146" s="175" t="s">
        <v>1818</v>
      </c>
      <c r="AU146" s="175" t="s">
        <v>1751</v>
      </c>
      <c r="AV146" s="175" t="s">
        <v>1788</v>
      </c>
      <c r="AW146" s="175" t="s">
        <v>1789</v>
      </c>
    </row>
    <row r="147" spans="1:49" ht="24.95" customHeight="1" x14ac:dyDescent="0.25">
      <c r="A147" s="175">
        <v>14248</v>
      </c>
      <c r="B147" s="175" t="s">
        <v>96</v>
      </c>
      <c r="C147" s="175" t="s">
        <v>39</v>
      </c>
      <c r="D147" s="176">
        <v>4</v>
      </c>
      <c r="E147" s="176">
        <v>2025</v>
      </c>
      <c r="F147" s="176">
        <v>2025</v>
      </c>
      <c r="G147" s="175" t="s">
        <v>23</v>
      </c>
      <c r="H147" s="175" t="s">
        <v>96</v>
      </c>
      <c r="I147" s="175" t="s">
        <v>1042</v>
      </c>
      <c r="J147" s="177" t="s">
        <v>1829</v>
      </c>
      <c r="K147" s="175" t="s">
        <v>1830</v>
      </c>
      <c r="L147" s="175" t="s">
        <v>21</v>
      </c>
      <c r="M147" s="175" t="s">
        <v>21</v>
      </c>
      <c r="N147" s="175">
        <v>13</v>
      </c>
      <c r="O147" s="175" t="s">
        <v>382</v>
      </c>
      <c r="P147" s="175" t="s">
        <v>416</v>
      </c>
      <c r="Q147" s="175" t="s">
        <v>1201</v>
      </c>
      <c r="R147" s="175" t="s">
        <v>339</v>
      </c>
      <c r="S147" s="175" t="s">
        <v>22</v>
      </c>
      <c r="T147" s="175" t="s">
        <v>337</v>
      </c>
      <c r="U147" s="176">
        <v>16</v>
      </c>
      <c r="V147" s="176">
        <v>112</v>
      </c>
      <c r="W147" s="176" t="s">
        <v>21</v>
      </c>
      <c r="X147" s="179">
        <f t="shared" si="33"/>
        <v>112</v>
      </c>
      <c r="Y147" s="176">
        <v>5</v>
      </c>
      <c r="Z147" s="176" t="s">
        <v>20</v>
      </c>
      <c r="AA147" s="176" t="s">
        <v>18</v>
      </c>
      <c r="AB147" s="185" t="s">
        <v>18</v>
      </c>
      <c r="AC147" s="186" t="s">
        <v>21</v>
      </c>
      <c r="AD147" s="181" t="s">
        <v>1831</v>
      </c>
      <c r="AE147" s="179" t="s">
        <v>18</v>
      </c>
      <c r="AF147" s="191"/>
      <c r="AG147" s="175" t="s">
        <v>1173</v>
      </c>
      <c r="AH147" s="179">
        <f t="shared" si="25"/>
        <v>23</v>
      </c>
      <c r="AI147" s="179">
        <v>2</v>
      </c>
      <c r="AJ147" s="183">
        <f t="shared" si="26"/>
        <v>6372</v>
      </c>
      <c r="AK147" s="179">
        <f t="shared" si="27"/>
        <v>22.4</v>
      </c>
      <c r="AL147" s="183">
        <v>0</v>
      </c>
      <c r="AM147" s="183">
        <f t="shared" si="34"/>
        <v>1472000</v>
      </c>
      <c r="AN147" s="183">
        <f t="shared" si="28"/>
        <v>0</v>
      </c>
      <c r="AO147" s="183">
        <f t="shared" si="29"/>
        <v>0</v>
      </c>
      <c r="AP147" s="183">
        <f t="shared" si="30"/>
        <v>11418624</v>
      </c>
      <c r="AR147" s="183">
        <f t="shared" si="31"/>
        <v>0</v>
      </c>
      <c r="AS147" s="183">
        <f t="shared" si="32"/>
        <v>12890624</v>
      </c>
      <c r="AT147" s="175" t="s">
        <v>1832</v>
      </c>
      <c r="AU147" s="175" t="s">
        <v>1833</v>
      </c>
      <c r="AV147" s="175" t="s">
        <v>1834</v>
      </c>
      <c r="AW147" s="175" t="s">
        <v>1835</v>
      </c>
    </row>
    <row r="148" spans="1:49" ht="24.95" customHeight="1" x14ac:dyDescent="0.25">
      <c r="A148" s="175">
        <v>14384</v>
      </c>
      <c r="B148" s="175" t="s">
        <v>98</v>
      </c>
      <c r="C148" s="175" t="s">
        <v>41</v>
      </c>
      <c r="D148" s="176">
        <v>1</v>
      </c>
      <c r="E148" s="176">
        <v>2025</v>
      </c>
      <c r="F148" s="176">
        <v>2025</v>
      </c>
      <c r="G148" s="175" t="s">
        <v>23</v>
      </c>
      <c r="H148" s="175" t="s">
        <v>98</v>
      </c>
      <c r="I148" s="175" t="s">
        <v>1175</v>
      </c>
      <c r="J148" s="177" t="s">
        <v>1181</v>
      </c>
      <c r="K148" s="175" t="s">
        <v>1182</v>
      </c>
      <c r="L148" s="175" t="s">
        <v>21</v>
      </c>
      <c r="M148" s="175" t="s">
        <v>21</v>
      </c>
      <c r="N148" s="175">
        <v>13</v>
      </c>
      <c r="O148" s="175" t="s">
        <v>382</v>
      </c>
      <c r="P148" s="175" t="s">
        <v>724</v>
      </c>
      <c r="Q148" s="175" t="s">
        <v>1178</v>
      </c>
      <c r="R148" s="175" t="s">
        <v>339</v>
      </c>
      <c r="S148" s="175" t="s">
        <v>22</v>
      </c>
      <c r="T148" s="175" t="s">
        <v>348</v>
      </c>
      <c r="U148" s="176">
        <v>15</v>
      </c>
      <c r="V148" s="176">
        <v>120</v>
      </c>
      <c r="W148" s="176" t="s">
        <v>21</v>
      </c>
      <c r="X148" s="179">
        <f t="shared" si="33"/>
        <v>120</v>
      </c>
      <c r="Y148" s="176">
        <v>4</v>
      </c>
      <c r="Z148" s="176" t="s">
        <v>20</v>
      </c>
      <c r="AA148" s="176" t="s">
        <v>18</v>
      </c>
      <c r="AB148" s="185" t="s">
        <v>18</v>
      </c>
      <c r="AC148" s="186" t="s">
        <v>21</v>
      </c>
      <c r="AD148" s="181" t="s">
        <v>1179</v>
      </c>
      <c r="AE148" s="179" t="s">
        <v>18</v>
      </c>
      <c r="AF148" s="191"/>
      <c r="AG148" s="175" t="s">
        <v>1173</v>
      </c>
      <c r="AH148" s="179">
        <f t="shared" si="25"/>
        <v>30</v>
      </c>
      <c r="AI148" s="179">
        <f>VLOOKUP(K148,[1]TRAMO!$A:$B,2,0)</f>
        <v>3</v>
      </c>
      <c r="AJ148" s="183">
        <f t="shared" si="26"/>
        <v>7434</v>
      </c>
      <c r="AK148" s="179">
        <f t="shared" si="27"/>
        <v>30</v>
      </c>
      <c r="AL148" s="183">
        <v>0</v>
      </c>
      <c r="AM148" s="183">
        <f t="shared" si="34"/>
        <v>1800000</v>
      </c>
      <c r="AN148" s="183">
        <f t="shared" si="28"/>
        <v>0</v>
      </c>
      <c r="AO148" s="183">
        <f t="shared" si="29"/>
        <v>0</v>
      </c>
      <c r="AP148" s="183">
        <f t="shared" si="30"/>
        <v>13381200</v>
      </c>
      <c r="AR148" s="183">
        <f t="shared" si="31"/>
        <v>0</v>
      </c>
      <c r="AS148" s="183">
        <f t="shared" si="32"/>
        <v>15181200</v>
      </c>
      <c r="AT148" s="175" t="s">
        <v>1515</v>
      </c>
      <c r="AU148" s="175" t="s">
        <v>1516</v>
      </c>
      <c r="AV148" s="175" t="s">
        <v>1347</v>
      </c>
      <c r="AW148" s="175" t="s">
        <v>1346</v>
      </c>
    </row>
    <row r="149" spans="1:49" ht="24.95" customHeight="1" x14ac:dyDescent="0.25">
      <c r="A149" s="175">
        <v>14264</v>
      </c>
      <c r="B149" s="175" t="s">
        <v>98</v>
      </c>
      <c r="C149" s="175" t="s">
        <v>41</v>
      </c>
      <c r="D149" s="176">
        <v>1</v>
      </c>
      <c r="E149" s="176">
        <v>2025</v>
      </c>
      <c r="F149" s="176">
        <v>2025</v>
      </c>
      <c r="G149" s="175" t="s">
        <v>23</v>
      </c>
      <c r="H149" s="175" t="s">
        <v>98</v>
      </c>
      <c r="I149" s="175" t="s">
        <v>1175</v>
      </c>
      <c r="J149" s="177" t="s">
        <v>1836</v>
      </c>
      <c r="K149" s="175" t="s">
        <v>1837</v>
      </c>
      <c r="L149" s="175" t="s">
        <v>21</v>
      </c>
      <c r="M149" s="175" t="s">
        <v>21</v>
      </c>
      <c r="N149" s="175">
        <v>8</v>
      </c>
      <c r="O149" s="175" t="s">
        <v>709</v>
      </c>
      <c r="P149" s="175" t="s">
        <v>1820</v>
      </c>
      <c r="Q149" s="175" t="s">
        <v>1201</v>
      </c>
      <c r="R149" s="175" t="s">
        <v>339</v>
      </c>
      <c r="S149" s="175" t="s">
        <v>19</v>
      </c>
      <c r="T149" s="175" t="s">
        <v>393</v>
      </c>
      <c r="U149" s="176">
        <v>10</v>
      </c>
      <c r="V149" s="176">
        <v>80</v>
      </c>
      <c r="W149" s="176" t="s">
        <v>21</v>
      </c>
      <c r="X149" s="179">
        <f t="shared" si="33"/>
        <v>80</v>
      </c>
      <c r="Y149" s="176">
        <v>4</v>
      </c>
      <c r="Z149" s="176" t="s">
        <v>20</v>
      </c>
      <c r="AA149" s="176" t="s">
        <v>18</v>
      </c>
      <c r="AB149" s="185" t="s">
        <v>18</v>
      </c>
      <c r="AC149" s="186" t="s">
        <v>21</v>
      </c>
      <c r="AD149" s="181" t="s">
        <v>1838</v>
      </c>
      <c r="AE149" s="179" t="s">
        <v>18</v>
      </c>
      <c r="AF149" s="191"/>
      <c r="AG149" s="175" t="s">
        <v>1173</v>
      </c>
      <c r="AH149" s="179">
        <f t="shared" si="25"/>
        <v>20</v>
      </c>
      <c r="AI149" s="179">
        <f>VLOOKUP(K149,[1]TRAMO!$A:$B,2,0)</f>
        <v>3</v>
      </c>
      <c r="AJ149" s="183">
        <f t="shared" si="26"/>
        <v>7434</v>
      </c>
      <c r="AK149" s="179">
        <f t="shared" si="27"/>
        <v>20</v>
      </c>
      <c r="AL149" s="183">
        <v>0</v>
      </c>
      <c r="AM149" s="183">
        <f t="shared" si="34"/>
        <v>800000</v>
      </c>
      <c r="AN149" s="183">
        <f t="shared" si="28"/>
        <v>0</v>
      </c>
      <c r="AO149" s="183">
        <f t="shared" si="29"/>
        <v>0</v>
      </c>
      <c r="AP149" s="183">
        <f t="shared" si="30"/>
        <v>5947200</v>
      </c>
      <c r="AR149" s="183">
        <f t="shared" si="31"/>
        <v>0</v>
      </c>
      <c r="AS149" s="183">
        <f t="shared" si="32"/>
        <v>6747200</v>
      </c>
      <c r="AT149" s="175" t="s">
        <v>1822</v>
      </c>
      <c r="AU149" s="175" t="s">
        <v>1823</v>
      </c>
      <c r="AV149" s="175" t="s">
        <v>1839</v>
      </c>
      <c r="AW149" s="175" t="s">
        <v>1840</v>
      </c>
    </row>
    <row r="150" spans="1:49" ht="24.95" customHeight="1" x14ac:dyDescent="0.25">
      <c r="A150" s="175">
        <v>14368</v>
      </c>
      <c r="B150" s="175" t="s">
        <v>83</v>
      </c>
      <c r="C150" s="175" t="s">
        <v>1022</v>
      </c>
      <c r="D150" s="176">
        <v>1</v>
      </c>
      <c r="E150" s="176">
        <v>2025</v>
      </c>
      <c r="F150" s="176">
        <v>2025</v>
      </c>
      <c r="G150" s="175" t="s">
        <v>23</v>
      </c>
      <c r="H150" s="175" t="s">
        <v>83</v>
      </c>
      <c r="I150" s="175" t="s">
        <v>102</v>
      </c>
      <c r="J150" s="177" t="s">
        <v>1836</v>
      </c>
      <c r="K150" s="175" t="s">
        <v>1837</v>
      </c>
      <c r="L150" s="175" t="s">
        <v>21</v>
      </c>
      <c r="M150" s="175" t="s">
        <v>21</v>
      </c>
      <c r="N150" s="175">
        <v>13</v>
      </c>
      <c r="O150" s="175" t="s">
        <v>382</v>
      </c>
      <c r="P150" s="175" t="s">
        <v>714</v>
      </c>
      <c r="Q150" s="175" t="s">
        <v>1201</v>
      </c>
      <c r="R150" s="175" t="s">
        <v>339</v>
      </c>
      <c r="S150" s="175" t="s">
        <v>22</v>
      </c>
      <c r="T150" s="175" t="s">
        <v>337</v>
      </c>
      <c r="U150" s="176">
        <v>20</v>
      </c>
      <c r="V150" s="176">
        <v>80</v>
      </c>
      <c r="W150" s="176" t="s">
        <v>21</v>
      </c>
      <c r="X150" s="179">
        <f t="shared" si="33"/>
        <v>80</v>
      </c>
      <c r="Y150" s="176">
        <v>4</v>
      </c>
      <c r="Z150" s="176" t="s">
        <v>20</v>
      </c>
      <c r="AA150" s="176" t="s">
        <v>18</v>
      </c>
      <c r="AB150" s="185" t="s">
        <v>18</v>
      </c>
      <c r="AC150" s="186" t="s">
        <v>21</v>
      </c>
      <c r="AD150" s="181" t="s">
        <v>1841</v>
      </c>
      <c r="AE150" s="179" t="s">
        <v>18</v>
      </c>
      <c r="AF150" s="191"/>
      <c r="AG150" s="175" t="s">
        <v>1173</v>
      </c>
      <c r="AH150" s="179">
        <f t="shared" si="25"/>
        <v>20</v>
      </c>
      <c r="AI150" s="179">
        <f>VLOOKUP(K150,[1]TRAMO!$A:$B,2,0)</f>
        <v>3</v>
      </c>
      <c r="AJ150" s="183">
        <f t="shared" si="26"/>
        <v>7434</v>
      </c>
      <c r="AK150" s="179">
        <f t="shared" si="27"/>
        <v>20</v>
      </c>
      <c r="AL150" s="183">
        <v>0</v>
      </c>
      <c r="AM150" s="183">
        <f t="shared" si="34"/>
        <v>1600000</v>
      </c>
      <c r="AN150" s="183">
        <f t="shared" si="28"/>
        <v>0</v>
      </c>
      <c r="AO150" s="183">
        <f t="shared" si="29"/>
        <v>0</v>
      </c>
      <c r="AP150" s="183">
        <f t="shared" si="30"/>
        <v>11894400</v>
      </c>
      <c r="AR150" s="183">
        <f t="shared" si="31"/>
        <v>0</v>
      </c>
      <c r="AS150" s="183">
        <f t="shared" si="32"/>
        <v>13494400</v>
      </c>
      <c r="AT150" s="175" t="s">
        <v>1535</v>
      </c>
      <c r="AU150" s="175" t="s">
        <v>1536</v>
      </c>
      <c r="AV150" s="175" t="s">
        <v>1537</v>
      </c>
      <c r="AW150" s="175" t="s">
        <v>1538</v>
      </c>
    </row>
    <row r="151" spans="1:49" ht="24.95" customHeight="1" x14ac:dyDescent="0.25">
      <c r="A151" s="175">
        <v>14500</v>
      </c>
      <c r="B151" s="175" t="s">
        <v>98</v>
      </c>
      <c r="C151" s="175" t="s">
        <v>41</v>
      </c>
      <c r="D151" s="176">
        <v>1</v>
      </c>
      <c r="E151" s="176">
        <v>2025</v>
      </c>
      <c r="F151" s="176">
        <v>2025</v>
      </c>
      <c r="G151" s="175" t="s">
        <v>23</v>
      </c>
      <c r="H151" s="175" t="s">
        <v>98</v>
      </c>
      <c r="I151" s="175" t="s">
        <v>1175</v>
      </c>
      <c r="J151" s="177" t="s">
        <v>1836</v>
      </c>
      <c r="K151" s="175" t="s">
        <v>1837</v>
      </c>
      <c r="L151" s="175" t="s">
        <v>21</v>
      </c>
      <c r="M151" s="175" t="s">
        <v>21</v>
      </c>
      <c r="N151" s="175">
        <v>1</v>
      </c>
      <c r="O151" s="175" t="s">
        <v>773</v>
      </c>
      <c r="P151" s="175" t="s">
        <v>1842</v>
      </c>
      <c r="Q151" s="175" t="s">
        <v>388</v>
      </c>
      <c r="R151" s="175" t="s">
        <v>339</v>
      </c>
      <c r="S151" s="175" t="s">
        <v>19</v>
      </c>
      <c r="T151" s="175" t="s">
        <v>347</v>
      </c>
      <c r="U151" s="176">
        <v>10</v>
      </c>
      <c r="V151" s="176">
        <v>80</v>
      </c>
      <c r="W151" s="176" t="s">
        <v>21</v>
      </c>
      <c r="X151" s="179">
        <f t="shared" si="33"/>
        <v>80</v>
      </c>
      <c r="Y151" s="176">
        <v>5</v>
      </c>
      <c r="Z151" s="176" t="s">
        <v>20</v>
      </c>
      <c r="AA151" s="176" t="s">
        <v>18</v>
      </c>
      <c r="AB151" s="185" t="s">
        <v>18</v>
      </c>
      <c r="AC151" s="186" t="s">
        <v>21</v>
      </c>
      <c r="AD151" s="181" t="s">
        <v>1843</v>
      </c>
      <c r="AE151" s="179" t="s">
        <v>18</v>
      </c>
      <c r="AF151" s="191"/>
      <c r="AG151" s="175" t="s">
        <v>1173</v>
      </c>
      <c r="AH151" s="179">
        <f t="shared" si="25"/>
        <v>16</v>
      </c>
      <c r="AI151" s="179">
        <f>VLOOKUP(K151,[1]TRAMO!$A:$B,2,0)</f>
        <v>3</v>
      </c>
      <c r="AJ151" s="183">
        <f t="shared" si="26"/>
        <v>7434</v>
      </c>
      <c r="AK151" s="179">
        <f t="shared" si="27"/>
        <v>16</v>
      </c>
      <c r="AL151" s="183">
        <v>0</v>
      </c>
      <c r="AM151" s="183">
        <f t="shared" si="34"/>
        <v>640000</v>
      </c>
      <c r="AN151" s="183">
        <f t="shared" si="28"/>
        <v>0</v>
      </c>
      <c r="AO151" s="183">
        <f t="shared" si="29"/>
        <v>0</v>
      </c>
      <c r="AP151" s="183">
        <f t="shared" si="30"/>
        <v>5947200</v>
      </c>
      <c r="AR151" s="183">
        <f t="shared" si="31"/>
        <v>0</v>
      </c>
      <c r="AS151" s="183">
        <f t="shared" si="32"/>
        <v>6587200</v>
      </c>
      <c r="AT151" s="175" t="s">
        <v>1588</v>
      </c>
      <c r="AU151" s="175" t="s">
        <v>1589</v>
      </c>
      <c r="AV151" s="175" t="s">
        <v>1844</v>
      </c>
      <c r="AW151" s="175" t="s">
        <v>1845</v>
      </c>
    </row>
    <row r="152" spans="1:49" ht="24.95" customHeight="1" x14ac:dyDescent="0.25">
      <c r="A152" s="175">
        <v>14355</v>
      </c>
      <c r="B152" s="175" t="s">
        <v>86</v>
      </c>
      <c r="C152" s="175" t="s">
        <v>29</v>
      </c>
      <c r="D152" s="176">
        <v>1</v>
      </c>
      <c r="E152" s="176">
        <v>2025</v>
      </c>
      <c r="F152" s="176">
        <v>2025</v>
      </c>
      <c r="G152" s="175" t="s">
        <v>23</v>
      </c>
      <c r="H152" s="175" t="s">
        <v>86</v>
      </c>
      <c r="I152" s="175" t="s">
        <v>105</v>
      </c>
      <c r="J152" s="177" t="s">
        <v>1836</v>
      </c>
      <c r="K152" s="175" t="s">
        <v>1837</v>
      </c>
      <c r="L152" s="175" t="s">
        <v>407</v>
      </c>
      <c r="M152" s="175" t="s">
        <v>408</v>
      </c>
      <c r="N152" s="175">
        <v>6</v>
      </c>
      <c r="O152" s="175" t="s">
        <v>796</v>
      </c>
      <c r="P152" s="175" t="s">
        <v>858</v>
      </c>
      <c r="Q152" s="175" t="s">
        <v>1504</v>
      </c>
      <c r="R152" s="175" t="s">
        <v>339</v>
      </c>
      <c r="S152" s="175" t="s">
        <v>22</v>
      </c>
      <c r="T152" s="175" t="s">
        <v>337</v>
      </c>
      <c r="U152" s="176">
        <v>10</v>
      </c>
      <c r="V152" s="176">
        <v>80</v>
      </c>
      <c r="W152" s="176">
        <v>12</v>
      </c>
      <c r="X152" s="179">
        <f t="shared" si="33"/>
        <v>92</v>
      </c>
      <c r="Y152" s="176">
        <v>4</v>
      </c>
      <c r="Z152" s="176" t="s">
        <v>20</v>
      </c>
      <c r="AA152" s="176" t="s">
        <v>18</v>
      </c>
      <c r="AB152" s="185" t="s">
        <v>18</v>
      </c>
      <c r="AC152" s="186" t="s">
        <v>21</v>
      </c>
      <c r="AD152" s="181" t="s">
        <v>1846</v>
      </c>
      <c r="AE152" s="179" t="s">
        <v>18</v>
      </c>
      <c r="AF152" s="191"/>
      <c r="AG152" s="175" t="s">
        <v>1173</v>
      </c>
      <c r="AH152" s="179">
        <f t="shared" si="25"/>
        <v>23</v>
      </c>
      <c r="AI152" s="179">
        <f>VLOOKUP(K152,[1]TRAMO!$A:$B,2,0)</f>
        <v>3</v>
      </c>
      <c r="AJ152" s="183">
        <f t="shared" si="26"/>
        <v>7434</v>
      </c>
      <c r="AK152" s="179">
        <f t="shared" si="27"/>
        <v>23</v>
      </c>
      <c r="AL152" s="183">
        <v>0</v>
      </c>
      <c r="AM152" s="183">
        <f t="shared" si="34"/>
        <v>920000</v>
      </c>
      <c r="AN152" s="183">
        <f t="shared" si="28"/>
        <v>0</v>
      </c>
      <c r="AO152" s="183">
        <f t="shared" si="29"/>
        <v>0</v>
      </c>
      <c r="AP152" s="183">
        <f t="shared" si="30"/>
        <v>6839280</v>
      </c>
      <c r="AR152" s="183">
        <f t="shared" si="31"/>
        <v>0</v>
      </c>
      <c r="AS152" s="183">
        <f t="shared" si="32"/>
        <v>7759280</v>
      </c>
      <c r="AT152" s="175" t="s">
        <v>1506</v>
      </c>
      <c r="AU152" s="175" t="s">
        <v>1507</v>
      </c>
      <c r="AV152" s="175" t="s">
        <v>1508</v>
      </c>
      <c r="AW152" s="175" t="s">
        <v>1509</v>
      </c>
    </row>
    <row r="153" spans="1:49" ht="24.95" customHeight="1" x14ac:dyDescent="0.25">
      <c r="A153" s="175">
        <v>14357</v>
      </c>
      <c r="B153" s="175" t="s">
        <v>86</v>
      </c>
      <c r="C153" s="175" t="s">
        <v>29</v>
      </c>
      <c r="D153" s="176">
        <v>1</v>
      </c>
      <c r="E153" s="176">
        <v>2025</v>
      </c>
      <c r="F153" s="176">
        <v>2025</v>
      </c>
      <c r="G153" s="175" t="s">
        <v>23</v>
      </c>
      <c r="H153" s="175" t="s">
        <v>86</v>
      </c>
      <c r="I153" s="175" t="s">
        <v>105</v>
      </c>
      <c r="J153" s="177" t="s">
        <v>1003</v>
      </c>
      <c r="K153" s="175" t="s">
        <v>1004</v>
      </c>
      <c r="L153" s="175" t="s">
        <v>21</v>
      </c>
      <c r="M153" s="175" t="s">
        <v>21</v>
      </c>
      <c r="N153" s="175">
        <v>7</v>
      </c>
      <c r="O153" s="175" t="s">
        <v>428</v>
      </c>
      <c r="P153" s="175" t="s">
        <v>419</v>
      </c>
      <c r="Q153" s="175" t="s">
        <v>1504</v>
      </c>
      <c r="R153" s="175" t="s">
        <v>339</v>
      </c>
      <c r="S153" s="175" t="s">
        <v>22</v>
      </c>
      <c r="T153" s="175" t="s">
        <v>337</v>
      </c>
      <c r="U153" s="176">
        <v>10</v>
      </c>
      <c r="V153" s="176">
        <v>100</v>
      </c>
      <c r="W153" s="176" t="s">
        <v>21</v>
      </c>
      <c r="X153" s="179">
        <f t="shared" si="33"/>
        <v>100</v>
      </c>
      <c r="Y153" s="176">
        <v>4</v>
      </c>
      <c r="Z153" s="176" t="s">
        <v>20</v>
      </c>
      <c r="AA153" s="176" t="s">
        <v>18</v>
      </c>
      <c r="AB153" s="185" t="s">
        <v>18</v>
      </c>
      <c r="AC153" s="186" t="s">
        <v>21</v>
      </c>
      <c r="AD153" s="181" t="s">
        <v>1846</v>
      </c>
      <c r="AE153" s="179" t="s">
        <v>18</v>
      </c>
      <c r="AF153" s="191"/>
      <c r="AG153" s="175" t="s">
        <v>1173</v>
      </c>
      <c r="AH153" s="179">
        <f t="shared" si="25"/>
        <v>25</v>
      </c>
      <c r="AI153" s="179">
        <f>VLOOKUP(K153,[1]TRAMO!$A:$B,2,0)</f>
        <v>3</v>
      </c>
      <c r="AJ153" s="183">
        <f t="shared" si="26"/>
        <v>7434</v>
      </c>
      <c r="AK153" s="179">
        <f t="shared" si="27"/>
        <v>25</v>
      </c>
      <c r="AL153" s="183">
        <v>0</v>
      </c>
      <c r="AM153" s="183">
        <f t="shared" si="34"/>
        <v>1000000</v>
      </c>
      <c r="AN153" s="183">
        <f t="shared" si="28"/>
        <v>0</v>
      </c>
      <c r="AO153" s="183">
        <f t="shared" si="29"/>
        <v>0</v>
      </c>
      <c r="AP153" s="183">
        <f t="shared" si="30"/>
        <v>7434000</v>
      </c>
      <c r="AR153" s="183">
        <f t="shared" si="31"/>
        <v>0</v>
      </c>
      <c r="AS153" s="183">
        <f t="shared" si="32"/>
        <v>8434000</v>
      </c>
      <c r="AT153" s="175" t="s">
        <v>1765</v>
      </c>
      <c r="AU153" s="175" t="s">
        <v>1766</v>
      </c>
      <c r="AV153" s="175" t="s">
        <v>1508</v>
      </c>
      <c r="AW153" s="175" t="s">
        <v>1767</v>
      </c>
    </row>
    <row r="154" spans="1:49" ht="24.95" customHeight="1" x14ac:dyDescent="0.25">
      <c r="A154" s="175">
        <v>14383</v>
      </c>
      <c r="B154" s="175" t="s">
        <v>86</v>
      </c>
      <c r="C154" s="175" t="s">
        <v>29</v>
      </c>
      <c r="D154" s="176">
        <v>1</v>
      </c>
      <c r="E154" s="176">
        <v>2025</v>
      </c>
      <c r="F154" s="176">
        <v>2025</v>
      </c>
      <c r="G154" s="175" t="s">
        <v>23</v>
      </c>
      <c r="H154" s="175" t="s">
        <v>86</v>
      </c>
      <c r="I154" s="175" t="s">
        <v>105</v>
      </c>
      <c r="J154" s="177" t="s">
        <v>1003</v>
      </c>
      <c r="K154" s="175" t="s">
        <v>1004</v>
      </c>
      <c r="L154" s="175" t="s">
        <v>21</v>
      </c>
      <c r="M154" s="175" t="s">
        <v>21</v>
      </c>
      <c r="N154" s="175">
        <v>8</v>
      </c>
      <c r="O154" s="175" t="s">
        <v>709</v>
      </c>
      <c r="P154" s="175" t="s">
        <v>755</v>
      </c>
      <c r="Q154" s="175" t="s">
        <v>1504</v>
      </c>
      <c r="R154" s="175" t="s">
        <v>339</v>
      </c>
      <c r="S154" s="175" t="s">
        <v>22</v>
      </c>
      <c r="T154" s="175" t="s">
        <v>337</v>
      </c>
      <c r="U154" s="176">
        <v>10</v>
      </c>
      <c r="V154" s="176">
        <v>100</v>
      </c>
      <c r="W154" s="176" t="s">
        <v>21</v>
      </c>
      <c r="X154" s="179">
        <f t="shared" si="33"/>
        <v>100</v>
      </c>
      <c r="Y154" s="176">
        <v>4</v>
      </c>
      <c r="Z154" s="176" t="s">
        <v>20</v>
      </c>
      <c r="AA154" s="176" t="s">
        <v>18</v>
      </c>
      <c r="AB154" s="185" t="s">
        <v>18</v>
      </c>
      <c r="AC154" s="186" t="s">
        <v>21</v>
      </c>
      <c r="AD154" s="181" t="s">
        <v>1846</v>
      </c>
      <c r="AE154" s="179" t="s">
        <v>18</v>
      </c>
      <c r="AF154" s="191"/>
      <c r="AG154" s="175" t="s">
        <v>1173</v>
      </c>
      <c r="AH154" s="179">
        <f t="shared" si="25"/>
        <v>25</v>
      </c>
      <c r="AI154" s="179">
        <f>VLOOKUP(K154,[1]TRAMO!$A:$B,2,0)</f>
        <v>3</v>
      </c>
      <c r="AJ154" s="183">
        <f t="shared" si="26"/>
        <v>7434</v>
      </c>
      <c r="AK154" s="179">
        <f t="shared" si="27"/>
        <v>25</v>
      </c>
      <c r="AL154" s="183">
        <v>0</v>
      </c>
      <c r="AM154" s="183">
        <f t="shared" si="34"/>
        <v>1000000</v>
      </c>
      <c r="AN154" s="183">
        <f t="shared" si="28"/>
        <v>0</v>
      </c>
      <c r="AO154" s="183">
        <f t="shared" si="29"/>
        <v>0</v>
      </c>
      <c r="AP154" s="183">
        <f t="shared" si="30"/>
        <v>7434000</v>
      </c>
      <c r="AR154" s="183">
        <f t="shared" si="31"/>
        <v>0</v>
      </c>
      <c r="AS154" s="183">
        <f t="shared" si="32"/>
        <v>8434000</v>
      </c>
      <c r="AT154" s="175" t="s">
        <v>1765</v>
      </c>
      <c r="AU154" s="175" t="s">
        <v>1766</v>
      </c>
      <c r="AV154" s="175" t="s">
        <v>1508</v>
      </c>
      <c r="AW154" s="175" t="s">
        <v>1509</v>
      </c>
    </row>
    <row r="155" spans="1:49" ht="24.95" customHeight="1" x14ac:dyDescent="0.25">
      <c r="A155" s="175">
        <v>14504</v>
      </c>
      <c r="B155" s="175" t="s">
        <v>98</v>
      </c>
      <c r="C155" s="175" t="s">
        <v>41</v>
      </c>
      <c r="D155" s="176">
        <v>1</v>
      </c>
      <c r="E155" s="176">
        <v>2025</v>
      </c>
      <c r="F155" s="176">
        <v>2025</v>
      </c>
      <c r="G155" s="175" t="s">
        <v>23</v>
      </c>
      <c r="H155" s="175" t="s">
        <v>98</v>
      </c>
      <c r="I155" s="175" t="s">
        <v>1175</v>
      </c>
      <c r="J155" s="177" t="s">
        <v>1847</v>
      </c>
      <c r="K155" s="175" t="s">
        <v>1848</v>
      </c>
      <c r="L155" s="175" t="s">
        <v>21</v>
      </c>
      <c r="M155" s="175" t="s">
        <v>21</v>
      </c>
      <c r="N155" s="175">
        <v>9</v>
      </c>
      <c r="O155" s="175" t="s">
        <v>424</v>
      </c>
      <c r="P155" s="175" t="s">
        <v>425</v>
      </c>
      <c r="Q155" s="175" t="s">
        <v>388</v>
      </c>
      <c r="R155" s="175" t="s">
        <v>339</v>
      </c>
      <c r="S155" s="175" t="s">
        <v>19</v>
      </c>
      <c r="T155" s="175" t="s">
        <v>347</v>
      </c>
      <c r="U155" s="176">
        <v>10</v>
      </c>
      <c r="V155" s="176">
        <v>36</v>
      </c>
      <c r="W155" s="176" t="s">
        <v>21</v>
      </c>
      <c r="X155" s="179">
        <f t="shared" si="33"/>
        <v>36</v>
      </c>
      <c r="Y155" s="176">
        <v>5</v>
      </c>
      <c r="Z155" s="176" t="s">
        <v>20</v>
      </c>
      <c r="AA155" s="176" t="s">
        <v>18</v>
      </c>
      <c r="AB155" s="185" t="s">
        <v>18</v>
      </c>
      <c r="AC155" s="186" t="s">
        <v>21</v>
      </c>
      <c r="AD155" s="181" t="s">
        <v>1849</v>
      </c>
      <c r="AE155" s="179" t="s">
        <v>18</v>
      </c>
      <c r="AF155" s="191"/>
      <c r="AG155" s="175" t="s">
        <v>1173</v>
      </c>
      <c r="AH155" s="179">
        <f t="shared" si="25"/>
        <v>8</v>
      </c>
      <c r="AI155" s="179">
        <f>VLOOKUP(K155,[1]TRAMO!$A:$B,2,0)</f>
        <v>1</v>
      </c>
      <c r="AJ155" s="183">
        <f t="shared" si="26"/>
        <v>5074</v>
      </c>
      <c r="AK155" s="179">
        <f t="shared" si="27"/>
        <v>7.2</v>
      </c>
      <c r="AL155" s="183">
        <v>0</v>
      </c>
      <c r="AM155" s="183">
        <f t="shared" si="34"/>
        <v>320000</v>
      </c>
      <c r="AN155" s="183">
        <f t="shared" si="28"/>
        <v>0</v>
      </c>
      <c r="AO155" s="183">
        <f t="shared" si="29"/>
        <v>0</v>
      </c>
      <c r="AP155" s="183">
        <f t="shared" si="30"/>
        <v>1826640</v>
      </c>
      <c r="AR155" s="183">
        <f t="shared" si="31"/>
        <v>0</v>
      </c>
      <c r="AS155" s="183">
        <f t="shared" si="32"/>
        <v>2146640</v>
      </c>
      <c r="AT155" s="175" t="s">
        <v>1588</v>
      </c>
      <c r="AU155" s="175" t="s">
        <v>1589</v>
      </c>
      <c r="AV155" s="175" t="s">
        <v>1850</v>
      </c>
      <c r="AW155" s="175" t="s">
        <v>1851</v>
      </c>
    </row>
    <row r="156" spans="1:49" ht="24.95" customHeight="1" x14ac:dyDescent="0.25">
      <c r="A156" s="175">
        <v>14505</v>
      </c>
      <c r="B156" s="175" t="s">
        <v>98</v>
      </c>
      <c r="C156" s="175" t="s">
        <v>41</v>
      </c>
      <c r="D156" s="176">
        <v>1</v>
      </c>
      <c r="E156" s="176">
        <v>2025</v>
      </c>
      <c r="F156" s="176">
        <v>2025</v>
      </c>
      <c r="G156" s="175" t="s">
        <v>23</v>
      </c>
      <c r="H156" s="175" t="s">
        <v>98</v>
      </c>
      <c r="I156" s="175" t="s">
        <v>1175</v>
      </c>
      <c r="J156" s="177" t="s">
        <v>1847</v>
      </c>
      <c r="K156" s="175" t="s">
        <v>1848</v>
      </c>
      <c r="L156" s="175" t="s">
        <v>21</v>
      </c>
      <c r="M156" s="175" t="s">
        <v>21</v>
      </c>
      <c r="N156" s="175">
        <v>9</v>
      </c>
      <c r="O156" s="175" t="s">
        <v>424</v>
      </c>
      <c r="P156" s="175" t="s">
        <v>425</v>
      </c>
      <c r="Q156" s="175" t="s">
        <v>388</v>
      </c>
      <c r="R156" s="175" t="s">
        <v>339</v>
      </c>
      <c r="S156" s="175" t="s">
        <v>19</v>
      </c>
      <c r="T156" s="175" t="s">
        <v>347</v>
      </c>
      <c r="U156" s="176">
        <v>10</v>
      </c>
      <c r="V156" s="176">
        <v>36</v>
      </c>
      <c r="W156" s="176" t="s">
        <v>21</v>
      </c>
      <c r="X156" s="179">
        <f t="shared" si="33"/>
        <v>36</v>
      </c>
      <c r="Y156" s="176">
        <v>5</v>
      </c>
      <c r="Z156" s="176" t="s">
        <v>20</v>
      </c>
      <c r="AA156" s="176" t="s">
        <v>18</v>
      </c>
      <c r="AB156" s="185" t="s">
        <v>18</v>
      </c>
      <c r="AC156" s="186" t="s">
        <v>21</v>
      </c>
      <c r="AD156" s="181" t="s">
        <v>1849</v>
      </c>
      <c r="AE156" s="179" t="s">
        <v>18</v>
      </c>
      <c r="AF156" s="191"/>
      <c r="AG156" s="175" t="s">
        <v>1173</v>
      </c>
      <c r="AH156" s="179">
        <f t="shared" si="25"/>
        <v>8</v>
      </c>
      <c r="AI156" s="179">
        <f>VLOOKUP(K156,[1]TRAMO!$A:$B,2,0)</f>
        <v>1</v>
      </c>
      <c r="AJ156" s="183">
        <f t="shared" si="26"/>
        <v>5074</v>
      </c>
      <c r="AK156" s="179">
        <f t="shared" si="27"/>
        <v>7.2</v>
      </c>
      <c r="AL156" s="183">
        <v>0</v>
      </c>
      <c r="AM156" s="183">
        <f t="shared" si="34"/>
        <v>320000</v>
      </c>
      <c r="AN156" s="183">
        <f t="shared" si="28"/>
        <v>0</v>
      </c>
      <c r="AO156" s="183">
        <f t="shared" si="29"/>
        <v>0</v>
      </c>
      <c r="AP156" s="183">
        <f t="shared" si="30"/>
        <v>1826640</v>
      </c>
      <c r="AR156" s="183">
        <f t="shared" si="31"/>
        <v>0</v>
      </c>
      <c r="AS156" s="183">
        <f t="shared" si="32"/>
        <v>2146640</v>
      </c>
      <c r="AT156" s="175" t="s">
        <v>1588</v>
      </c>
      <c r="AU156" s="175" t="s">
        <v>1589</v>
      </c>
      <c r="AV156" s="175" t="s">
        <v>1852</v>
      </c>
      <c r="AW156" s="175" t="s">
        <v>1851</v>
      </c>
    </row>
    <row r="157" spans="1:49" ht="24.95" customHeight="1" x14ac:dyDescent="0.25">
      <c r="A157" s="175">
        <v>14318</v>
      </c>
      <c r="B157" s="175" t="s">
        <v>96</v>
      </c>
      <c r="C157" s="175" t="s">
        <v>39</v>
      </c>
      <c r="D157" s="176">
        <v>4</v>
      </c>
      <c r="E157" s="176">
        <v>2025</v>
      </c>
      <c r="F157" s="176">
        <v>2025</v>
      </c>
      <c r="G157" s="175" t="s">
        <v>23</v>
      </c>
      <c r="H157" s="175" t="s">
        <v>96</v>
      </c>
      <c r="I157" s="175" t="s">
        <v>1042</v>
      </c>
      <c r="J157" s="177" t="s">
        <v>1853</v>
      </c>
      <c r="K157" s="175" t="s">
        <v>1854</v>
      </c>
      <c r="L157" s="175" t="s">
        <v>21</v>
      </c>
      <c r="M157" s="175" t="s">
        <v>21</v>
      </c>
      <c r="N157" s="175">
        <v>4</v>
      </c>
      <c r="O157" s="175" t="s">
        <v>415</v>
      </c>
      <c r="P157" s="175" t="s">
        <v>840</v>
      </c>
      <c r="Q157" s="175" t="s">
        <v>385</v>
      </c>
      <c r="R157" s="175" t="s">
        <v>339</v>
      </c>
      <c r="S157" s="175" t="s">
        <v>22</v>
      </c>
      <c r="T157" s="175" t="s">
        <v>337</v>
      </c>
      <c r="U157" s="176">
        <v>10</v>
      </c>
      <c r="V157" s="176">
        <v>40</v>
      </c>
      <c r="W157" s="176" t="s">
        <v>21</v>
      </c>
      <c r="X157" s="179">
        <f t="shared" si="33"/>
        <v>40</v>
      </c>
      <c r="Y157" s="176">
        <v>5</v>
      </c>
      <c r="Z157" s="176" t="s">
        <v>20</v>
      </c>
      <c r="AA157" s="176" t="s">
        <v>18</v>
      </c>
      <c r="AB157" s="185" t="s">
        <v>18</v>
      </c>
      <c r="AC157" s="186" t="s">
        <v>21</v>
      </c>
      <c r="AD157" s="181" t="s">
        <v>1855</v>
      </c>
      <c r="AE157" s="179" t="s">
        <v>18</v>
      </c>
      <c r="AF157" s="191"/>
      <c r="AG157" s="175" t="s">
        <v>1173</v>
      </c>
      <c r="AH157" s="179">
        <f t="shared" si="25"/>
        <v>8</v>
      </c>
      <c r="AI157" s="179">
        <f>VLOOKUP(K157,[1]TRAMO!$A:$B,2,0)</f>
        <v>3</v>
      </c>
      <c r="AJ157" s="183">
        <f t="shared" si="26"/>
        <v>7434</v>
      </c>
      <c r="AK157" s="179">
        <f t="shared" si="27"/>
        <v>8</v>
      </c>
      <c r="AL157" s="183">
        <v>0</v>
      </c>
      <c r="AM157" s="183">
        <f t="shared" si="34"/>
        <v>320000</v>
      </c>
      <c r="AN157" s="183">
        <f t="shared" si="28"/>
        <v>0</v>
      </c>
      <c r="AO157" s="183">
        <f t="shared" si="29"/>
        <v>0</v>
      </c>
      <c r="AP157" s="183">
        <f t="shared" si="30"/>
        <v>2973600</v>
      </c>
      <c r="AR157" s="183">
        <f t="shared" si="31"/>
        <v>0</v>
      </c>
      <c r="AS157" s="183">
        <f t="shared" si="32"/>
        <v>3293600</v>
      </c>
      <c r="AT157" s="175" t="s">
        <v>1750</v>
      </c>
      <c r="AU157" s="175" t="s">
        <v>1751</v>
      </c>
      <c r="AV157" s="175" t="s">
        <v>1856</v>
      </c>
      <c r="AW157" s="175" t="s">
        <v>1857</v>
      </c>
    </row>
    <row r="158" spans="1:49" ht="24.95" customHeight="1" x14ac:dyDescent="0.25">
      <c r="A158" s="175">
        <v>14320</v>
      </c>
      <c r="B158" s="175" t="s">
        <v>96</v>
      </c>
      <c r="C158" s="175" t="s">
        <v>39</v>
      </c>
      <c r="D158" s="176">
        <v>4</v>
      </c>
      <c r="E158" s="176">
        <v>2025</v>
      </c>
      <c r="F158" s="176">
        <v>2025</v>
      </c>
      <c r="G158" s="175" t="s">
        <v>23</v>
      </c>
      <c r="H158" s="175" t="s">
        <v>96</v>
      </c>
      <c r="I158" s="175" t="s">
        <v>1042</v>
      </c>
      <c r="J158" s="177" t="s">
        <v>1853</v>
      </c>
      <c r="K158" s="175" t="s">
        <v>1854</v>
      </c>
      <c r="L158" s="175" t="s">
        <v>21</v>
      </c>
      <c r="M158" s="175" t="s">
        <v>21</v>
      </c>
      <c r="N158" s="175">
        <v>15</v>
      </c>
      <c r="O158" s="175" t="s">
        <v>810</v>
      </c>
      <c r="P158" s="175" t="s">
        <v>1858</v>
      </c>
      <c r="Q158" s="175" t="s">
        <v>385</v>
      </c>
      <c r="R158" s="175" t="s">
        <v>339</v>
      </c>
      <c r="S158" s="175" t="s">
        <v>22</v>
      </c>
      <c r="T158" s="175" t="s">
        <v>337</v>
      </c>
      <c r="U158" s="176">
        <v>10</v>
      </c>
      <c r="V158" s="176">
        <v>40</v>
      </c>
      <c r="W158" s="176" t="s">
        <v>21</v>
      </c>
      <c r="X158" s="179">
        <f t="shared" si="33"/>
        <v>40</v>
      </c>
      <c r="Y158" s="176">
        <v>5</v>
      </c>
      <c r="Z158" s="176" t="s">
        <v>20</v>
      </c>
      <c r="AA158" s="176" t="s">
        <v>18</v>
      </c>
      <c r="AB158" s="185" t="s">
        <v>18</v>
      </c>
      <c r="AC158" s="186" t="s">
        <v>21</v>
      </c>
      <c r="AD158" s="181" t="s">
        <v>1859</v>
      </c>
      <c r="AE158" s="179" t="s">
        <v>18</v>
      </c>
      <c r="AF158" s="191"/>
      <c r="AG158" s="175" t="s">
        <v>1173</v>
      </c>
      <c r="AH158" s="179">
        <f t="shared" si="25"/>
        <v>8</v>
      </c>
      <c r="AI158" s="179">
        <f>VLOOKUP(K158,[1]TRAMO!$A:$B,2,0)</f>
        <v>3</v>
      </c>
      <c r="AJ158" s="183">
        <f t="shared" si="26"/>
        <v>7434</v>
      </c>
      <c r="AK158" s="179">
        <f t="shared" si="27"/>
        <v>8</v>
      </c>
      <c r="AL158" s="183">
        <v>0</v>
      </c>
      <c r="AM158" s="183">
        <f t="shared" si="34"/>
        <v>320000</v>
      </c>
      <c r="AN158" s="183">
        <f t="shared" si="28"/>
        <v>0</v>
      </c>
      <c r="AO158" s="183">
        <f t="shared" si="29"/>
        <v>0</v>
      </c>
      <c r="AP158" s="183">
        <f t="shared" si="30"/>
        <v>2973600</v>
      </c>
      <c r="AR158" s="183">
        <f t="shared" si="31"/>
        <v>0</v>
      </c>
      <c r="AS158" s="183">
        <f t="shared" si="32"/>
        <v>3293600</v>
      </c>
      <c r="AT158" s="175" t="s">
        <v>1750</v>
      </c>
      <c r="AU158" s="175" t="s">
        <v>1751</v>
      </c>
      <c r="AV158" s="175" t="s">
        <v>1856</v>
      </c>
      <c r="AW158" s="175" t="s">
        <v>1857</v>
      </c>
    </row>
    <row r="159" spans="1:49" ht="24.95" customHeight="1" x14ac:dyDescent="0.25">
      <c r="A159" s="175">
        <v>14321</v>
      </c>
      <c r="B159" s="175" t="s">
        <v>96</v>
      </c>
      <c r="C159" s="175" t="s">
        <v>39</v>
      </c>
      <c r="D159" s="176">
        <v>4</v>
      </c>
      <c r="E159" s="176">
        <v>2025</v>
      </c>
      <c r="F159" s="176">
        <v>2025</v>
      </c>
      <c r="G159" s="175" t="s">
        <v>23</v>
      </c>
      <c r="H159" s="175" t="s">
        <v>96</v>
      </c>
      <c r="I159" s="175" t="s">
        <v>1042</v>
      </c>
      <c r="J159" s="177" t="s">
        <v>1853</v>
      </c>
      <c r="K159" s="175" t="s">
        <v>1854</v>
      </c>
      <c r="L159" s="175" t="s">
        <v>21</v>
      </c>
      <c r="M159" s="175" t="s">
        <v>21</v>
      </c>
      <c r="N159" s="175">
        <v>3</v>
      </c>
      <c r="O159" s="175" t="s">
        <v>751</v>
      </c>
      <c r="P159" s="175" t="s">
        <v>838</v>
      </c>
      <c r="Q159" s="175" t="s">
        <v>385</v>
      </c>
      <c r="R159" s="175" t="s">
        <v>339</v>
      </c>
      <c r="S159" s="175" t="s">
        <v>22</v>
      </c>
      <c r="T159" s="175" t="s">
        <v>337</v>
      </c>
      <c r="U159" s="176">
        <v>10</v>
      </c>
      <c r="V159" s="176">
        <v>40</v>
      </c>
      <c r="W159" s="176" t="s">
        <v>21</v>
      </c>
      <c r="X159" s="179">
        <f t="shared" si="33"/>
        <v>40</v>
      </c>
      <c r="Y159" s="176">
        <v>5</v>
      </c>
      <c r="Z159" s="176" t="s">
        <v>20</v>
      </c>
      <c r="AA159" s="176" t="s">
        <v>18</v>
      </c>
      <c r="AB159" s="185" t="s">
        <v>18</v>
      </c>
      <c r="AC159" s="186" t="s">
        <v>21</v>
      </c>
      <c r="AD159" s="181" t="s">
        <v>1860</v>
      </c>
      <c r="AE159" s="179" t="s">
        <v>18</v>
      </c>
      <c r="AF159" s="191"/>
      <c r="AG159" s="175" t="s">
        <v>1173</v>
      </c>
      <c r="AH159" s="179">
        <f t="shared" si="25"/>
        <v>8</v>
      </c>
      <c r="AI159" s="179">
        <f>VLOOKUP(K159,[1]TRAMO!$A:$B,2,0)</f>
        <v>3</v>
      </c>
      <c r="AJ159" s="183">
        <f t="shared" si="26"/>
        <v>7434</v>
      </c>
      <c r="AK159" s="179">
        <f t="shared" si="27"/>
        <v>8</v>
      </c>
      <c r="AL159" s="183">
        <v>0</v>
      </c>
      <c r="AM159" s="183">
        <f t="shared" si="34"/>
        <v>320000</v>
      </c>
      <c r="AN159" s="183">
        <f t="shared" si="28"/>
        <v>0</v>
      </c>
      <c r="AO159" s="183">
        <f t="shared" si="29"/>
        <v>0</v>
      </c>
      <c r="AP159" s="183">
        <f t="shared" si="30"/>
        <v>2973600</v>
      </c>
      <c r="AR159" s="183">
        <f t="shared" si="31"/>
        <v>0</v>
      </c>
      <c r="AS159" s="183">
        <f t="shared" si="32"/>
        <v>3293600</v>
      </c>
      <c r="AT159" s="175" t="s">
        <v>1818</v>
      </c>
      <c r="AU159" s="175" t="s">
        <v>1751</v>
      </c>
      <c r="AV159" s="175" t="s">
        <v>1856</v>
      </c>
      <c r="AW159" s="175" t="s">
        <v>1857</v>
      </c>
    </row>
    <row r="160" spans="1:49" ht="24.95" customHeight="1" x14ac:dyDescent="0.25">
      <c r="A160" s="175">
        <v>14423</v>
      </c>
      <c r="B160" s="175" t="s">
        <v>86</v>
      </c>
      <c r="C160" s="175" t="s">
        <v>29</v>
      </c>
      <c r="D160" s="176">
        <v>1</v>
      </c>
      <c r="E160" s="176">
        <v>2025</v>
      </c>
      <c r="F160" s="176">
        <v>2025</v>
      </c>
      <c r="G160" s="175" t="s">
        <v>23</v>
      </c>
      <c r="H160" s="175" t="s">
        <v>86</v>
      </c>
      <c r="I160" s="175" t="s">
        <v>105</v>
      </c>
      <c r="J160" s="177" t="s">
        <v>1853</v>
      </c>
      <c r="K160" s="175" t="s">
        <v>1854</v>
      </c>
      <c r="L160" s="175" t="s">
        <v>407</v>
      </c>
      <c r="M160" s="175" t="s">
        <v>408</v>
      </c>
      <c r="N160" s="175">
        <v>9</v>
      </c>
      <c r="O160" s="175" t="s">
        <v>424</v>
      </c>
      <c r="P160" s="175" t="s">
        <v>834</v>
      </c>
      <c r="Q160" s="175" t="s">
        <v>1504</v>
      </c>
      <c r="R160" s="175" t="s">
        <v>339</v>
      </c>
      <c r="S160" s="175" t="s">
        <v>22</v>
      </c>
      <c r="T160" s="175" t="s">
        <v>337</v>
      </c>
      <c r="U160" s="176">
        <v>10</v>
      </c>
      <c r="V160" s="176">
        <v>40</v>
      </c>
      <c r="W160" s="176">
        <v>12</v>
      </c>
      <c r="X160" s="179">
        <f t="shared" si="33"/>
        <v>52</v>
      </c>
      <c r="Y160" s="176">
        <v>4</v>
      </c>
      <c r="Z160" s="176" t="s">
        <v>20</v>
      </c>
      <c r="AA160" s="176" t="s">
        <v>18</v>
      </c>
      <c r="AB160" s="185" t="s">
        <v>18</v>
      </c>
      <c r="AC160" s="186" t="s">
        <v>21</v>
      </c>
      <c r="AD160" s="181" t="s">
        <v>1861</v>
      </c>
      <c r="AE160" s="179" t="s">
        <v>18</v>
      </c>
      <c r="AF160" s="191"/>
      <c r="AG160" s="175" t="s">
        <v>1173</v>
      </c>
      <c r="AH160" s="179">
        <f t="shared" si="25"/>
        <v>13</v>
      </c>
      <c r="AI160" s="179">
        <f>VLOOKUP(K160,[1]TRAMO!$A:$B,2,0)</f>
        <v>3</v>
      </c>
      <c r="AJ160" s="183">
        <f t="shared" si="26"/>
        <v>7434</v>
      </c>
      <c r="AK160" s="179">
        <f t="shared" si="27"/>
        <v>13</v>
      </c>
      <c r="AL160" s="183">
        <v>0</v>
      </c>
      <c r="AM160" s="183">
        <f t="shared" si="34"/>
        <v>520000</v>
      </c>
      <c r="AN160" s="183">
        <f t="shared" si="28"/>
        <v>0</v>
      </c>
      <c r="AO160" s="183">
        <f t="shared" si="29"/>
        <v>0</v>
      </c>
      <c r="AP160" s="183">
        <f t="shared" si="30"/>
        <v>3865680</v>
      </c>
      <c r="AR160" s="183">
        <f t="shared" si="31"/>
        <v>0</v>
      </c>
      <c r="AS160" s="183">
        <f t="shared" si="32"/>
        <v>4385680</v>
      </c>
      <c r="AT160" s="175" t="s">
        <v>1862</v>
      </c>
      <c r="AU160" s="175" t="s">
        <v>1863</v>
      </c>
      <c r="AV160" s="175" t="s">
        <v>1508</v>
      </c>
      <c r="AW160" s="175" t="s">
        <v>1767</v>
      </c>
    </row>
    <row r="161" spans="1:49" ht="24.95" customHeight="1" x14ac:dyDescent="0.25">
      <c r="A161" s="175">
        <v>14386</v>
      </c>
      <c r="B161" s="175" t="s">
        <v>98</v>
      </c>
      <c r="C161" s="175" t="s">
        <v>41</v>
      </c>
      <c r="D161" s="176">
        <v>1</v>
      </c>
      <c r="E161" s="176">
        <v>2025</v>
      </c>
      <c r="F161" s="176">
        <v>2025</v>
      </c>
      <c r="G161" s="175" t="s">
        <v>23</v>
      </c>
      <c r="H161" s="175" t="s">
        <v>98</v>
      </c>
      <c r="I161" s="175" t="s">
        <v>1175</v>
      </c>
      <c r="J161" s="177" t="s">
        <v>1183</v>
      </c>
      <c r="K161" s="175" t="s">
        <v>1184</v>
      </c>
      <c r="L161" s="175" t="s">
        <v>21</v>
      </c>
      <c r="M161" s="175" t="s">
        <v>21</v>
      </c>
      <c r="N161" s="175">
        <v>13</v>
      </c>
      <c r="O161" s="175" t="s">
        <v>382</v>
      </c>
      <c r="P161" s="175" t="s">
        <v>724</v>
      </c>
      <c r="Q161" s="175" t="s">
        <v>1864</v>
      </c>
      <c r="R161" s="175" t="s">
        <v>339</v>
      </c>
      <c r="S161" s="175" t="s">
        <v>22</v>
      </c>
      <c r="T161" s="175" t="s">
        <v>348</v>
      </c>
      <c r="U161" s="176">
        <v>14</v>
      </c>
      <c r="V161" s="176">
        <v>120</v>
      </c>
      <c r="W161" s="176" t="s">
        <v>21</v>
      </c>
      <c r="X161" s="179">
        <f t="shared" si="33"/>
        <v>120</v>
      </c>
      <c r="Y161" s="176">
        <v>4</v>
      </c>
      <c r="Z161" s="176" t="s">
        <v>20</v>
      </c>
      <c r="AA161" s="176" t="s">
        <v>18</v>
      </c>
      <c r="AB161" s="185" t="s">
        <v>18</v>
      </c>
      <c r="AC161" s="186" t="s">
        <v>21</v>
      </c>
      <c r="AD161" s="181" t="s">
        <v>1179</v>
      </c>
      <c r="AE161" s="179" t="s">
        <v>18</v>
      </c>
      <c r="AF161" s="191"/>
      <c r="AG161" s="175" t="s">
        <v>1173</v>
      </c>
      <c r="AH161" s="179">
        <f t="shared" si="25"/>
        <v>30</v>
      </c>
      <c r="AI161" s="179">
        <f>VLOOKUP(K161,[1]TRAMO!$A:$B,2,0)</f>
        <v>3</v>
      </c>
      <c r="AJ161" s="183">
        <f t="shared" si="26"/>
        <v>7434</v>
      </c>
      <c r="AK161" s="179">
        <f t="shared" si="27"/>
        <v>30</v>
      </c>
      <c r="AL161" s="183">
        <v>0</v>
      </c>
      <c r="AM161" s="183">
        <f t="shared" si="34"/>
        <v>1680000</v>
      </c>
      <c r="AN161" s="183">
        <f t="shared" si="28"/>
        <v>0</v>
      </c>
      <c r="AO161" s="183">
        <f t="shared" si="29"/>
        <v>0</v>
      </c>
      <c r="AP161" s="183">
        <f t="shared" si="30"/>
        <v>12489120</v>
      </c>
      <c r="AR161" s="183">
        <f t="shared" si="31"/>
        <v>0</v>
      </c>
      <c r="AS161" s="183">
        <f t="shared" si="32"/>
        <v>14169120</v>
      </c>
      <c r="AT161" s="175" t="s">
        <v>1515</v>
      </c>
      <c r="AU161" s="175" t="s">
        <v>1516</v>
      </c>
      <c r="AV161" s="175" t="s">
        <v>1347</v>
      </c>
      <c r="AW161" s="175" t="s">
        <v>1346</v>
      </c>
    </row>
    <row r="162" spans="1:49" ht="24.95" customHeight="1" x14ac:dyDescent="0.25">
      <c r="A162" s="175">
        <v>14245</v>
      </c>
      <c r="B162" s="175" t="s">
        <v>86</v>
      </c>
      <c r="C162" s="175" t="s">
        <v>29</v>
      </c>
      <c r="D162" s="176">
        <v>1</v>
      </c>
      <c r="E162" s="176">
        <v>2025</v>
      </c>
      <c r="F162" s="176">
        <v>2025</v>
      </c>
      <c r="G162" s="175" t="s">
        <v>23</v>
      </c>
      <c r="H162" s="175" t="s">
        <v>86</v>
      </c>
      <c r="I162" s="175" t="s">
        <v>105</v>
      </c>
      <c r="J162" s="177" t="s">
        <v>815</v>
      </c>
      <c r="K162" s="175" t="s">
        <v>814</v>
      </c>
      <c r="L162" s="175" t="s">
        <v>21</v>
      </c>
      <c r="M162" s="175" t="s">
        <v>21</v>
      </c>
      <c r="N162" s="175">
        <v>13</v>
      </c>
      <c r="O162" s="175" t="s">
        <v>382</v>
      </c>
      <c r="P162" s="175" t="s">
        <v>717</v>
      </c>
      <c r="Q162" s="175" t="s">
        <v>1201</v>
      </c>
      <c r="R162" s="175" t="s">
        <v>339</v>
      </c>
      <c r="S162" s="175" t="s">
        <v>22</v>
      </c>
      <c r="T162" s="175" t="s">
        <v>337</v>
      </c>
      <c r="U162" s="176">
        <v>15</v>
      </c>
      <c r="V162" s="176">
        <v>130</v>
      </c>
      <c r="W162" s="176" t="s">
        <v>21</v>
      </c>
      <c r="X162" s="179">
        <f t="shared" si="33"/>
        <v>130</v>
      </c>
      <c r="Y162" s="176">
        <v>4</v>
      </c>
      <c r="Z162" s="176" t="s">
        <v>20</v>
      </c>
      <c r="AA162" s="176" t="s">
        <v>18</v>
      </c>
      <c r="AB162" s="185" t="s">
        <v>18</v>
      </c>
      <c r="AC162" s="186" t="s">
        <v>21</v>
      </c>
      <c r="AD162" s="181" t="s">
        <v>1865</v>
      </c>
      <c r="AE162" s="179" t="s">
        <v>18</v>
      </c>
      <c r="AF162" s="191"/>
      <c r="AG162" s="175" t="s">
        <v>1173</v>
      </c>
      <c r="AH162" s="179">
        <f t="shared" si="25"/>
        <v>33</v>
      </c>
      <c r="AI162" s="179">
        <f>VLOOKUP(K162,[1]TRAMO!$A:$B,2,0)</f>
        <v>2</v>
      </c>
      <c r="AJ162" s="183">
        <f t="shared" si="26"/>
        <v>6372</v>
      </c>
      <c r="AK162" s="179">
        <f t="shared" si="27"/>
        <v>32.5</v>
      </c>
      <c r="AL162" s="183">
        <v>0</v>
      </c>
      <c r="AM162" s="183">
        <f t="shared" si="34"/>
        <v>1980000</v>
      </c>
      <c r="AN162" s="183">
        <f t="shared" si="28"/>
        <v>0</v>
      </c>
      <c r="AO162" s="183">
        <f t="shared" si="29"/>
        <v>0</v>
      </c>
      <c r="AP162" s="183">
        <f t="shared" si="30"/>
        <v>12425400</v>
      </c>
      <c r="AR162" s="183">
        <f t="shared" si="31"/>
        <v>0</v>
      </c>
      <c r="AS162" s="183">
        <f t="shared" si="32"/>
        <v>14405400</v>
      </c>
      <c r="AT162" s="175" t="s">
        <v>1866</v>
      </c>
      <c r="AU162" s="175" t="s">
        <v>1867</v>
      </c>
      <c r="AV162" s="175" t="s">
        <v>1868</v>
      </c>
      <c r="AW162" s="175" t="s">
        <v>1017</v>
      </c>
    </row>
    <row r="163" spans="1:49" ht="24.95" customHeight="1" x14ac:dyDescent="0.25">
      <c r="A163" s="175">
        <v>14317</v>
      </c>
      <c r="B163" s="175" t="s">
        <v>98</v>
      </c>
      <c r="C163" s="175" t="s">
        <v>41</v>
      </c>
      <c r="D163" s="176">
        <v>1</v>
      </c>
      <c r="E163" s="176">
        <v>2025</v>
      </c>
      <c r="F163" s="176">
        <v>2025</v>
      </c>
      <c r="G163" s="175" t="s">
        <v>23</v>
      </c>
      <c r="H163" s="175" t="s">
        <v>98</v>
      </c>
      <c r="I163" s="175" t="s">
        <v>1175</v>
      </c>
      <c r="J163" s="177" t="s">
        <v>815</v>
      </c>
      <c r="K163" s="175" t="s">
        <v>814</v>
      </c>
      <c r="L163" s="175" t="s">
        <v>21</v>
      </c>
      <c r="M163" s="175" t="s">
        <v>21</v>
      </c>
      <c r="N163" s="175">
        <v>13</v>
      </c>
      <c r="O163" s="175" t="s">
        <v>382</v>
      </c>
      <c r="P163" s="175" t="s">
        <v>392</v>
      </c>
      <c r="Q163" s="175" t="s">
        <v>822</v>
      </c>
      <c r="R163" s="175" t="s">
        <v>339</v>
      </c>
      <c r="S163" s="175" t="s">
        <v>19</v>
      </c>
      <c r="T163" s="175" t="s">
        <v>337</v>
      </c>
      <c r="U163" s="176">
        <v>10</v>
      </c>
      <c r="V163" s="176">
        <v>130</v>
      </c>
      <c r="W163" s="176" t="s">
        <v>21</v>
      </c>
      <c r="X163" s="179">
        <f t="shared" si="33"/>
        <v>130</v>
      </c>
      <c r="Y163" s="176">
        <v>7</v>
      </c>
      <c r="Z163" s="176" t="s">
        <v>20</v>
      </c>
      <c r="AA163" s="176" t="s">
        <v>18</v>
      </c>
      <c r="AB163" s="185" t="s">
        <v>18</v>
      </c>
      <c r="AC163" s="186" t="s">
        <v>21</v>
      </c>
      <c r="AD163" s="181" t="s">
        <v>1869</v>
      </c>
      <c r="AE163" s="179" t="s">
        <v>18</v>
      </c>
      <c r="AF163" s="191"/>
      <c r="AG163" s="175" t="s">
        <v>1173</v>
      </c>
      <c r="AH163" s="179">
        <f t="shared" si="25"/>
        <v>19</v>
      </c>
      <c r="AI163" s="179">
        <f>VLOOKUP(K163,[1]TRAMO!$A:$B,2,0)</f>
        <v>2</v>
      </c>
      <c r="AJ163" s="183">
        <f t="shared" si="26"/>
        <v>6372</v>
      </c>
      <c r="AK163" s="179">
        <f t="shared" si="27"/>
        <v>18.571428571428573</v>
      </c>
      <c r="AL163" s="183">
        <v>0</v>
      </c>
      <c r="AM163" s="183">
        <f t="shared" si="34"/>
        <v>760000</v>
      </c>
      <c r="AN163" s="183">
        <f t="shared" si="28"/>
        <v>0</v>
      </c>
      <c r="AO163" s="183">
        <f t="shared" si="29"/>
        <v>0</v>
      </c>
      <c r="AP163" s="183">
        <f t="shared" si="30"/>
        <v>8283600</v>
      </c>
      <c r="AR163" s="183">
        <f t="shared" si="31"/>
        <v>0</v>
      </c>
      <c r="AS163" s="183">
        <f t="shared" si="32"/>
        <v>9043600</v>
      </c>
      <c r="AT163" s="175" t="s">
        <v>1870</v>
      </c>
      <c r="AU163" s="175" t="s">
        <v>1871</v>
      </c>
      <c r="AV163" s="175" t="s">
        <v>1513</v>
      </c>
      <c r="AW163" s="175" t="s">
        <v>1514</v>
      </c>
    </row>
    <row r="164" spans="1:49" ht="24.95" customHeight="1" x14ac:dyDescent="0.25">
      <c r="A164" s="175">
        <v>14436</v>
      </c>
      <c r="B164" s="175" t="s">
        <v>86</v>
      </c>
      <c r="C164" s="175" t="s">
        <v>29</v>
      </c>
      <c r="D164" s="176">
        <v>1</v>
      </c>
      <c r="E164" s="176">
        <v>2025</v>
      </c>
      <c r="F164" s="176">
        <v>2025</v>
      </c>
      <c r="G164" s="175" t="s">
        <v>23</v>
      </c>
      <c r="H164" s="175" t="s">
        <v>86</v>
      </c>
      <c r="I164" s="175" t="s">
        <v>105</v>
      </c>
      <c r="J164" s="177" t="s">
        <v>815</v>
      </c>
      <c r="K164" s="175" t="s">
        <v>814</v>
      </c>
      <c r="L164" s="175" t="s">
        <v>21</v>
      </c>
      <c r="M164" s="175" t="s">
        <v>21</v>
      </c>
      <c r="N164" s="175">
        <v>10</v>
      </c>
      <c r="O164" s="175" t="s">
        <v>706</v>
      </c>
      <c r="P164" s="175" t="s">
        <v>754</v>
      </c>
      <c r="Q164" s="175" t="s">
        <v>1504</v>
      </c>
      <c r="R164" s="175" t="s">
        <v>339</v>
      </c>
      <c r="S164" s="175" t="s">
        <v>22</v>
      </c>
      <c r="T164" s="175" t="s">
        <v>337</v>
      </c>
      <c r="U164" s="176">
        <v>10</v>
      </c>
      <c r="V164" s="176">
        <v>130</v>
      </c>
      <c r="W164" s="176" t="s">
        <v>21</v>
      </c>
      <c r="X164" s="179">
        <f t="shared" si="33"/>
        <v>130</v>
      </c>
      <c r="Y164" s="176">
        <v>4</v>
      </c>
      <c r="Z164" s="176" t="s">
        <v>20</v>
      </c>
      <c r="AA164" s="176" t="s">
        <v>18</v>
      </c>
      <c r="AB164" s="185" t="s">
        <v>18</v>
      </c>
      <c r="AC164" s="186" t="s">
        <v>21</v>
      </c>
      <c r="AD164" s="181" t="s">
        <v>1872</v>
      </c>
      <c r="AE164" s="179" t="s">
        <v>18</v>
      </c>
      <c r="AF164" s="191"/>
      <c r="AG164" s="175" t="s">
        <v>1173</v>
      </c>
      <c r="AH164" s="179">
        <f t="shared" si="25"/>
        <v>33</v>
      </c>
      <c r="AI164" s="179">
        <f>VLOOKUP(K164,[1]TRAMO!$A:$B,2,0)</f>
        <v>2</v>
      </c>
      <c r="AJ164" s="183">
        <f t="shared" si="26"/>
        <v>6372</v>
      </c>
      <c r="AK164" s="179">
        <f t="shared" si="27"/>
        <v>32.5</v>
      </c>
      <c r="AL164" s="183">
        <v>0</v>
      </c>
      <c r="AM164" s="183">
        <f t="shared" si="34"/>
        <v>1320000</v>
      </c>
      <c r="AN164" s="183">
        <f t="shared" si="28"/>
        <v>0</v>
      </c>
      <c r="AO164" s="183">
        <f t="shared" si="29"/>
        <v>0</v>
      </c>
      <c r="AP164" s="183">
        <f t="shared" si="30"/>
        <v>8283600</v>
      </c>
      <c r="AR164" s="183">
        <f t="shared" si="31"/>
        <v>0</v>
      </c>
      <c r="AS164" s="183">
        <f t="shared" si="32"/>
        <v>9603600</v>
      </c>
      <c r="AT164" s="175" t="s">
        <v>1862</v>
      </c>
      <c r="AU164" s="175" t="s">
        <v>1873</v>
      </c>
      <c r="AV164" s="175" t="s">
        <v>1508</v>
      </c>
      <c r="AW164" s="175" t="s">
        <v>1509</v>
      </c>
    </row>
    <row r="165" spans="1:49" ht="24.95" customHeight="1" x14ac:dyDescent="0.25">
      <c r="A165" s="175">
        <v>14220</v>
      </c>
      <c r="B165" s="175" t="s">
        <v>82</v>
      </c>
      <c r="C165" s="175" t="s">
        <v>1018</v>
      </c>
      <c r="D165" s="176">
        <v>1</v>
      </c>
      <c r="E165" s="176">
        <v>2025</v>
      </c>
      <c r="F165" s="176">
        <v>2025</v>
      </c>
      <c r="G165" s="175" t="s">
        <v>23</v>
      </c>
      <c r="H165" s="175" t="s">
        <v>82</v>
      </c>
      <c r="I165" s="175" t="s">
        <v>101</v>
      </c>
      <c r="J165" s="177" t="s">
        <v>815</v>
      </c>
      <c r="K165" s="175" t="s">
        <v>814</v>
      </c>
      <c r="L165" s="175" t="s">
        <v>875</v>
      </c>
      <c r="M165" s="175" t="s">
        <v>874</v>
      </c>
      <c r="N165" s="175">
        <v>10</v>
      </c>
      <c r="O165" s="175" t="s">
        <v>706</v>
      </c>
      <c r="P165" s="175" t="s">
        <v>707</v>
      </c>
      <c r="Q165" s="175" t="s">
        <v>1201</v>
      </c>
      <c r="R165" s="175" t="s">
        <v>339</v>
      </c>
      <c r="S165" s="175" t="s">
        <v>22</v>
      </c>
      <c r="T165" s="175" t="s">
        <v>337</v>
      </c>
      <c r="U165" s="176">
        <v>16</v>
      </c>
      <c r="V165" s="176">
        <v>130</v>
      </c>
      <c r="W165" s="176">
        <v>8</v>
      </c>
      <c r="X165" s="179">
        <f t="shared" si="33"/>
        <v>138</v>
      </c>
      <c r="Y165" s="176">
        <v>4</v>
      </c>
      <c r="Z165" s="176" t="s">
        <v>20</v>
      </c>
      <c r="AA165" s="176" t="s">
        <v>18</v>
      </c>
      <c r="AB165" s="185" t="s">
        <v>18</v>
      </c>
      <c r="AC165" s="186" t="s">
        <v>21</v>
      </c>
      <c r="AD165" s="181" t="s">
        <v>1874</v>
      </c>
      <c r="AE165" s="179" t="s">
        <v>18</v>
      </c>
      <c r="AF165" s="191"/>
      <c r="AG165" s="175" t="s">
        <v>1173</v>
      </c>
      <c r="AH165" s="179">
        <f t="shared" si="25"/>
        <v>35</v>
      </c>
      <c r="AI165" s="179">
        <f>VLOOKUP(K165,[1]TRAMO!$A:$B,2,0)</f>
        <v>2</v>
      </c>
      <c r="AJ165" s="183">
        <f t="shared" si="26"/>
        <v>6372</v>
      </c>
      <c r="AK165" s="179">
        <f t="shared" si="27"/>
        <v>34.5</v>
      </c>
      <c r="AL165" s="183">
        <v>0</v>
      </c>
      <c r="AM165" s="183">
        <f t="shared" si="34"/>
        <v>2240000</v>
      </c>
      <c r="AN165" s="183">
        <f t="shared" si="28"/>
        <v>0</v>
      </c>
      <c r="AO165" s="183">
        <f t="shared" si="29"/>
        <v>0</v>
      </c>
      <c r="AP165" s="183">
        <f t="shared" si="30"/>
        <v>14069376</v>
      </c>
      <c r="AR165" s="183">
        <f t="shared" si="31"/>
        <v>0</v>
      </c>
      <c r="AS165" s="183">
        <f t="shared" si="32"/>
        <v>16309376</v>
      </c>
      <c r="AT165" s="175" t="s">
        <v>1875</v>
      </c>
      <c r="AU165" s="175" t="s">
        <v>1876</v>
      </c>
      <c r="AV165" s="175" t="s">
        <v>1877</v>
      </c>
      <c r="AW165" s="175" t="s">
        <v>1019</v>
      </c>
    </row>
    <row r="166" spans="1:49" ht="24.95" customHeight="1" x14ac:dyDescent="0.25">
      <c r="A166" s="175">
        <v>14221</v>
      </c>
      <c r="B166" s="175" t="s">
        <v>82</v>
      </c>
      <c r="C166" s="175" t="s">
        <v>1018</v>
      </c>
      <c r="D166" s="176">
        <v>1</v>
      </c>
      <c r="E166" s="176">
        <v>2025</v>
      </c>
      <c r="F166" s="176">
        <v>2025</v>
      </c>
      <c r="G166" s="175" t="s">
        <v>23</v>
      </c>
      <c r="H166" s="175" t="s">
        <v>82</v>
      </c>
      <c r="I166" s="175" t="s">
        <v>101</v>
      </c>
      <c r="J166" s="177" t="s">
        <v>386</v>
      </c>
      <c r="K166" s="175" t="s">
        <v>387</v>
      </c>
      <c r="L166" s="175" t="s">
        <v>875</v>
      </c>
      <c r="M166" s="175" t="s">
        <v>874</v>
      </c>
      <c r="N166" s="175">
        <v>13</v>
      </c>
      <c r="O166" s="175" t="s">
        <v>382</v>
      </c>
      <c r="P166" s="175" t="s">
        <v>720</v>
      </c>
      <c r="Q166" s="175" t="s">
        <v>1201</v>
      </c>
      <c r="R166" s="175" t="s">
        <v>339</v>
      </c>
      <c r="S166" s="175" t="s">
        <v>22</v>
      </c>
      <c r="T166" s="175" t="s">
        <v>337</v>
      </c>
      <c r="U166" s="176">
        <v>14</v>
      </c>
      <c r="V166" s="176">
        <v>150</v>
      </c>
      <c r="W166" s="176">
        <v>8</v>
      </c>
      <c r="X166" s="179">
        <f t="shared" si="33"/>
        <v>158</v>
      </c>
      <c r="Y166" s="176">
        <v>4</v>
      </c>
      <c r="Z166" s="176" t="s">
        <v>20</v>
      </c>
      <c r="AA166" s="176" t="s">
        <v>18</v>
      </c>
      <c r="AB166" s="185" t="s">
        <v>18</v>
      </c>
      <c r="AC166" s="186" t="s">
        <v>21</v>
      </c>
      <c r="AD166" s="181" t="s">
        <v>1878</v>
      </c>
      <c r="AE166" s="179" t="s">
        <v>18</v>
      </c>
      <c r="AF166" s="191"/>
      <c r="AG166" s="175" t="s">
        <v>1173</v>
      </c>
      <c r="AH166" s="179">
        <f t="shared" si="25"/>
        <v>40</v>
      </c>
      <c r="AI166" s="179">
        <f>VLOOKUP(K166,[1]TRAMO!$A:$B,2,0)</f>
        <v>2</v>
      </c>
      <c r="AJ166" s="183">
        <f t="shared" si="26"/>
        <v>6372</v>
      </c>
      <c r="AK166" s="179">
        <f t="shared" si="27"/>
        <v>39.5</v>
      </c>
      <c r="AL166" s="183">
        <v>0</v>
      </c>
      <c r="AM166" s="183">
        <f t="shared" si="34"/>
        <v>2240000</v>
      </c>
      <c r="AN166" s="183">
        <f t="shared" si="28"/>
        <v>0</v>
      </c>
      <c r="AO166" s="183">
        <f t="shared" si="29"/>
        <v>0</v>
      </c>
      <c r="AP166" s="183">
        <f t="shared" si="30"/>
        <v>14094864</v>
      </c>
      <c r="AR166" s="183">
        <f t="shared" si="31"/>
        <v>0</v>
      </c>
      <c r="AS166" s="183">
        <f t="shared" si="32"/>
        <v>16334864</v>
      </c>
      <c r="AT166" s="175" t="s">
        <v>1875</v>
      </c>
      <c r="AU166" s="175" t="s">
        <v>1876</v>
      </c>
      <c r="AV166" s="175" t="s">
        <v>1879</v>
      </c>
      <c r="AW166" s="175" t="s">
        <v>1020</v>
      </c>
    </row>
    <row r="167" spans="1:49" ht="24.95" customHeight="1" x14ac:dyDescent="0.25">
      <c r="A167" s="175">
        <v>14369</v>
      </c>
      <c r="B167" s="175" t="s">
        <v>83</v>
      </c>
      <c r="C167" s="175" t="s">
        <v>1022</v>
      </c>
      <c r="D167" s="176">
        <v>1</v>
      </c>
      <c r="E167" s="176">
        <v>2025</v>
      </c>
      <c r="F167" s="176">
        <v>2025</v>
      </c>
      <c r="G167" s="175" t="s">
        <v>23</v>
      </c>
      <c r="H167" s="175" t="s">
        <v>83</v>
      </c>
      <c r="I167" s="175" t="s">
        <v>102</v>
      </c>
      <c r="J167" s="177" t="s">
        <v>1032</v>
      </c>
      <c r="K167" s="175" t="s">
        <v>1033</v>
      </c>
      <c r="L167" s="175" t="s">
        <v>21</v>
      </c>
      <c r="M167" s="175" t="s">
        <v>21</v>
      </c>
      <c r="N167" s="175">
        <v>13</v>
      </c>
      <c r="O167" s="175" t="s">
        <v>382</v>
      </c>
      <c r="P167" s="175" t="s">
        <v>714</v>
      </c>
      <c r="Q167" s="175" t="s">
        <v>1201</v>
      </c>
      <c r="R167" s="175" t="s">
        <v>339</v>
      </c>
      <c r="S167" s="175" t="s">
        <v>19</v>
      </c>
      <c r="T167" s="175" t="s">
        <v>337</v>
      </c>
      <c r="U167" s="176">
        <v>20</v>
      </c>
      <c r="V167" s="176">
        <v>120</v>
      </c>
      <c r="W167" s="176" t="s">
        <v>21</v>
      </c>
      <c r="X167" s="179">
        <f t="shared" si="33"/>
        <v>120</v>
      </c>
      <c r="Y167" s="176">
        <v>5</v>
      </c>
      <c r="Z167" s="176" t="s">
        <v>20</v>
      </c>
      <c r="AA167" s="176" t="s">
        <v>18</v>
      </c>
      <c r="AB167" s="185" t="s">
        <v>18</v>
      </c>
      <c r="AC167" s="186" t="s">
        <v>21</v>
      </c>
      <c r="AD167" s="181" t="s">
        <v>1880</v>
      </c>
      <c r="AE167" s="179" t="s">
        <v>18</v>
      </c>
      <c r="AF167" s="191"/>
      <c r="AG167" s="175" t="s">
        <v>1173</v>
      </c>
      <c r="AH167" s="179">
        <f t="shared" si="25"/>
        <v>24</v>
      </c>
      <c r="AI167" s="179">
        <f>VLOOKUP(K167,[1]TRAMO!$A:$B,2,0)</f>
        <v>2</v>
      </c>
      <c r="AJ167" s="183">
        <f t="shared" si="26"/>
        <v>6372</v>
      </c>
      <c r="AK167" s="179">
        <f t="shared" si="27"/>
        <v>24</v>
      </c>
      <c r="AL167" s="183">
        <v>0</v>
      </c>
      <c r="AM167" s="183">
        <f t="shared" si="34"/>
        <v>1920000</v>
      </c>
      <c r="AN167" s="183">
        <f t="shared" si="28"/>
        <v>0</v>
      </c>
      <c r="AO167" s="183">
        <f t="shared" si="29"/>
        <v>0</v>
      </c>
      <c r="AP167" s="183">
        <f t="shared" si="30"/>
        <v>15292800</v>
      </c>
      <c r="AR167" s="183">
        <f t="shared" si="31"/>
        <v>0</v>
      </c>
      <c r="AS167" s="183">
        <f t="shared" si="32"/>
        <v>17212800</v>
      </c>
      <c r="AT167" s="175" t="s">
        <v>1535</v>
      </c>
      <c r="AU167" s="175" t="s">
        <v>1536</v>
      </c>
      <c r="AV167" s="175" t="s">
        <v>1537</v>
      </c>
      <c r="AW167" s="175" t="s">
        <v>1538</v>
      </c>
    </row>
    <row r="168" spans="1:49" ht="24.95" customHeight="1" x14ac:dyDescent="0.25">
      <c r="A168" s="175">
        <v>14347</v>
      </c>
      <c r="B168" s="175" t="s">
        <v>86</v>
      </c>
      <c r="C168" s="175" t="s">
        <v>29</v>
      </c>
      <c r="D168" s="176">
        <v>1</v>
      </c>
      <c r="E168" s="176">
        <v>2025</v>
      </c>
      <c r="F168" s="176">
        <v>2025</v>
      </c>
      <c r="G168" s="175" t="s">
        <v>23</v>
      </c>
      <c r="H168" s="175" t="s">
        <v>86</v>
      </c>
      <c r="I168" s="175" t="s">
        <v>105</v>
      </c>
      <c r="J168" s="177" t="s">
        <v>1881</v>
      </c>
      <c r="K168" s="175" t="s">
        <v>1882</v>
      </c>
      <c r="L168" s="175" t="s">
        <v>21</v>
      </c>
      <c r="M168" s="175" t="s">
        <v>21</v>
      </c>
      <c r="N168" s="175">
        <v>3</v>
      </c>
      <c r="O168" s="175" t="s">
        <v>751</v>
      </c>
      <c r="P168" s="175" t="s">
        <v>839</v>
      </c>
      <c r="Q168" s="175" t="s">
        <v>1504</v>
      </c>
      <c r="R168" s="175" t="s">
        <v>339</v>
      </c>
      <c r="S168" s="175" t="s">
        <v>22</v>
      </c>
      <c r="T168" s="175" t="s">
        <v>337</v>
      </c>
      <c r="U168" s="176">
        <v>10</v>
      </c>
      <c r="V168" s="176">
        <v>100</v>
      </c>
      <c r="W168" s="176" t="s">
        <v>21</v>
      </c>
      <c r="X168" s="179">
        <f t="shared" si="33"/>
        <v>100</v>
      </c>
      <c r="Y168" s="176">
        <v>4</v>
      </c>
      <c r="Z168" s="176" t="s">
        <v>20</v>
      </c>
      <c r="AA168" s="176" t="s">
        <v>18</v>
      </c>
      <c r="AB168" s="185" t="s">
        <v>18</v>
      </c>
      <c r="AC168" s="186" t="s">
        <v>21</v>
      </c>
      <c r="AD168" s="181" t="s">
        <v>1883</v>
      </c>
      <c r="AE168" s="179" t="s">
        <v>18</v>
      </c>
      <c r="AF168" s="191"/>
      <c r="AG168" s="175" t="s">
        <v>1173</v>
      </c>
      <c r="AH168" s="179">
        <f t="shared" si="25"/>
        <v>25</v>
      </c>
      <c r="AI168" s="179">
        <f>VLOOKUP(K168,[1]TRAMO!$A:$B,2,0)</f>
        <v>2</v>
      </c>
      <c r="AJ168" s="183">
        <f t="shared" si="26"/>
        <v>6372</v>
      </c>
      <c r="AK168" s="179">
        <f t="shared" si="27"/>
        <v>25</v>
      </c>
      <c r="AL168" s="183">
        <v>0</v>
      </c>
      <c r="AM168" s="183">
        <f t="shared" si="34"/>
        <v>1000000</v>
      </c>
      <c r="AN168" s="183">
        <f t="shared" si="28"/>
        <v>0</v>
      </c>
      <c r="AO168" s="183">
        <f t="shared" si="29"/>
        <v>0</v>
      </c>
      <c r="AP168" s="183">
        <f t="shared" si="30"/>
        <v>6372000</v>
      </c>
      <c r="AR168" s="183">
        <f t="shared" si="31"/>
        <v>0</v>
      </c>
      <c r="AS168" s="183">
        <f t="shared" si="32"/>
        <v>7372000</v>
      </c>
      <c r="AT168" s="175" t="s">
        <v>1506</v>
      </c>
      <c r="AU168" s="175" t="s">
        <v>1507</v>
      </c>
      <c r="AV168" s="175" t="s">
        <v>1508</v>
      </c>
      <c r="AW168" s="175" t="s">
        <v>1767</v>
      </c>
    </row>
    <row r="169" spans="1:49" ht="24.95" customHeight="1" x14ac:dyDescent="0.25">
      <c r="A169" s="175">
        <v>14349</v>
      </c>
      <c r="B169" s="175" t="s">
        <v>86</v>
      </c>
      <c r="C169" s="175" t="s">
        <v>29</v>
      </c>
      <c r="D169" s="176">
        <v>1</v>
      </c>
      <c r="E169" s="176">
        <v>2025</v>
      </c>
      <c r="F169" s="176">
        <v>2025</v>
      </c>
      <c r="G169" s="175" t="s">
        <v>23</v>
      </c>
      <c r="H169" s="175" t="s">
        <v>86</v>
      </c>
      <c r="I169" s="175" t="s">
        <v>105</v>
      </c>
      <c r="J169" s="177" t="s">
        <v>1881</v>
      </c>
      <c r="K169" s="175" t="s">
        <v>1882</v>
      </c>
      <c r="L169" s="175" t="s">
        <v>21</v>
      </c>
      <c r="M169" s="175" t="s">
        <v>21</v>
      </c>
      <c r="N169" s="175">
        <v>4</v>
      </c>
      <c r="O169" s="175" t="s">
        <v>415</v>
      </c>
      <c r="P169" s="175" t="s">
        <v>427</v>
      </c>
      <c r="Q169" s="175" t="s">
        <v>1504</v>
      </c>
      <c r="R169" s="175" t="s">
        <v>339</v>
      </c>
      <c r="S169" s="175" t="s">
        <v>22</v>
      </c>
      <c r="T169" s="175" t="s">
        <v>337</v>
      </c>
      <c r="U169" s="176">
        <v>10</v>
      </c>
      <c r="V169" s="176">
        <v>100</v>
      </c>
      <c r="W169" s="176" t="s">
        <v>21</v>
      </c>
      <c r="X169" s="179">
        <f t="shared" si="33"/>
        <v>100</v>
      </c>
      <c r="Y169" s="176">
        <v>4</v>
      </c>
      <c r="Z169" s="176" t="s">
        <v>20</v>
      </c>
      <c r="AA169" s="176" t="s">
        <v>18</v>
      </c>
      <c r="AB169" s="185" t="s">
        <v>18</v>
      </c>
      <c r="AC169" s="186" t="s">
        <v>21</v>
      </c>
      <c r="AD169" s="181" t="s">
        <v>1884</v>
      </c>
      <c r="AE169" s="179" t="s">
        <v>18</v>
      </c>
      <c r="AF169" s="191"/>
      <c r="AG169" s="175" t="s">
        <v>1173</v>
      </c>
      <c r="AH169" s="179">
        <f t="shared" si="25"/>
        <v>25</v>
      </c>
      <c r="AI169" s="179">
        <f>VLOOKUP(K169,[1]TRAMO!$A:$B,2,0)</f>
        <v>2</v>
      </c>
      <c r="AJ169" s="183">
        <f t="shared" si="26"/>
        <v>6372</v>
      </c>
      <c r="AK169" s="179">
        <f t="shared" si="27"/>
        <v>25</v>
      </c>
      <c r="AL169" s="183">
        <v>0</v>
      </c>
      <c r="AM169" s="183">
        <f t="shared" si="34"/>
        <v>1000000</v>
      </c>
      <c r="AN169" s="183">
        <f t="shared" si="28"/>
        <v>0</v>
      </c>
      <c r="AO169" s="183">
        <f t="shared" si="29"/>
        <v>0</v>
      </c>
      <c r="AP169" s="183">
        <f t="shared" si="30"/>
        <v>6372000</v>
      </c>
      <c r="AR169" s="183">
        <f t="shared" si="31"/>
        <v>0</v>
      </c>
      <c r="AS169" s="183">
        <f t="shared" si="32"/>
        <v>7372000</v>
      </c>
      <c r="AT169" s="175" t="s">
        <v>1506</v>
      </c>
      <c r="AU169" s="175" t="s">
        <v>1507</v>
      </c>
      <c r="AV169" s="175" t="s">
        <v>1508</v>
      </c>
      <c r="AW169" s="175" t="s">
        <v>1767</v>
      </c>
    </row>
    <row r="170" spans="1:49" ht="24.95" customHeight="1" x14ac:dyDescent="0.25">
      <c r="A170" s="175">
        <v>14354</v>
      </c>
      <c r="B170" s="175" t="s">
        <v>86</v>
      </c>
      <c r="C170" s="175" t="s">
        <v>29</v>
      </c>
      <c r="D170" s="176">
        <v>1</v>
      </c>
      <c r="E170" s="176">
        <v>2025</v>
      </c>
      <c r="F170" s="176">
        <v>2025</v>
      </c>
      <c r="G170" s="175" t="s">
        <v>23</v>
      </c>
      <c r="H170" s="175" t="s">
        <v>86</v>
      </c>
      <c r="I170" s="175" t="s">
        <v>105</v>
      </c>
      <c r="J170" s="177" t="s">
        <v>1881</v>
      </c>
      <c r="K170" s="175" t="s">
        <v>1882</v>
      </c>
      <c r="L170" s="175" t="s">
        <v>21</v>
      </c>
      <c r="M170" s="175" t="s">
        <v>21</v>
      </c>
      <c r="N170" s="175">
        <v>6</v>
      </c>
      <c r="O170" s="175" t="s">
        <v>796</v>
      </c>
      <c r="P170" s="175" t="s">
        <v>858</v>
      </c>
      <c r="Q170" s="175" t="s">
        <v>1504</v>
      </c>
      <c r="R170" s="175" t="s">
        <v>339</v>
      </c>
      <c r="S170" s="175" t="s">
        <v>22</v>
      </c>
      <c r="T170" s="175" t="s">
        <v>337</v>
      </c>
      <c r="U170" s="176">
        <v>10</v>
      </c>
      <c r="V170" s="176">
        <v>100</v>
      </c>
      <c r="W170" s="176" t="s">
        <v>21</v>
      </c>
      <c r="X170" s="179">
        <f t="shared" si="33"/>
        <v>100</v>
      </c>
      <c r="Y170" s="176">
        <v>4</v>
      </c>
      <c r="Z170" s="176" t="s">
        <v>20</v>
      </c>
      <c r="AA170" s="176" t="s">
        <v>18</v>
      </c>
      <c r="AB170" s="185" t="s">
        <v>18</v>
      </c>
      <c r="AC170" s="186" t="s">
        <v>21</v>
      </c>
      <c r="AD170" s="181" t="s">
        <v>1781</v>
      </c>
      <c r="AE170" s="179" t="s">
        <v>18</v>
      </c>
      <c r="AF170" s="191"/>
      <c r="AG170" s="175" t="s">
        <v>1173</v>
      </c>
      <c r="AH170" s="179">
        <f t="shared" si="25"/>
        <v>25</v>
      </c>
      <c r="AI170" s="179">
        <f>VLOOKUP(K170,[1]TRAMO!$A:$B,2,0)</f>
        <v>2</v>
      </c>
      <c r="AJ170" s="183">
        <f t="shared" si="26"/>
        <v>6372</v>
      </c>
      <c r="AK170" s="179">
        <f t="shared" si="27"/>
        <v>25</v>
      </c>
      <c r="AL170" s="183">
        <v>0</v>
      </c>
      <c r="AM170" s="183">
        <f t="shared" si="34"/>
        <v>1000000</v>
      </c>
      <c r="AN170" s="183">
        <f t="shared" si="28"/>
        <v>0</v>
      </c>
      <c r="AO170" s="183">
        <f t="shared" si="29"/>
        <v>0</v>
      </c>
      <c r="AP170" s="183">
        <f t="shared" si="30"/>
        <v>6372000</v>
      </c>
      <c r="AR170" s="183">
        <f t="shared" si="31"/>
        <v>0</v>
      </c>
      <c r="AS170" s="183">
        <f t="shared" si="32"/>
        <v>7372000</v>
      </c>
      <c r="AT170" s="175" t="s">
        <v>1506</v>
      </c>
      <c r="AU170" s="175" t="s">
        <v>1507</v>
      </c>
      <c r="AV170" s="175" t="s">
        <v>1508</v>
      </c>
      <c r="AW170" s="175" t="s">
        <v>1767</v>
      </c>
    </row>
    <row r="171" spans="1:49" ht="24.95" customHeight="1" x14ac:dyDescent="0.25">
      <c r="A171" s="175">
        <v>14414</v>
      </c>
      <c r="B171" s="175" t="s">
        <v>86</v>
      </c>
      <c r="C171" s="175" t="s">
        <v>29</v>
      </c>
      <c r="D171" s="176">
        <v>1</v>
      </c>
      <c r="E171" s="176">
        <v>2025</v>
      </c>
      <c r="F171" s="176">
        <v>2025</v>
      </c>
      <c r="G171" s="175" t="s">
        <v>23</v>
      </c>
      <c r="H171" s="175" t="s">
        <v>86</v>
      </c>
      <c r="I171" s="175" t="s">
        <v>105</v>
      </c>
      <c r="J171" s="177" t="s">
        <v>1881</v>
      </c>
      <c r="K171" s="175" t="s">
        <v>1882</v>
      </c>
      <c r="L171" s="175" t="s">
        <v>21</v>
      </c>
      <c r="M171" s="175" t="s">
        <v>21</v>
      </c>
      <c r="N171" s="175">
        <v>8</v>
      </c>
      <c r="O171" s="175" t="s">
        <v>709</v>
      </c>
      <c r="P171" s="175" t="s">
        <v>755</v>
      </c>
      <c r="Q171" s="175" t="s">
        <v>1504</v>
      </c>
      <c r="R171" s="175" t="s">
        <v>339</v>
      </c>
      <c r="S171" s="175" t="s">
        <v>22</v>
      </c>
      <c r="T171" s="175" t="s">
        <v>337</v>
      </c>
      <c r="U171" s="176">
        <v>10</v>
      </c>
      <c r="V171" s="176">
        <v>100</v>
      </c>
      <c r="W171" s="176" t="s">
        <v>21</v>
      </c>
      <c r="X171" s="179">
        <f t="shared" si="33"/>
        <v>100</v>
      </c>
      <c r="Y171" s="176">
        <v>4</v>
      </c>
      <c r="Z171" s="176" t="s">
        <v>20</v>
      </c>
      <c r="AA171" s="176" t="s">
        <v>18</v>
      </c>
      <c r="AB171" s="185" t="s">
        <v>18</v>
      </c>
      <c r="AC171" s="186" t="s">
        <v>21</v>
      </c>
      <c r="AD171" s="181" t="s">
        <v>1781</v>
      </c>
      <c r="AE171" s="179" t="s">
        <v>18</v>
      </c>
      <c r="AF171" s="191"/>
      <c r="AG171" s="175" t="s">
        <v>1173</v>
      </c>
      <c r="AH171" s="179">
        <f t="shared" si="25"/>
        <v>25</v>
      </c>
      <c r="AI171" s="179">
        <f>VLOOKUP(K171,[1]TRAMO!$A:$B,2,0)</f>
        <v>2</v>
      </c>
      <c r="AJ171" s="183">
        <f t="shared" si="26"/>
        <v>6372</v>
      </c>
      <c r="AK171" s="179">
        <f t="shared" si="27"/>
        <v>25</v>
      </c>
      <c r="AL171" s="183">
        <v>0</v>
      </c>
      <c r="AM171" s="183">
        <f t="shared" si="34"/>
        <v>1000000</v>
      </c>
      <c r="AN171" s="183">
        <f t="shared" si="28"/>
        <v>0</v>
      </c>
      <c r="AO171" s="183">
        <f t="shared" si="29"/>
        <v>0</v>
      </c>
      <c r="AP171" s="183">
        <f t="shared" si="30"/>
        <v>6372000</v>
      </c>
      <c r="AR171" s="183">
        <f t="shared" si="31"/>
        <v>0</v>
      </c>
      <c r="AS171" s="183">
        <f t="shared" si="32"/>
        <v>7372000</v>
      </c>
      <c r="AT171" s="175" t="s">
        <v>1506</v>
      </c>
      <c r="AU171" s="175" t="s">
        <v>1507</v>
      </c>
      <c r="AV171" s="175" t="s">
        <v>1508</v>
      </c>
      <c r="AW171" s="175" t="s">
        <v>1509</v>
      </c>
    </row>
    <row r="172" spans="1:49" ht="24.95" customHeight="1" x14ac:dyDescent="0.25">
      <c r="A172" s="175">
        <v>14483</v>
      </c>
      <c r="B172" s="175" t="s">
        <v>98</v>
      </c>
      <c r="C172" s="175" t="s">
        <v>41</v>
      </c>
      <c r="D172" s="176">
        <v>1</v>
      </c>
      <c r="E172" s="176">
        <v>2025</v>
      </c>
      <c r="F172" s="176">
        <v>2025</v>
      </c>
      <c r="G172" s="175" t="s">
        <v>23</v>
      </c>
      <c r="H172" s="175" t="s">
        <v>98</v>
      </c>
      <c r="I172" s="175" t="s">
        <v>1175</v>
      </c>
      <c r="J172" s="177" t="s">
        <v>1885</v>
      </c>
      <c r="K172" s="175" t="s">
        <v>1886</v>
      </c>
      <c r="L172" s="175" t="s">
        <v>21</v>
      </c>
      <c r="M172" s="175" t="s">
        <v>21</v>
      </c>
      <c r="N172" s="175">
        <v>13</v>
      </c>
      <c r="O172" s="175" t="s">
        <v>382</v>
      </c>
      <c r="P172" s="175" t="s">
        <v>1887</v>
      </c>
      <c r="Q172" s="175" t="s">
        <v>841</v>
      </c>
      <c r="R172" s="175" t="s">
        <v>339</v>
      </c>
      <c r="S172" s="175" t="s">
        <v>19</v>
      </c>
      <c r="T172" s="175" t="s">
        <v>347</v>
      </c>
      <c r="U172" s="176">
        <v>15</v>
      </c>
      <c r="V172" s="176">
        <v>130</v>
      </c>
      <c r="W172" s="176" t="s">
        <v>21</v>
      </c>
      <c r="X172" s="179">
        <f t="shared" si="33"/>
        <v>130</v>
      </c>
      <c r="Y172" s="176">
        <v>4</v>
      </c>
      <c r="Z172" s="176" t="s">
        <v>20</v>
      </c>
      <c r="AA172" s="176" t="s">
        <v>18</v>
      </c>
      <c r="AB172" s="185" t="s">
        <v>18</v>
      </c>
      <c r="AC172" s="186" t="s">
        <v>21</v>
      </c>
      <c r="AD172" s="181" t="s">
        <v>1888</v>
      </c>
      <c r="AE172" s="179" t="s">
        <v>18</v>
      </c>
      <c r="AF172" s="191"/>
      <c r="AG172" s="175" t="s">
        <v>1173</v>
      </c>
      <c r="AH172" s="179">
        <f t="shared" si="25"/>
        <v>33</v>
      </c>
      <c r="AI172" s="179">
        <v>1</v>
      </c>
      <c r="AJ172" s="183">
        <f t="shared" si="26"/>
        <v>5074</v>
      </c>
      <c r="AK172" s="179">
        <f t="shared" si="27"/>
        <v>32.5</v>
      </c>
      <c r="AL172" s="183">
        <v>0</v>
      </c>
      <c r="AM172" s="183">
        <f t="shared" si="34"/>
        <v>1980000</v>
      </c>
      <c r="AN172" s="183">
        <f t="shared" si="28"/>
        <v>0</v>
      </c>
      <c r="AO172" s="183">
        <f t="shared" si="29"/>
        <v>0</v>
      </c>
      <c r="AP172" s="183">
        <f t="shared" si="30"/>
        <v>9894300</v>
      </c>
      <c r="AR172" s="183">
        <f t="shared" si="31"/>
        <v>0</v>
      </c>
      <c r="AS172" s="183">
        <f t="shared" si="32"/>
        <v>11874300</v>
      </c>
      <c r="AT172" s="175" t="s">
        <v>1694</v>
      </c>
      <c r="AU172" s="175" t="s">
        <v>1695</v>
      </c>
      <c r="AV172" s="175" t="s">
        <v>1696</v>
      </c>
      <c r="AW172" s="175" t="s">
        <v>1039</v>
      </c>
    </row>
    <row r="173" spans="1:49" ht="24.95" customHeight="1" x14ac:dyDescent="0.25">
      <c r="A173" s="175">
        <v>14392</v>
      </c>
      <c r="B173" s="175" t="s">
        <v>98</v>
      </c>
      <c r="C173" s="175" t="s">
        <v>41</v>
      </c>
      <c r="D173" s="176">
        <v>1</v>
      </c>
      <c r="E173" s="176">
        <v>2025</v>
      </c>
      <c r="F173" s="176">
        <v>2025</v>
      </c>
      <c r="G173" s="175" t="s">
        <v>23</v>
      </c>
      <c r="H173" s="175" t="s">
        <v>98</v>
      </c>
      <c r="I173" s="175" t="s">
        <v>1175</v>
      </c>
      <c r="J173" s="177" t="s">
        <v>1889</v>
      </c>
      <c r="K173" s="175" t="s">
        <v>1890</v>
      </c>
      <c r="L173" s="175" t="s">
        <v>21</v>
      </c>
      <c r="M173" s="175" t="s">
        <v>21</v>
      </c>
      <c r="N173" s="175">
        <v>5</v>
      </c>
      <c r="O173" s="175" t="s">
        <v>395</v>
      </c>
      <c r="P173" s="175" t="s">
        <v>1007</v>
      </c>
      <c r="Q173" s="175" t="s">
        <v>409</v>
      </c>
      <c r="R173" s="175" t="s">
        <v>339</v>
      </c>
      <c r="S173" s="175" t="s">
        <v>22</v>
      </c>
      <c r="T173" s="175" t="s">
        <v>713</v>
      </c>
      <c r="U173" s="176">
        <v>12</v>
      </c>
      <c r="V173" s="176">
        <v>136</v>
      </c>
      <c r="W173" s="176" t="s">
        <v>21</v>
      </c>
      <c r="X173" s="179">
        <f t="shared" si="33"/>
        <v>136</v>
      </c>
      <c r="Y173" s="176">
        <v>5</v>
      </c>
      <c r="Z173" s="176" t="s">
        <v>20</v>
      </c>
      <c r="AA173" s="176" t="s">
        <v>18</v>
      </c>
      <c r="AB173" s="185" t="s">
        <v>18</v>
      </c>
      <c r="AC173" s="186" t="s">
        <v>21</v>
      </c>
      <c r="AD173" s="181" t="s">
        <v>1891</v>
      </c>
      <c r="AE173" s="179" t="s">
        <v>18</v>
      </c>
      <c r="AF173" s="191"/>
      <c r="AG173" s="175" t="s">
        <v>1173</v>
      </c>
      <c r="AH173" s="179">
        <f t="shared" si="25"/>
        <v>28</v>
      </c>
      <c r="AI173" s="179">
        <v>1</v>
      </c>
      <c r="AJ173" s="183">
        <f t="shared" si="26"/>
        <v>5074</v>
      </c>
      <c r="AK173" s="179">
        <f t="shared" si="27"/>
        <v>27.2</v>
      </c>
      <c r="AL173" s="183">
        <v>0</v>
      </c>
      <c r="AM173" s="183">
        <f t="shared" si="34"/>
        <v>1344000</v>
      </c>
      <c r="AN173" s="183">
        <f t="shared" si="28"/>
        <v>0</v>
      </c>
      <c r="AO173" s="183">
        <f t="shared" si="29"/>
        <v>0</v>
      </c>
      <c r="AP173" s="183">
        <f t="shared" si="30"/>
        <v>8280768</v>
      </c>
      <c r="AR173" s="183">
        <f t="shared" si="31"/>
        <v>0</v>
      </c>
      <c r="AS173" s="183">
        <f t="shared" si="32"/>
        <v>9624768</v>
      </c>
      <c r="AT173" s="175" t="s">
        <v>1708</v>
      </c>
      <c r="AU173" s="175" t="s">
        <v>1709</v>
      </c>
      <c r="AV173" s="175" t="s">
        <v>1710</v>
      </c>
      <c r="AW173" s="175" t="s">
        <v>1711</v>
      </c>
    </row>
    <row r="174" spans="1:49" ht="24.95" customHeight="1" x14ac:dyDescent="0.25">
      <c r="A174" s="175">
        <v>14388</v>
      </c>
      <c r="B174" s="175" t="s">
        <v>98</v>
      </c>
      <c r="C174" s="175" t="s">
        <v>41</v>
      </c>
      <c r="D174" s="176">
        <v>1</v>
      </c>
      <c r="E174" s="176">
        <v>2025</v>
      </c>
      <c r="F174" s="176">
        <v>2025</v>
      </c>
      <c r="G174" s="175" t="s">
        <v>23</v>
      </c>
      <c r="H174" s="175" t="s">
        <v>98</v>
      </c>
      <c r="I174" s="175" t="s">
        <v>1175</v>
      </c>
      <c r="J174" s="177" t="s">
        <v>1185</v>
      </c>
      <c r="K174" s="175" t="s">
        <v>1186</v>
      </c>
      <c r="L174" s="175" t="s">
        <v>21</v>
      </c>
      <c r="M174" s="175" t="s">
        <v>21</v>
      </c>
      <c r="N174" s="175">
        <v>13</v>
      </c>
      <c r="O174" s="175" t="s">
        <v>382</v>
      </c>
      <c r="P174" s="175" t="s">
        <v>724</v>
      </c>
      <c r="Q174" s="175" t="s">
        <v>1178</v>
      </c>
      <c r="R174" s="175" t="s">
        <v>339</v>
      </c>
      <c r="S174" s="175" t="s">
        <v>22</v>
      </c>
      <c r="T174" s="175" t="s">
        <v>348</v>
      </c>
      <c r="U174" s="176">
        <v>16</v>
      </c>
      <c r="V174" s="176">
        <v>80</v>
      </c>
      <c r="W174" s="176" t="s">
        <v>21</v>
      </c>
      <c r="X174" s="179">
        <f t="shared" si="33"/>
        <v>80</v>
      </c>
      <c r="Y174" s="176">
        <v>4</v>
      </c>
      <c r="Z174" s="176" t="s">
        <v>20</v>
      </c>
      <c r="AA174" s="176" t="s">
        <v>18</v>
      </c>
      <c r="AB174" s="185" t="s">
        <v>18</v>
      </c>
      <c r="AC174" s="186" t="s">
        <v>21</v>
      </c>
      <c r="AD174" s="181" t="s">
        <v>1179</v>
      </c>
      <c r="AE174" s="179" t="s">
        <v>18</v>
      </c>
      <c r="AF174" s="191"/>
      <c r="AG174" s="175" t="s">
        <v>1173</v>
      </c>
      <c r="AH174" s="179">
        <f t="shared" si="25"/>
        <v>20</v>
      </c>
      <c r="AI174" s="179">
        <v>1</v>
      </c>
      <c r="AJ174" s="183">
        <f t="shared" si="26"/>
        <v>5074</v>
      </c>
      <c r="AK174" s="179">
        <f t="shared" si="27"/>
        <v>20</v>
      </c>
      <c r="AL174" s="183">
        <v>0</v>
      </c>
      <c r="AM174" s="183">
        <f t="shared" si="34"/>
        <v>1280000</v>
      </c>
      <c r="AN174" s="183">
        <f t="shared" si="28"/>
        <v>0</v>
      </c>
      <c r="AO174" s="183">
        <f t="shared" si="29"/>
        <v>0</v>
      </c>
      <c r="AP174" s="183">
        <f t="shared" si="30"/>
        <v>6494720</v>
      </c>
      <c r="AR174" s="183">
        <f t="shared" si="31"/>
        <v>0</v>
      </c>
      <c r="AS174" s="183">
        <f t="shared" si="32"/>
        <v>7774720</v>
      </c>
      <c r="AT174" s="175" t="s">
        <v>1515</v>
      </c>
      <c r="AU174" s="175" t="s">
        <v>1516</v>
      </c>
      <c r="AV174" s="175" t="s">
        <v>1347</v>
      </c>
      <c r="AW174" s="175" t="s">
        <v>1346</v>
      </c>
    </row>
    <row r="175" spans="1:49" ht="24.95" customHeight="1" x14ac:dyDescent="0.25">
      <c r="A175" s="175">
        <v>14503</v>
      </c>
      <c r="B175" s="175" t="s">
        <v>98</v>
      </c>
      <c r="C175" s="175" t="s">
        <v>41</v>
      </c>
      <c r="D175" s="176">
        <v>1</v>
      </c>
      <c r="E175" s="176">
        <v>2025</v>
      </c>
      <c r="F175" s="176">
        <v>2025</v>
      </c>
      <c r="G175" s="175" t="s">
        <v>23</v>
      </c>
      <c r="H175" s="175" t="s">
        <v>98</v>
      </c>
      <c r="I175" s="175" t="s">
        <v>1175</v>
      </c>
      <c r="J175" s="177" t="s">
        <v>1892</v>
      </c>
      <c r="K175" s="175" t="s">
        <v>1893</v>
      </c>
      <c r="L175" s="175" t="s">
        <v>21</v>
      </c>
      <c r="M175" s="175" t="s">
        <v>21</v>
      </c>
      <c r="N175" s="175">
        <v>10</v>
      </c>
      <c r="O175" s="175" t="s">
        <v>706</v>
      </c>
      <c r="P175" s="175" t="s">
        <v>1894</v>
      </c>
      <c r="Q175" s="175" t="s">
        <v>388</v>
      </c>
      <c r="R175" s="175" t="s">
        <v>339</v>
      </c>
      <c r="S175" s="175" t="s">
        <v>19</v>
      </c>
      <c r="T175" s="175" t="s">
        <v>347</v>
      </c>
      <c r="U175" s="176">
        <v>10</v>
      </c>
      <c r="V175" s="176">
        <v>72</v>
      </c>
      <c r="W175" s="176" t="s">
        <v>21</v>
      </c>
      <c r="X175" s="179">
        <f t="shared" si="33"/>
        <v>72</v>
      </c>
      <c r="Y175" s="176">
        <v>5</v>
      </c>
      <c r="Z175" s="176" t="s">
        <v>20</v>
      </c>
      <c r="AA175" s="176" t="s">
        <v>18</v>
      </c>
      <c r="AB175" s="185" t="s">
        <v>18</v>
      </c>
      <c r="AC175" s="186" t="s">
        <v>21</v>
      </c>
      <c r="AD175" s="181" t="s">
        <v>1895</v>
      </c>
      <c r="AE175" s="179" t="s">
        <v>18</v>
      </c>
      <c r="AF175" s="191"/>
      <c r="AG175" s="175" t="s">
        <v>1173</v>
      </c>
      <c r="AH175" s="179">
        <f t="shared" si="25"/>
        <v>15</v>
      </c>
      <c r="AI175" s="179">
        <f>VLOOKUP(K175,[1]TRAMO!$A:$B,2,0)</f>
        <v>2</v>
      </c>
      <c r="AJ175" s="183">
        <f t="shared" si="26"/>
        <v>6372</v>
      </c>
      <c r="AK175" s="179">
        <f t="shared" si="27"/>
        <v>14.4</v>
      </c>
      <c r="AL175" s="183">
        <v>0</v>
      </c>
      <c r="AM175" s="183">
        <f t="shared" si="34"/>
        <v>600000</v>
      </c>
      <c r="AN175" s="183">
        <f t="shared" si="28"/>
        <v>0</v>
      </c>
      <c r="AO175" s="183">
        <f t="shared" si="29"/>
        <v>0</v>
      </c>
      <c r="AP175" s="183">
        <f t="shared" si="30"/>
        <v>4587840</v>
      </c>
      <c r="AR175" s="183">
        <f t="shared" si="31"/>
        <v>0</v>
      </c>
      <c r="AS175" s="183">
        <f t="shared" si="32"/>
        <v>5187840</v>
      </c>
      <c r="AT175" s="175" t="s">
        <v>1588</v>
      </c>
      <c r="AU175" s="175" t="s">
        <v>1589</v>
      </c>
      <c r="AV175" s="175" t="s">
        <v>1896</v>
      </c>
      <c r="AW175" s="175" t="s">
        <v>1897</v>
      </c>
    </row>
    <row r="176" spans="1:49" ht="24.95" customHeight="1" x14ac:dyDescent="0.25">
      <c r="A176" s="175">
        <v>14377</v>
      </c>
      <c r="B176" s="175" t="s">
        <v>83</v>
      </c>
      <c r="C176" s="175" t="s">
        <v>1022</v>
      </c>
      <c r="D176" s="176">
        <v>1</v>
      </c>
      <c r="E176" s="176">
        <v>2025</v>
      </c>
      <c r="F176" s="176">
        <v>2025</v>
      </c>
      <c r="G176" s="175" t="s">
        <v>23</v>
      </c>
      <c r="H176" s="175" t="s">
        <v>83</v>
      </c>
      <c r="I176" s="175" t="s">
        <v>102</v>
      </c>
      <c r="J176" s="177" t="s">
        <v>352</v>
      </c>
      <c r="K176" s="175" t="s">
        <v>351</v>
      </c>
      <c r="L176" s="175" t="s">
        <v>21</v>
      </c>
      <c r="M176" s="175" t="s">
        <v>21</v>
      </c>
      <c r="N176" s="175">
        <v>13</v>
      </c>
      <c r="O176" s="175" t="s">
        <v>382</v>
      </c>
      <c r="P176" s="175" t="s">
        <v>714</v>
      </c>
      <c r="Q176" s="175" t="s">
        <v>1201</v>
      </c>
      <c r="R176" s="175" t="s">
        <v>339</v>
      </c>
      <c r="S176" s="175" t="s">
        <v>19</v>
      </c>
      <c r="T176" s="175" t="s">
        <v>337</v>
      </c>
      <c r="U176" s="176">
        <v>20</v>
      </c>
      <c r="V176" s="176">
        <v>95</v>
      </c>
      <c r="W176" s="176" t="s">
        <v>21</v>
      </c>
      <c r="X176" s="179">
        <f t="shared" si="33"/>
        <v>95</v>
      </c>
      <c r="Y176" s="176">
        <v>5</v>
      </c>
      <c r="Z176" s="176" t="s">
        <v>20</v>
      </c>
      <c r="AA176" s="176" t="s">
        <v>18</v>
      </c>
      <c r="AB176" s="185" t="s">
        <v>18</v>
      </c>
      <c r="AC176" s="186" t="s">
        <v>21</v>
      </c>
      <c r="AD176" s="181" t="s">
        <v>1898</v>
      </c>
      <c r="AE176" s="179" t="s">
        <v>18</v>
      </c>
      <c r="AF176" s="191"/>
      <c r="AG176" s="175" t="s">
        <v>1173</v>
      </c>
      <c r="AH176" s="179">
        <f t="shared" si="25"/>
        <v>19</v>
      </c>
      <c r="AI176" s="179">
        <f>VLOOKUP(K176,[1]TRAMO!$A:$B,2,0)</f>
        <v>2</v>
      </c>
      <c r="AJ176" s="183">
        <f t="shared" si="26"/>
        <v>6372</v>
      </c>
      <c r="AK176" s="179">
        <f t="shared" si="27"/>
        <v>19</v>
      </c>
      <c r="AL176" s="183">
        <v>0</v>
      </c>
      <c r="AM176" s="183">
        <f t="shared" si="34"/>
        <v>1520000</v>
      </c>
      <c r="AN176" s="183">
        <f t="shared" si="28"/>
        <v>0</v>
      </c>
      <c r="AO176" s="183">
        <f t="shared" si="29"/>
        <v>0</v>
      </c>
      <c r="AP176" s="183">
        <f t="shared" si="30"/>
        <v>12106800</v>
      </c>
      <c r="AR176" s="183">
        <f t="shared" si="31"/>
        <v>0</v>
      </c>
      <c r="AS176" s="183">
        <f t="shared" si="32"/>
        <v>13626800</v>
      </c>
      <c r="AT176" s="175" t="s">
        <v>1535</v>
      </c>
      <c r="AU176" s="175" t="s">
        <v>1536</v>
      </c>
      <c r="AV176" s="175" t="s">
        <v>1537</v>
      </c>
      <c r="AW176" s="175" t="s">
        <v>1538</v>
      </c>
    </row>
    <row r="177" spans="1:49" ht="24.95" customHeight="1" x14ac:dyDescent="0.25">
      <c r="A177" s="175">
        <v>14346</v>
      </c>
      <c r="B177" s="175" t="s">
        <v>86</v>
      </c>
      <c r="C177" s="175" t="s">
        <v>29</v>
      </c>
      <c r="D177" s="176">
        <v>1</v>
      </c>
      <c r="E177" s="176">
        <v>2025</v>
      </c>
      <c r="F177" s="176">
        <v>2025</v>
      </c>
      <c r="G177" s="175" t="s">
        <v>23</v>
      </c>
      <c r="H177" s="175" t="s">
        <v>86</v>
      </c>
      <c r="I177" s="175" t="s">
        <v>105</v>
      </c>
      <c r="J177" s="177" t="s">
        <v>1899</v>
      </c>
      <c r="K177" s="175" t="s">
        <v>1900</v>
      </c>
      <c r="L177" s="175" t="s">
        <v>21</v>
      </c>
      <c r="M177" s="175" t="s">
        <v>21</v>
      </c>
      <c r="N177" s="175">
        <v>2</v>
      </c>
      <c r="O177" s="175" t="s">
        <v>798</v>
      </c>
      <c r="P177" s="175" t="s">
        <v>797</v>
      </c>
      <c r="Q177" s="175" t="s">
        <v>1504</v>
      </c>
      <c r="R177" s="175" t="s">
        <v>339</v>
      </c>
      <c r="S177" s="175" t="s">
        <v>22</v>
      </c>
      <c r="T177" s="175" t="s">
        <v>337</v>
      </c>
      <c r="U177" s="176">
        <v>10</v>
      </c>
      <c r="V177" s="176">
        <v>104</v>
      </c>
      <c r="W177" s="176" t="s">
        <v>21</v>
      </c>
      <c r="X177" s="179">
        <f t="shared" si="33"/>
        <v>104</v>
      </c>
      <c r="Y177" s="176">
        <v>4</v>
      </c>
      <c r="Z177" s="176" t="s">
        <v>20</v>
      </c>
      <c r="AA177" s="176" t="s">
        <v>18</v>
      </c>
      <c r="AB177" s="185" t="s">
        <v>18</v>
      </c>
      <c r="AC177" s="186" t="s">
        <v>21</v>
      </c>
      <c r="AD177" s="181" t="s">
        <v>1883</v>
      </c>
      <c r="AE177" s="179" t="s">
        <v>18</v>
      </c>
      <c r="AF177" s="191"/>
      <c r="AG177" s="175" t="s">
        <v>1173</v>
      </c>
      <c r="AH177" s="179">
        <f t="shared" si="25"/>
        <v>26</v>
      </c>
      <c r="AI177" s="179">
        <f>VLOOKUP(K177,[1]TRAMO!$A:$B,2,0)</f>
        <v>1</v>
      </c>
      <c r="AJ177" s="183">
        <f t="shared" si="26"/>
        <v>5074</v>
      </c>
      <c r="AK177" s="179">
        <f t="shared" si="27"/>
        <v>26</v>
      </c>
      <c r="AL177" s="183">
        <v>0</v>
      </c>
      <c r="AM177" s="183">
        <f t="shared" si="34"/>
        <v>1040000</v>
      </c>
      <c r="AN177" s="183">
        <f t="shared" si="28"/>
        <v>0</v>
      </c>
      <c r="AO177" s="183">
        <f t="shared" si="29"/>
        <v>0</v>
      </c>
      <c r="AP177" s="183">
        <f t="shared" si="30"/>
        <v>5276960</v>
      </c>
      <c r="AR177" s="183">
        <f t="shared" si="31"/>
        <v>0</v>
      </c>
      <c r="AS177" s="183">
        <f t="shared" si="32"/>
        <v>6316960</v>
      </c>
      <c r="AT177" s="175" t="s">
        <v>1765</v>
      </c>
      <c r="AU177" s="175" t="s">
        <v>1766</v>
      </c>
      <c r="AV177" s="175" t="s">
        <v>1508</v>
      </c>
      <c r="AW177" s="175" t="s">
        <v>1767</v>
      </c>
    </row>
    <row r="178" spans="1:49" ht="24.95" customHeight="1" x14ac:dyDescent="0.25">
      <c r="A178" s="175">
        <v>14285</v>
      </c>
      <c r="B178" s="175" t="s">
        <v>96</v>
      </c>
      <c r="C178" s="175" t="s">
        <v>39</v>
      </c>
      <c r="D178" s="176">
        <v>4</v>
      </c>
      <c r="E178" s="176">
        <v>2025</v>
      </c>
      <c r="F178" s="176">
        <v>2025</v>
      </c>
      <c r="G178" s="175" t="s">
        <v>23</v>
      </c>
      <c r="H178" s="175" t="s">
        <v>96</v>
      </c>
      <c r="I178" s="175" t="s">
        <v>1042</v>
      </c>
      <c r="J178" s="177" t="s">
        <v>1665</v>
      </c>
      <c r="K178" s="175" t="s">
        <v>1666</v>
      </c>
      <c r="L178" s="175" t="s">
        <v>21</v>
      </c>
      <c r="M178" s="175" t="s">
        <v>21</v>
      </c>
      <c r="N178" s="175">
        <v>14</v>
      </c>
      <c r="O178" s="175" t="s">
        <v>1722</v>
      </c>
      <c r="P178" s="175" t="s">
        <v>732</v>
      </c>
      <c r="Q178" s="175" t="s">
        <v>385</v>
      </c>
      <c r="R178" s="175" t="s">
        <v>339</v>
      </c>
      <c r="S178" s="175" t="s">
        <v>22</v>
      </c>
      <c r="T178" s="175" t="s">
        <v>337</v>
      </c>
      <c r="U178" s="176">
        <v>15</v>
      </c>
      <c r="V178" s="176">
        <v>72</v>
      </c>
      <c r="W178" s="176" t="s">
        <v>21</v>
      </c>
      <c r="X178" s="179">
        <f t="shared" si="33"/>
        <v>72</v>
      </c>
      <c r="Y178" s="176">
        <v>5</v>
      </c>
      <c r="Z178" s="176" t="s">
        <v>20</v>
      </c>
      <c r="AA178" s="176" t="s">
        <v>18</v>
      </c>
      <c r="AB178" s="185" t="s">
        <v>18</v>
      </c>
      <c r="AC178" s="186" t="s">
        <v>21</v>
      </c>
      <c r="AD178" s="181" t="s">
        <v>1901</v>
      </c>
      <c r="AE178" s="179" t="s">
        <v>18</v>
      </c>
      <c r="AF178" s="191"/>
      <c r="AG178" s="175" t="s">
        <v>1173</v>
      </c>
      <c r="AH178" s="179">
        <f t="shared" si="25"/>
        <v>15</v>
      </c>
      <c r="AI178" s="179">
        <f>VLOOKUP(K178,[1]TRAMO!$A:$B,2,0)</f>
        <v>3</v>
      </c>
      <c r="AJ178" s="183">
        <f t="shared" si="26"/>
        <v>7434</v>
      </c>
      <c r="AK178" s="179">
        <f t="shared" si="27"/>
        <v>14.4</v>
      </c>
      <c r="AL178" s="183">
        <v>0</v>
      </c>
      <c r="AM178" s="183">
        <f t="shared" si="34"/>
        <v>900000</v>
      </c>
      <c r="AN178" s="183">
        <f t="shared" si="28"/>
        <v>0</v>
      </c>
      <c r="AO178" s="183">
        <f t="shared" si="29"/>
        <v>0</v>
      </c>
      <c r="AP178" s="183">
        <f t="shared" si="30"/>
        <v>8028720</v>
      </c>
      <c r="AR178" s="183">
        <f t="shared" si="31"/>
        <v>0</v>
      </c>
      <c r="AS178" s="183">
        <f t="shared" si="32"/>
        <v>8928720</v>
      </c>
      <c r="AT178" s="175" t="s">
        <v>1818</v>
      </c>
      <c r="AU178" s="175" t="s">
        <v>1751</v>
      </c>
      <c r="AV178" s="175" t="s">
        <v>1856</v>
      </c>
      <c r="AW178" s="175" t="s">
        <v>1857</v>
      </c>
    </row>
    <row r="179" spans="1:49" ht="24.95" customHeight="1" x14ac:dyDescent="0.25">
      <c r="A179" s="175">
        <v>14289</v>
      </c>
      <c r="B179" s="175" t="s">
        <v>96</v>
      </c>
      <c r="C179" s="175" t="s">
        <v>39</v>
      </c>
      <c r="D179" s="176">
        <v>4</v>
      </c>
      <c r="E179" s="176">
        <v>2025</v>
      </c>
      <c r="F179" s="176">
        <v>2025</v>
      </c>
      <c r="G179" s="175" t="s">
        <v>23</v>
      </c>
      <c r="H179" s="175" t="s">
        <v>96</v>
      </c>
      <c r="I179" s="175" t="s">
        <v>1042</v>
      </c>
      <c r="J179" s="177" t="s">
        <v>1665</v>
      </c>
      <c r="K179" s="175" t="s">
        <v>1666</v>
      </c>
      <c r="L179" s="175" t="s">
        <v>21</v>
      </c>
      <c r="M179" s="175" t="s">
        <v>21</v>
      </c>
      <c r="N179" s="175">
        <v>12</v>
      </c>
      <c r="O179" s="175" t="s">
        <v>426</v>
      </c>
      <c r="P179" s="175" t="s">
        <v>1902</v>
      </c>
      <c r="Q179" s="175" t="s">
        <v>385</v>
      </c>
      <c r="R179" s="175" t="s">
        <v>339</v>
      </c>
      <c r="S179" s="175" t="s">
        <v>22</v>
      </c>
      <c r="T179" s="175" t="s">
        <v>337</v>
      </c>
      <c r="U179" s="176">
        <v>15</v>
      </c>
      <c r="V179" s="176">
        <v>72</v>
      </c>
      <c r="W179" s="176" t="s">
        <v>21</v>
      </c>
      <c r="X179" s="179">
        <f t="shared" si="33"/>
        <v>72</v>
      </c>
      <c r="Y179" s="176">
        <v>5</v>
      </c>
      <c r="Z179" s="176" t="s">
        <v>20</v>
      </c>
      <c r="AA179" s="176" t="s">
        <v>18</v>
      </c>
      <c r="AB179" s="185" t="s">
        <v>18</v>
      </c>
      <c r="AC179" s="186" t="s">
        <v>21</v>
      </c>
      <c r="AD179" s="181" t="s">
        <v>1903</v>
      </c>
      <c r="AE179" s="179" t="s">
        <v>18</v>
      </c>
      <c r="AF179" s="191"/>
      <c r="AG179" s="175" t="s">
        <v>1173</v>
      </c>
      <c r="AH179" s="179">
        <f t="shared" si="25"/>
        <v>15</v>
      </c>
      <c r="AI179" s="179">
        <f>VLOOKUP(K179,[1]TRAMO!$A:$B,2,0)</f>
        <v>3</v>
      </c>
      <c r="AJ179" s="183">
        <f t="shared" si="26"/>
        <v>7434</v>
      </c>
      <c r="AK179" s="179">
        <f t="shared" si="27"/>
        <v>14.4</v>
      </c>
      <c r="AL179" s="183">
        <v>0</v>
      </c>
      <c r="AM179" s="183">
        <f t="shared" si="34"/>
        <v>900000</v>
      </c>
      <c r="AN179" s="183">
        <f t="shared" si="28"/>
        <v>0</v>
      </c>
      <c r="AO179" s="183">
        <f t="shared" si="29"/>
        <v>0</v>
      </c>
      <c r="AP179" s="183">
        <f t="shared" si="30"/>
        <v>8028720</v>
      </c>
      <c r="AR179" s="183">
        <f t="shared" si="31"/>
        <v>0</v>
      </c>
      <c r="AS179" s="183">
        <f t="shared" si="32"/>
        <v>8928720</v>
      </c>
      <c r="AT179" s="175" t="s">
        <v>1818</v>
      </c>
      <c r="AU179" s="175" t="s">
        <v>1751</v>
      </c>
      <c r="AV179" s="175" t="s">
        <v>1856</v>
      </c>
      <c r="AW179" s="175" t="s">
        <v>1857</v>
      </c>
    </row>
    <row r="180" spans="1:49" ht="24.95" customHeight="1" x14ac:dyDescent="0.25">
      <c r="A180" s="175">
        <v>14246</v>
      </c>
      <c r="B180" s="175" t="s">
        <v>86</v>
      </c>
      <c r="C180" s="175" t="s">
        <v>29</v>
      </c>
      <c r="D180" s="176">
        <v>1</v>
      </c>
      <c r="E180" s="176">
        <v>2025</v>
      </c>
      <c r="F180" s="176">
        <v>2025</v>
      </c>
      <c r="G180" s="175" t="s">
        <v>23</v>
      </c>
      <c r="H180" s="175" t="s">
        <v>86</v>
      </c>
      <c r="I180" s="175" t="s">
        <v>105</v>
      </c>
      <c r="J180" s="177" t="s">
        <v>350</v>
      </c>
      <c r="K180" s="175" t="s">
        <v>349</v>
      </c>
      <c r="L180" s="175" t="s">
        <v>21</v>
      </c>
      <c r="M180" s="175" t="s">
        <v>21</v>
      </c>
      <c r="N180" s="175">
        <v>6</v>
      </c>
      <c r="O180" s="175" t="s">
        <v>796</v>
      </c>
      <c r="P180" s="175" t="s">
        <v>818</v>
      </c>
      <c r="Q180" s="175" t="s">
        <v>1201</v>
      </c>
      <c r="R180" s="175" t="s">
        <v>339</v>
      </c>
      <c r="S180" s="175" t="s">
        <v>22</v>
      </c>
      <c r="T180" s="175" t="s">
        <v>337</v>
      </c>
      <c r="U180" s="176">
        <v>20</v>
      </c>
      <c r="V180" s="176">
        <v>110</v>
      </c>
      <c r="W180" s="176" t="s">
        <v>21</v>
      </c>
      <c r="X180" s="179">
        <f t="shared" si="33"/>
        <v>110</v>
      </c>
      <c r="Y180" s="176">
        <v>4</v>
      </c>
      <c r="Z180" s="176" t="s">
        <v>20</v>
      </c>
      <c r="AA180" s="176" t="s">
        <v>18</v>
      </c>
      <c r="AB180" s="185" t="s">
        <v>18</v>
      </c>
      <c r="AC180" s="186" t="s">
        <v>21</v>
      </c>
      <c r="AD180" s="181" t="s">
        <v>1904</v>
      </c>
      <c r="AE180" s="179" t="s">
        <v>18</v>
      </c>
      <c r="AF180" s="191"/>
      <c r="AG180" s="175" t="s">
        <v>1173</v>
      </c>
      <c r="AH180" s="179">
        <f t="shared" si="25"/>
        <v>28</v>
      </c>
      <c r="AI180" s="179">
        <f>VLOOKUP(K180,[1]TRAMO!$A:$B,2,0)</f>
        <v>2</v>
      </c>
      <c r="AJ180" s="183">
        <f t="shared" si="26"/>
        <v>6372</v>
      </c>
      <c r="AK180" s="179">
        <f t="shared" si="27"/>
        <v>27.5</v>
      </c>
      <c r="AL180" s="183">
        <v>0</v>
      </c>
      <c r="AM180" s="183">
        <f t="shared" si="34"/>
        <v>2240000</v>
      </c>
      <c r="AN180" s="183">
        <f t="shared" si="28"/>
        <v>0</v>
      </c>
      <c r="AO180" s="183">
        <f t="shared" si="29"/>
        <v>0</v>
      </c>
      <c r="AP180" s="183">
        <f t="shared" si="30"/>
        <v>14018400</v>
      </c>
      <c r="AR180" s="183">
        <f t="shared" si="31"/>
        <v>0</v>
      </c>
      <c r="AS180" s="183">
        <f t="shared" si="32"/>
        <v>16258400</v>
      </c>
      <c r="AT180" s="175" t="s">
        <v>1905</v>
      </c>
      <c r="AU180" s="175" t="s">
        <v>1906</v>
      </c>
      <c r="AV180" s="175" t="s">
        <v>1868</v>
      </c>
      <c r="AW180" s="175" t="s">
        <v>1017</v>
      </c>
    </row>
    <row r="181" spans="1:49" ht="24.95" customHeight="1" x14ac:dyDescent="0.25">
      <c r="A181" s="175">
        <v>14370</v>
      </c>
      <c r="B181" s="175" t="s">
        <v>83</v>
      </c>
      <c r="C181" s="175" t="s">
        <v>1022</v>
      </c>
      <c r="D181" s="176">
        <v>1</v>
      </c>
      <c r="E181" s="176">
        <v>2025</v>
      </c>
      <c r="F181" s="176">
        <v>2025</v>
      </c>
      <c r="G181" s="175" t="s">
        <v>23</v>
      </c>
      <c r="H181" s="175" t="s">
        <v>83</v>
      </c>
      <c r="I181" s="175" t="s">
        <v>102</v>
      </c>
      <c r="J181" s="177" t="s">
        <v>350</v>
      </c>
      <c r="K181" s="175" t="s">
        <v>349</v>
      </c>
      <c r="L181" s="175" t="s">
        <v>21</v>
      </c>
      <c r="M181" s="175" t="s">
        <v>21</v>
      </c>
      <c r="N181" s="175">
        <v>13</v>
      </c>
      <c r="O181" s="175" t="s">
        <v>382</v>
      </c>
      <c r="P181" s="175" t="s">
        <v>714</v>
      </c>
      <c r="Q181" s="175" t="s">
        <v>1201</v>
      </c>
      <c r="R181" s="175" t="s">
        <v>339</v>
      </c>
      <c r="S181" s="175" t="s">
        <v>19</v>
      </c>
      <c r="T181" s="175" t="s">
        <v>337</v>
      </c>
      <c r="U181" s="176">
        <v>20</v>
      </c>
      <c r="V181" s="176">
        <v>110</v>
      </c>
      <c r="W181" s="176" t="s">
        <v>21</v>
      </c>
      <c r="X181" s="179">
        <f t="shared" si="33"/>
        <v>110</v>
      </c>
      <c r="Y181" s="176">
        <v>5</v>
      </c>
      <c r="Z181" s="176" t="s">
        <v>20</v>
      </c>
      <c r="AA181" s="176" t="s">
        <v>18</v>
      </c>
      <c r="AB181" s="185" t="s">
        <v>18</v>
      </c>
      <c r="AC181" s="186" t="s">
        <v>21</v>
      </c>
      <c r="AD181" s="181" t="s">
        <v>1783</v>
      </c>
      <c r="AE181" s="179" t="s">
        <v>18</v>
      </c>
      <c r="AF181" s="191"/>
      <c r="AG181" s="175" t="s">
        <v>1173</v>
      </c>
      <c r="AH181" s="179">
        <f t="shared" si="25"/>
        <v>22</v>
      </c>
      <c r="AI181" s="179">
        <f>VLOOKUP(K181,[1]TRAMO!$A:$B,2,0)</f>
        <v>2</v>
      </c>
      <c r="AJ181" s="183">
        <f t="shared" si="26"/>
        <v>6372</v>
      </c>
      <c r="AK181" s="179">
        <f t="shared" si="27"/>
        <v>22</v>
      </c>
      <c r="AL181" s="183">
        <v>0</v>
      </c>
      <c r="AM181" s="183">
        <f t="shared" si="34"/>
        <v>1760000</v>
      </c>
      <c r="AN181" s="183">
        <f t="shared" si="28"/>
        <v>0</v>
      </c>
      <c r="AO181" s="183">
        <f t="shared" si="29"/>
        <v>0</v>
      </c>
      <c r="AP181" s="183">
        <f t="shared" si="30"/>
        <v>14018400</v>
      </c>
      <c r="AR181" s="183">
        <f t="shared" si="31"/>
        <v>0</v>
      </c>
      <c r="AS181" s="183">
        <f t="shared" si="32"/>
        <v>15778400</v>
      </c>
      <c r="AT181" s="175" t="s">
        <v>1535</v>
      </c>
      <c r="AU181" s="175" t="s">
        <v>1536</v>
      </c>
      <c r="AV181" s="175" t="s">
        <v>1537</v>
      </c>
      <c r="AW181" s="175" t="s">
        <v>1538</v>
      </c>
    </row>
    <row r="182" spans="1:49" ht="24.95" customHeight="1" x14ac:dyDescent="0.25">
      <c r="A182" s="175">
        <v>14458</v>
      </c>
      <c r="B182" s="175" t="s">
        <v>98</v>
      </c>
      <c r="C182" s="175" t="s">
        <v>41</v>
      </c>
      <c r="D182" s="176">
        <v>1</v>
      </c>
      <c r="E182" s="176">
        <v>2025</v>
      </c>
      <c r="F182" s="176">
        <v>2025</v>
      </c>
      <c r="G182" s="175" t="s">
        <v>23</v>
      </c>
      <c r="H182" s="175" t="s">
        <v>98</v>
      </c>
      <c r="I182" s="175" t="s">
        <v>1175</v>
      </c>
      <c r="J182" s="177" t="s">
        <v>350</v>
      </c>
      <c r="K182" s="175" t="s">
        <v>349</v>
      </c>
      <c r="L182" s="175" t="s">
        <v>21</v>
      </c>
      <c r="M182" s="175" t="s">
        <v>21</v>
      </c>
      <c r="N182" s="175">
        <v>13</v>
      </c>
      <c r="O182" s="175" t="s">
        <v>382</v>
      </c>
      <c r="P182" s="175" t="s">
        <v>717</v>
      </c>
      <c r="Q182" s="175" t="s">
        <v>822</v>
      </c>
      <c r="R182" s="175" t="s">
        <v>339</v>
      </c>
      <c r="S182" s="175" t="s">
        <v>19</v>
      </c>
      <c r="T182" s="175" t="s">
        <v>337</v>
      </c>
      <c r="U182" s="176">
        <v>10</v>
      </c>
      <c r="V182" s="176">
        <v>110</v>
      </c>
      <c r="W182" s="176" t="s">
        <v>21</v>
      </c>
      <c r="X182" s="179">
        <f t="shared" si="33"/>
        <v>110</v>
      </c>
      <c r="Y182" s="176">
        <v>4</v>
      </c>
      <c r="Z182" s="176" t="s">
        <v>20</v>
      </c>
      <c r="AA182" s="176" t="s">
        <v>18</v>
      </c>
      <c r="AB182" s="185" t="s">
        <v>18</v>
      </c>
      <c r="AC182" s="186" t="s">
        <v>21</v>
      </c>
      <c r="AD182" s="181" t="s">
        <v>1776</v>
      </c>
      <c r="AE182" s="179" t="s">
        <v>18</v>
      </c>
      <c r="AF182" s="191"/>
      <c r="AG182" s="175" t="s">
        <v>1173</v>
      </c>
      <c r="AH182" s="179">
        <f t="shared" si="25"/>
        <v>28</v>
      </c>
      <c r="AI182" s="179">
        <f>VLOOKUP(K182,[1]TRAMO!$A:$B,2,0)</f>
        <v>2</v>
      </c>
      <c r="AJ182" s="183">
        <f t="shared" si="26"/>
        <v>6372</v>
      </c>
      <c r="AK182" s="179">
        <f t="shared" si="27"/>
        <v>27.5</v>
      </c>
      <c r="AL182" s="183">
        <v>0</v>
      </c>
      <c r="AM182" s="183">
        <f t="shared" si="34"/>
        <v>1120000</v>
      </c>
      <c r="AN182" s="183">
        <f t="shared" si="28"/>
        <v>0</v>
      </c>
      <c r="AO182" s="183">
        <f t="shared" si="29"/>
        <v>0</v>
      </c>
      <c r="AP182" s="183">
        <f t="shared" si="30"/>
        <v>7009200</v>
      </c>
      <c r="AR182" s="183">
        <f t="shared" si="31"/>
        <v>0</v>
      </c>
      <c r="AS182" s="183">
        <f t="shared" si="32"/>
        <v>8129200</v>
      </c>
      <c r="AT182" s="175" t="s">
        <v>1777</v>
      </c>
      <c r="AU182" s="175" t="s">
        <v>1778</v>
      </c>
      <c r="AV182" s="175" t="s">
        <v>1779</v>
      </c>
      <c r="AW182" s="175" t="s">
        <v>1780</v>
      </c>
    </row>
    <row r="183" spans="1:49" ht="24.95" customHeight="1" x14ac:dyDescent="0.25">
      <c r="A183" s="175">
        <v>14371</v>
      </c>
      <c r="B183" s="175" t="s">
        <v>83</v>
      </c>
      <c r="C183" s="175" t="s">
        <v>1022</v>
      </c>
      <c r="D183" s="176">
        <v>1</v>
      </c>
      <c r="E183" s="176">
        <v>2025</v>
      </c>
      <c r="F183" s="176">
        <v>2025</v>
      </c>
      <c r="G183" s="175" t="s">
        <v>23</v>
      </c>
      <c r="H183" s="175" t="s">
        <v>83</v>
      </c>
      <c r="I183" s="175" t="s">
        <v>102</v>
      </c>
      <c r="J183" s="177" t="s">
        <v>715</v>
      </c>
      <c r="K183" s="175" t="s">
        <v>716</v>
      </c>
      <c r="L183" s="175" t="s">
        <v>21</v>
      </c>
      <c r="M183" s="175" t="s">
        <v>21</v>
      </c>
      <c r="N183" s="175">
        <v>13</v>
      </c>
      <c r="O183" s="175" t="s">
        <v>382</v>
      </c>
      <c r="P183" s="175" t="s">
        <v>714</v>
      </c>
      <c r="Q183" s="175" t="s">
        <v>1201</v>
      </c>
      <c r="R183" s="175" t="s">
        <v>339</v>
      </c>
      <c r="S183" s="175" t="s">
        <v>19</v>
      </c>
      <c r="T183" s="175" t="s">
        <v>337</v>
      </c>
      <c r="U183" s="176">
        <v>20</v>
      </c>
      <c r="V183" s="176">
        <v>150</v>
      </c>
      <c r="W183" s="176" t="s">
        <v>21</v>
      </c>
      <c r="X183" s="179">
        <f t="shared" si="33"/>
        <v>150</v>
      </c>
      <c r="Y183" s="176">
        <v>5</v>
      </c>
      <c r="Z183" s="176" t="s">
        <v>20</v>
      </c>
      <c r="AA183" s="176" t="s">
        <v>18</v>
      </c>
      <c r="AB183" s="185" t="s">
        <v>18</v>
      </c>
      <c r="AC183" s="186" t="s">
        <v>21</v>
      </c>
      <c r="AD183" s="181" t="s">
        <v>1907</v>
      </c>
      <c r="AE183" s="179" t="s">
        <v>18</v>
      </c>
      <c r="AF183" s="191"/>
      <c r="AG183" s="175" t="s">
        <v>1173</v>
      </c>
      <c r="AH183" s="179">
        <f t="shared" si="25"/>
        <v>30</v>
      </c>
      <c r="AI183" s="179">
        <f>VLOOKUP(K183,[1]TRAMO!$A:$B,2,0)</f>
        <v>2</v>
      </c>
      <c r="AJ183" s="183">
        <f t="shared" si="26"/>
        <v>6372</v>
      </c>
      <c r="AK183" s="179">
        <f t="shared" si="27"/>
        <v>30</v>
      </c>
      <c r="AL183" s="183">
        <v>0</v>
      </c>
      <c r="AM183" s="183">
        <f t="shared" si="34"/>
        <v>2400000</v>
      </c>
      <c r="AN183" s="183">
        <f t="shared" si="28"/>
        <v>0</v>
      </c>
      <c r="AO183" s="183">
        <f t="shared" si="29"/>
        <v>0</v>
      </c>
      <c r="AP183" s="183">
        <f t="shared" si="30"/>
        <v>19116000</v>
      </c>
      <c r="AR183" s="183">
        <f t="shared" si="31"/>
        <v>0</v>
      </c>
      <c r="AS183" s="183">
        <f t="shared" si="32"/>
        <v>21516000</v>
      </c>
      <c r="AT183" s="175" t="s">
        <v>1535</v>
      </c>
      <c r="AU183" s="175" t="s">
        <v>1536</v>
      </c>
      <c r="AV183" s="175" t="s">
        <v>1537</v>
      </c>
      <c r="AW183" s="175" t="s">
        <v>1538</v>
      </c>
    </row>
    <row r="184" spans="1:49" ht="24.95" customHeight="1" x14ac:dyDescent="0.25">
      <c r="A184" s="175">
        <v>14457</v>
      </c>
      <c r="B184" s="175" t="s">
        <v>96</v>
      </c>
      <c r="C184" s="175" t="s">
        <v>39</v>
      </c>
      <c r="D184" s="176">
        <v>4</v>
      </c>
      <c r="E184" s="176">
        <v>2025</v>
      </c>
      <c r="F184" s="176">
        <v>2025</v>
      </c>
      <c r="G184" s="175" t="s">
        <v>23</v>
      </c>
      <c r="H184" s="175" t="s">
        <v>96</v>
      </c>
      <c r="I184" s="175" t="s">
        <v>1042</v>
      </c>
      <c r="J184" s="177" t="s">
        <v>920</v>
      </c>
      <c r="K184" s="175" t="s">
        <v>997</v>
      </c>
      <c r="L184" s="175" t="s">
        <v>21</v>
      </c>
      <c r="M184" s="175" t="s">
        <v>21</v>
      </c>
      <c r="N184" s="175">
        <v>7</v>
      </c>
      <c r="O184" s="175" t="s">
        <v>428</v>
      </c>
      <c r="P184" s="175" t="s">
        <v>1908</v>
      </c>
      <c r="Q184" s="175" t="s">
        <v>1201</v>
      </c>
      <c r="R184" s="175" t="s">
        <v>339</v>
      </c>
      <c r="S184" s="175" t="s">
        <v>22</v>
      </c>
      <c r="T184" s="175" t="s">
        <v>337</v>
      </c>
      <c r="U184" s="176">
        <v>15</v>
      </c>
      <c r="V184" s="176">
        <v>72</v>
      </c>
      <c r="W184" s="176" t="s">
        <v>21</v>
      </c>
      <c r="X184" s="179">
        <f t="shared" si="33"/>
        <v>72</v>
      </c>
      <c r="Y184" s="176">
        <v>5</v>
      </c>
      <c r="Z184" s="176" t="s">
        <v>20</v>
      </c>
      <c r="AA184" s="176" t="s">
        <v>18</v>
      </c>
      <c r="AB184" s="185" t="s">
        <v>18</v>
      </c>
      <c r="AC184" s="186" t="s">
        <v>21</v>
      </c>
      <c r="AD184" s="181" t="s">
        <v>1909</v>
      </c>
      <c r="AE184" s="179" t="s">
        <v>18</v>
      </c>
      <c r="AF184" s="191"/>
      <c r="AG184" s="175" t="s">
        <v>1173</v>
      </c>
      <c r="AH184" s="179">
        <f t="shared" si="25"/>
        <v>15</v>
      </c>
      <c r="AI184" s="179">
        <f>VLOOKUP(K184,[1]TRAMO!$A:$B,2,0)</f>
        <v>1</v>
      </c>
      <c r="AJ184" s="183">
        <f t="shared" si="26"/>
        <v>5074</v>
      </c>
      <c r="AK184" s="179">
        <f t="shared" si="27"/>
        <v>14.4</v>
      </c>
      <c r="AL184" s="183">
        <v>0</v>
      </c>
      <c r="AM184" s="183">
        <f t="shared" si="34"/>
        <v>900000</v>
      </c>
      <c r="AN184" s="183">
        <f t="shared" si="28"/>
        <v>0</v>
      </c>
      <c r="AO184" s="183">
        <f t="shared" si="29"/>
        <v>0</v>
      </c>
      <c r="AP184" s="183">
        <f t="shared" si="30"/>
        <v>5479920</v>
      </c>
      <c r="AR184" s="183">
        <f t="shared" si="31"/>
        <v>0</v>
      </c>
      <c r="AS184" s="183">
        <f t="shared" si="32"/>
        <v>6379920</v>
      </c>
      <c r="AT184" s="175" t="s">
        <v>1718</v>
      </c>
      <c r="AU184" s="175" t="s">
        <v>1719</v>
      </c>
      <c r="AV184" s="175" t="s">
        <v>1720</v>
      </c>
      <c r="AW184" s="175" t="s">
        <v>1721</v>
      </c>
    </row>
    <row r="185" spans="1:49" ht="24.95" customHeight="1" x14ac:dyDescent="0.25">
      <c r="A185" s="175">
        <v>14351</v>
      </c>
      <c r="B185" s="175" t="s">
        <v>86</v>
      </c>
      <c r="C185" s="175" t="s">
        <v>29</v>
      </c>
      <c r="D185" s="176">
        <v>1</v>
      </c>
      <c r="E185" s="176">
        <v>2025</v>
      </c>
      <c r="F185" s="176">
        <v>2025</v>
      </c>
      <c r="G185" s="175" t="s">
        <v>23</v>
      </c>
      <c r="H185" s="175" t="s">
        <v>86</v>
      </c>
      <c r="I185" s="175" t="s">
        <v>105</v>
      </c>
      <c r="J185" s="177" t="s">
        <v>1001</v>
      </c>
      <c r="K185" s="175" t="s">
        <v>1002</v>
      </c>
      <c r="L185" s="175" t="s">
        <v>407</v>
      </c>
      <c r="M185" s="175" t="s">
        <v>408</v>
      </c>
      <c r="N185" s="175">
        <v>5</v>
      </c>
      <c r="O185" s="175" t="s">
        <v>395</v>
      </c>
      <c r="P185" s="175" t="s">
        <v>794</v>
      </c>
      <c r="Q185" s="175" t="s">
        <v>1504</v>
      </c>
      <c r="R185" s="175" t="s">
        <v>339</v>
      </c>
      <c r="S185" s="175" t="s">
        <v>22</v>
      </c>
      <c r="T185" s="175" t="s">
        <v>337</v>
      </c>
      <c r="U185" s="176">
        <v>10</v>
      </c>
      <c r="V185" s="176">
        <v>84</v>
      </c>
      <c r="W185" s="176">
        <v>12</v>
      </c>
      <c r="X185" s="179">
        <f t="shared" si="33"/>
        <v>96</v>
      </c>
      <c r="Y185" s="176">
        <v>4</v>
      </c>
      <c r="Z185" s="176" t="s">
        <v>20</v>
      </c>
      <c r="AA185" s="176" t="s">
        <v>18</v>
      </c>
      <c r="AB185" s="185" t="s">
        <v>18</v>
      </c>
      <c r="AC185" s="186" t="s">
        <v>21</v>
      </c>
      <c r="AD185" s="181" t="s">
        <v>1846</v>
      </c>
      <c r="AE185" s="179" t="s">
        <v>18</v>
      </c>
      <c r="AF185" s="191"/>
      <c r="AG185" s="175" t="s">
        <v>1173</v>
      </c>
      <c r="AH185" s="179">
        <f t="shared" si="25"/>
        <v>24</v>
      </c>
      <c r="AI185" s="179">
        <f>VLOOKUP(K185,[1]TRAMO!$A:$B,2,0)</f>
        <v>2</v>
      </c>
      <c r="AJ185" s="183">
        <f t="shared" si="26"/>
        <v>6372</v>
      </c>
      <c r="AK185" s="179">
        <f t="shared" si="27"/>
        <v>24</v>
      </c>
      <c r="AL185" s="183">
        <v>0</v>
      </c>
      <c r="AM185" s="183">
        <f t="shared" si="34"/>
        <v>960000</v>
      </c>
      <c r="AN185" s="183">
        <f t="shared" si="28"/>
        <v>0</v>
      </c>
      <c r="AO185" s="183">
        <f t="shared" si="29"/>
        <v>0</v>
      </c>
      <c r="AP185" s="183">
        <f t="shared" si="30"/>
        <v>6117120</v>
      </c>
      <c r="AR185" s="183">
        <f t="shared" si="31"/>
        <v>0</v>
      </c>
      <c r="AS185" s="183">
        <f t="shared" si="32"/>
        <v>7077120</v>
      </c>
      <c r="AT185" s="175" t="s">
        <v>1506</v>
      </c>
      <c r="AU185" s="175" t="s">
        <v>1507</v>
      </c>
      <c r="AV185" s="175" t="s">
        <v>1508</v>
      </c>
      <c r="AW185" s="175" t="s">
        <v>1767</v>
      </c>
    </row>
    <row r="186" spans="1:49" ht="24.95" customHeight="1" x14ac:dyDescent="0.25">
      <c r="A186" s="175">
        <v>14353</v>
      </c>
      <c r="B186" s="175" t="s">
        <v>86</v>
      </c>
      <c r="C186" s="175" t="s">
        <v>29</v>
      </c>
      <c r="D186" s="176">
        <v>1</v>
      </c>
      <c r="E186" s="176">
        <v>2025</v>
      </c>
      <c r="F186" s="176">
        <v>2025</v>
      </c>
      <c r="G186" s="175" t="s">
        <v>23</v>
      </c>
      <c r="H186" s="175" t="s">
        <v>86</v>
      </c>
      <c r="I186" s="175" t="s">
        <v>105</v>
      </c>
      <c r="J186" s="177" t="s">
        <v>1001</v>
      </c>
      <c r="K186" s="175" t="s">
        <v>1002</v>
      </c>
      <c r="L186" s="175" t="s">
        <v>407</v>
      </c>
      <c r="M186" s="175" t="s">
        <v>408</v>
      </c>
      <c r="N186" s="175">
        <v>5</v>
      </c>
      <c r="O186" s="175" t="s">
        <v>395</v>
      </c>
      <c r="P186" s="175" t="s">
        <v>794</v>
      </c>
      <c r="Q186" s="175" t="s">
        <v>1504</v>
      </c>
      <c r="R186" s="175" t="s">
        <v>339</v>
      </c>
      <c r="S186" s="175" t="s">
        <v>22</v>
      </c>
      <c r="T186" s="175" t="s">
        <v>337</v>
      </c>
      <c r="U186" s="176">
        <v>10</v>
      </c>
      <c r="V186" s="176">
        <v>84</v>
      </c>
      <c r="W186" s="176">
        <v>12</v>
      </c>
      <c r="X186" s="179">
        <f t="shared" si="33"/>
        <v>96</v>
      </c>
      <c r="Y186" s="176">
        <v>4</v>
      </c>
      <c r="Z186" s="176" t="s">
        <v>20</v>
      </c>
      <c r="AA186" s="176" t="s">
        <v>18</v>
      </c>
      <c r="AB186" s="185" t="s">
        <v>18</v>
      </c>
      <c r="AC186" s="186" t="s">
        <v>21</v>
      </c>
      <c r="AD186" s="181" t="s">
        <v>1910</v>
      </c>
      <c r="AE186" s="179" t="s">
        <v>18</v>
      </c>
      <c r="AF186" s="191"/>
      <c r="AG186" s="175" t="s">
        <v>1173</v>
      </c>
      <c r="AH186" s="179">
        <f t="shared" si="25"/>
        <v>24</v>
      </c>
      <c r="AI186" s="179">
        <f>VLOOKUP(K186,[1]TRAMO!$A:$B,2,0)</f>
        <v>2</v>
      </c>
      <c r="AJ186" s="183">
        <f t="shared" si="26"/>
        <v>6372</v>
      </c>
      <c r="AK186" s="179">
        <f t="shared" si="27"/>
        <v>24</v>
      </c>
      <c r="AL186" s="183">
        <v>0</v>
      </c>
      <c r="AM186" s="183">
        <f t="shared" si="34"/>
        <v>960000</v>
      </c>
      <c r="AN186" s="183">
        <f t="shared" si="28"/>
        <v>0</v>
      </c>
      <c r="AO186" s="183">
        <f t="shared" si="29"/>
        <v>0</v>
      </c>
      <c r="AP186" s="183">
        <f t="shared" si="30"/>
        <v>6117120</v>
      </c>
      <c r="AR186" s="183">
        <f t="shared" si="31"/>
        <v>0</v>
      </c>
      <c r="AS186" s="183">
        <f t="shared" si="32"/>
        <v>7077120</v>
      </c>
      <c r="AT186" s="175" t="s">
        <v>1506</v>
      </c>
      <c r="AU186" s="175" t="s">
        <v>1507</v>
      </c>
      <c r="AV186" s="175" t="s">
        <v>1508</v>
      </c>
      <c r="AW186" s="175" t="s">
        <v>1767</v>
      </c>
    </row>
    <row r="187" spans="1:49" ht="24.95" customHeight="1" x14ac:dyDescent="0.25">
      <c r="A187" s="175">
        <v>14399</v>
      </c>
      <c r="B187" s="175" t="s">
        <v>86</v>
      </c>
      <c r="C187" s="175" t="s">
        <v>29</v>
      </c>
      <c r="D187" s="176">
        <v>1</v>
      </c>
      <c r="E187" s="176">
        <v>2025</v>
      </c>
      <c r="F187" s="176">
        <v>2025</v>
      </c>
      <c r="G187" s="175" t="s">
        <v>23</v>
      </c>
      <c r="H187" s="175" t="s">
        <v>86</v>
      </c>
      <c r="I187" s="175" t="s">
        <v>105</v>
      </c>
      <c r="J187" s="177" t="s">
        <v>1001</v>
      </c>
      <c r="K187" s="175" t="s">
        <v>1002</v>
      </c>
      <c r="L187" s="175" t="s">
        <v>407</v>
      </c>
      <c r="M187" s="175" t="s">
        <v>408</v>
      </c>
      <c r="N187" s="175">
        <v>8</v>
      </c>
      <c r="O187" s="175" t="s">
        <v>709</v>
      </c>
      <c r="P187" s="175" t="s">
        <v>417</v>
      </c>
      <c r="Q187" s="175" t="s">
        <v>1504</v>
      </c>
      <c r="R187" s="175" t="s">
        <v>339</v>
      </c>
      <c r="S187" s="175" t="s">
        <v>22</v>
      </c>
      <c r="T187" s="175" t="s">
        <v>337</v>
      </c>
      <c r="U187" s="176">
        <v>10</v>
      </c>
      <c r="V187" s="176">
        <v>84</v>
      </c>
      <c r="W187" s="176">
        <v>12</v>
      </c>
      <c r="X187" s="179">
        <f t="shared" si="33"/>
        <v>96</v>
      </c>
      <c r="Y187" s="176">
        <v>4</v>
      </c>
      <c r="Z187" s="176" t="s">
        <v>20</v>
      </c>
      <c r="AA187" s="176" t="s">
        <v>18</v>
      </c>
      <c r="AB187" s="185" t="s">
        <v>18</v>
      </c>
      <c r="AC187" s="186" t="s">
        <v>21</v>
      </c>
      <c r="AD187" s="181" t="s">
        <v>1781</v>
      </c>
      <c r="AE187" s="179" t="s">
        <v>18</v>
      </c>
      <c r="AF187" s="191"/>
      <c r="AG187" s="175" t="s">
        <v>1173</v>
      </c>
      <c r="AH187" s="179">
        <f t="shared" si="25"/>
        <v>24</v>
      </c>
      <c r="AI187" s="179">
        <f>VLOOKUP(K187,[1]TRAMO!$A:$B,2,0)</f>
        <v>2</v>
      </c>
      <c r="AJ187" s="183">
        <f t="shared" si="26"/>
        <v>6372</v>
      </c>
      <c r="AK187" s="179">
        <f t="shared" si="27"/>
        <v>24</v>
      </c>
      <c r="AL187" s="183">
        <v>0</v>
      </c>
      <c r="AM187" s="183">
        <f t="shared" si="34"/>
        <v>960000</v>
      </c>
      <c r="AN187" s="183">
        <f t="shared" si="28"/>
        <v>0</v>
      </c>
      <c r="AO187" s="183">
        <f t="shared" si="29"/>
        <v>0</v>
      </c>
      <c r="AP187" s="183">
        <f t="shared" si="30"/>
        <v>6117120</v>
      </c>
      <c r="AR187" s="183">
        <f t="shared" si="31"/>
        <v>0</v>
      </c>
      <c r="AS187" s="183">
        <f t="shared" si="32"/>
        <v>7077120</v>
      </c>
      <c r="AT187" s="175" t="s">
        <v>1765</v>
      </c>
      <c r="AU187" s="175" t="s">
        <v>1766</v>
      </c>
      <c r="AV187" s="175" t="s">
        <v>1508</v>
      </c>
      <c r="AW187" s="175" t="s">
        <v>1767</v>
      </c>
    </row>
    <row r="188" spans="1:49" ht="24.95" customHeight="1" x14ac:dyDescent="0.25">
      <c r="A188" s="175">
        <v>14324</v>
      </c>
      <c r="B188" s="175" t="s">
        <v>96</v>
      </c>
      <c r="C188" s="175" t="s">
        <v>39</v>
      </c>
      <c r="D188" s="176">
        <v>4</v>
      </c>
      <c r="E188" s="176">
        <v>2025</v>
      </c>
      <c r="F188" s="176">
        <v>2025</v>
      </c>
      <c r="G188" s="175" t="s">
        <v>23</v>
      </c>
      <c r="H188" s="175" t="s">
        <v>96</v>
      </c>
      <c r="I188" s="175" t="s">
        <v>1042</v>
      </c>
      <c r="J188" s="177" t="s">
        <v>993</v>
      </c>
      <c r="K188" s="175" t="s">
        <v>994</v>
      </c>
      <c r="L188" s="175" t="s">
        <v>21</v>
      </c>
      <c r="M188" s="175" t="s">
        <v>21</v>
      </c>
      <c r="N188" s="175">
        <v>3</v>
      </c>
      <c r="O188" s="175" t="s">
        <v>751</v>
      </c>
      <c r="P188" s="175" t="s">
        <v>839</v>
      </c>
      <c r="Q188" s="175" t="s">
        <v>1201</v>
      </c>
      <c r="R188" s="175" t="s">
        <v>339</v>
      </c>
      <c r="S188" s="175" t="s">
        <v>22</v>
      </c>
      <c r="T188" s="175" t="s">
        <v>337</v>
      </c>
      <c r="U188" s="176">
        <v>10</v>
      </c>
      <c r="V188" s="176">
        <v>108</v>
      </c>
      <c r="W188" s="176" t="s">
        <v>21</v>
      </c>
      <c r="X188" s="179">
        <f t="shared" si="33"/>
        <v>108</v>
      </c>
      <c r="Y188" s="176">
        <v>5</v>
      </c>
      <c r="Z188" s="176" t="s">
        <v>20</v>
      </c>
      <c r="AA188" s="176" t="s">
        <v>18</v>
      </c>
      <c r="AB188" s="185" t="s">
        <v>18</v>
      </c>
      <c r="AC188" s="186" t="s">
        <v>21</v>
      </c>
      <c r="AD188" s="181" t="s">
        <v>1911</v>
      </c>
      <c r="AE188" s="179" t="s">
        <v>18</v>
      </c>
      <c r="AF188" s="191"/>
      <c r="AG188" s="175" t="s">
        <v>1173</v>
      </c>
      <c r="AH188" s="179">
        <f t="shared" si="25"/>
        <v>22</v>
      </c>
      <c r="AI188" s="179">
        <f>VLOOKUP(K188,[1]TRAMO!$A:$B,2,0)</f>
        <v>2</v>
      </c>
      <c r="AJ188" s="183">
        <f t="shared" si="26"/>
        <v>6372</v>
      </c>
      <c r="AK188" s="179">
        <f t="shared" si="27"/>
        <v>21.6</v>
      </c>
      <c r="AL188" s="183">
        <v>0</v>
      </c>
      <c r="AM188" s="183">
        <f t="shared" si="34"/>
        <v>880000</v>
      </c>
      <c r="AN188" s="183">
        <f t="shared" si="28"/>
        <v>0</v>
      </c>
      <c r="AO188" s="183">
        <f t="shared" si="29"/>
        <v>0</v>
      </c>
      <c r="AP188" s="183">
        <f t="shared" si="30"/>
        <v>6881760</v>
      </c>
      <c r="AR188" s="183">
        <f t="shared" si="31"/>
        <v>0</v>
      </c>
      <c r="AS188" s="183">
        <f t="shared" si="32"/>
        <v>7761760</v>
      </c>
      <c r="AT188" s="175" t="s">
        <v>1818</v>
      </c>
      <c r="AU188" s="175" t="s">
        <v>1751</v>
      </c>
      <c r="AV188" s="175" t="s">
        <v>1912</v>
      </c>
      <c r="AW188" s="175" t="s">
        <v>1913</v>
      </c>
    </row>
    <row r="189" spans="1:49" ht="24.95" customHeight="1" x14ac:dyDescent="0.25">
      <c r="A189" s="175">
        <v>14433</v>
      </c>
      <c r="B189" s="175" t="s">
        <v>97</v>
      </c>
      <c r="C189" s="188" t="s">
        <v>1610</v>
      </c>
      <c r="D189" s="176">
        <v>1</v>
      </c>
      <c r="E189" s="176">
        <v>2025</v>
      </c>
      <c r="F189" s="176">
        <v>2025</v>
      </c>
      <c r="G189" s="175" t="s">
        <v>23</v>
      </c>
      <c r="H189" s="175" t="s">
        <v>97</v>
      </c>
      <c r="I189" s="175" t="s">
        <v>1611</v>
      </c>
      <c r="J189" s="177" t="s">
        <v>993</v>
      </c>
      <c r="K189" s="175" t="s">
        <v>994</v>
      </c>
      <c r="L189" s="175" t="s">
        <v>21</v>
      </c>
      <c r="M189" s="175" t="s">
        <v>21</v>
      </c>
      <c r="N189" s="175">
        <v>7</v>
      </c>
      <c r="O189" s="175" t="s">
        <v>428</v>
      </c>
      <c r="P189" s="175" t="s">
        <v>419</v>
      </c>
      <c r="Q189" s="175" t="s">
        <v>388</v>
      </c>
      <c r="R189" s="175" t="s">
        <v>339</v>
      </c>
      <c r="S189" s="175" t="s">
        <v>22</v>
      </c>
      <c r="T189" s="175" t="s">
        <v>337</v>
      </c>
      <c r="U189" s="176">
        <v>15</v>
      </c>
      <c r="V189" s="176">
        <v>108</v>
      </c>
      <c r="W189" s="176" t="s">
        <v>21</v>
      </c>
      <c r="X189" s="179">
        <f t="shared" si="33"/>
        <v>108</v>
      </c>
      <c r="Y189" s="176">
        <v>4</v>
      </c>
      <c r="Z189" s="176" t="s">
        <v>20</v>
      </c>
      <c r="AA189" s="176" t="s">
        <v>18</v>
      </c>
      <c r="AB189" s="185" t="s">
        <v>18</v>
      </c>
      <c r="AC189" s="186" t="s">
        <v>21</v>
      </c>
      <c r="AD189" s="181" t="s">
        <v>1914</v>
      </c>
      <c r="AE189" s="179" t="s">
        <v>18</v>
      </c>
      <c r="AF189" s="191"/>
      <c r="AG189" s="175" t="s">
        <v>1173</v>
      </c>
      <c r="AH189" s="179">
        <f t="shared" si="25"/>
        <v>27</v>
      </c>
      <c r="AI189" s="179">
        <f>VLOOKUP(K189,[1]TRAMO!$A:$B,2,0)</f>
        <v>2</v>
      </c>
      <c r="AJ189" s="183">
        <f t="shared" si="26"/>
        <v>6372</v>
      </c>
      <c r="AK189" s="179">
        <f t="shared" si="27"/>
        <v>27</v>
      </c>
      <c r="AL189" s="183">
        <v>0</v>
      </c>
      <c r="AM189" s="183">
        <f t="shared" si="34"/>
        <v>1620000</v>
      </c>
      <c r="AN189" s="183">
        <f t="shared" si="28"/>
        <v>0</v>
      </c>
      <c r="AO189" s="183">
        <f t="shared" si="29"/>
        <v>0</v>
      </c>
      <c r="AP189" s="183">
        <f t="shared" si="30"/>
        <v>10322640</v>
      </c>
      <c r="AR189" s="183">
        <f t="shared" si="31"/>
        <v>0</v>
      </c>
      <c r="AS189" s="183">
        <f t="shared" si="32"/>
        <v>11942640</v>
      </c>
      <c r="AT189" s="175" t="s">
        <v>1619</v>
      </c>
      <c r="AU189" s="175" t="s">
        <v>1615</v>
      </c>
      <c r="AV189" s="175" t="s">
        <v>1620</v>
      </c>
      <c r="AW189" s="175" t="s">
        <v>1621</v>
      </c>
    </row>
    <row r="190" spans="1:49" ht="24.95" customHeight="1" x14ac:dyDescent="0.25">
      <c r="A190" s="175">
        <v>14451</v>
      </c>
      <c r="B190" s="175" t="s">
        <v>96</v>
      </c>
      <c r="C190" s="175" t="s">
        <v>39</v>
      </c>
      <c r="D190" s="176">
        <v>4</v>
      </c>
      <c r="E190" s="176">
        <v>2025</v>
      </c>
      <c r="F190" s="176">
        <v>2025</v>
      </c>
      <c r="G190" s="175" t="s">
        <v>23</v>
      </c>
      <c r="H190" s="175" t="s">
        <v>96</v>
      </c>
      <c r="I190" s="175" t="s">
        <v>1042</v>
      </c>
      <c r="J190" s="177" t="s">
        <v>993</v>
      </c>
      <c r="K190" s="175" t="s">
        <v>994</v>
      </c>
      <c r="L190" s="175" t="s">
        <v>21</v>
      </c>
      <c r="M190" s="175" t="s">
        <v>21</v>
      </c>
      <c r="N190" s="175">
        <v>13</v>
      </c>
      <c r="O190" s="175" t="s">
        <v>382</v>
      </c>
      <c r="P190" s="175" t="s">
        <v>793</v>
      </c>
      <c r="Q190" s="175" t="s">
        <v>1201</v>
      </c>
      <c r="R190" s="175" t="s">
        <v>339</v>
      </c>
      <c r="S190" s="175" t="s">
        <v>22</v>
      </c>
      <c r="T190" s="175" t="s">
        <v>337</v>
      </c>
      <c r="U190" s="176">
        <v>15</v>
      </c>
      <c r="V190" s="176">
        <v>108</v>
      </c>
      <c r="W190" s="176" t="s">
        <v>21</v>
      </c>
      <c r="X190" s="179">
        <f t="shared" si="33"/>
        <v>108</v>
      </c>
      <c r="Y190" s="176">
        <v>5</v>
      </c>
      <c r="Z190" s="176" t="s">
        <v>20</v>
      </c>
      <c r="AA190" s="176" t="s">
        <v>18</v>
      </c>
      <c r="AB190" s="185" t="s">
        <v>18</v>
      </c>
      <c r="AC190" s="186" t="s">
        <v>21</v>
      </c>
      <c r="AD190" s="181" t="s">
        <v>1915</v>
      </c>
      <c r="AE190" s="179" t="s">
        <v>18</v>
      </c>
      <c r="AF190" s="191"/>
      <c r="AG190" s="175" t="s">
        <v>1173</v>
      </c>
      <c r="AH190" s="179">
        <f t="shared" si="25"/>
        <v>22</v>
      </c>
      <c r="AI190" s="179">
        <f>VLOOKUP(K190,[1]TRAMO!$A:$B,2,0)</f>
        <v>2</v>
      </c>
      <c r="AJ190" s="183">
        <f t="shared" si="26"/>
        <v>6372</v>
      </c>
      <c r="AK190" s="179">
        <f t="shared" si="27"/>
        <v>21.6</v>
      </c>
      <c r="AL190" s="183">
        <v>0</v>
      </c>
      <c r="AM190" s="183">
        <f t="shared" si="34"/>
        <v>1320000</v>
      </c>
      <c r="AN190" s="183">
        <f t="shared" si="28"/>
        <v>0</v>
      </c>
      <c r="AO190" s="183">
        <f t="shared" si="29"/>
        <v>0</v>
      </c>
      <c r="AP190" s="183">
        <f t="shared" si="30"/>
        <v>10322640</v>
      </c>
      <c r="AR190" s="183">
        <f t="shared" si="31"/>
        <v>0</v>
      </c>
      <c r="AS190" s="183">
        <f t="shared" si="32"/>
        <v>11642640</v>
      </c>
      <c r="AT190" s="175" t="s">
        <v>1718</v>
      </c>
      <c r="AU190" s="175" t="s">
        <v>1719</v>
      </c>
      <c r="AV190" s="175" t="s">
        <v>1720</v>
      </c>
      <c r="AW190" s="175" t="s">
        <v>1721</v>
      </c>
    </row>
    <row r="191" spans="1:49" ht="24.95" customHeight="1" x14ac:dyDescent="0.25">
      <c r="A191" s="175">
        <v>14585</v>
      </c>
      <c r="B191" s="175" t="s">
        <v>98</v>
      </c>
      <c r="C191" s="175" t="s">
        <v>41</v>
      </c>
      <c r="D191" s="176">
        <v>1</v>
      </c>
      <c r="E191" s="176">
        <v>2025</v>
      </c>
      <c r="F191" s="176">
        <v>2025</v>
      </c>
      <c r="G191" s="175" t="s">
        <v>23</v>
      </c>
      <c r="H191" s="175" t="s">
        <v>98</v>
      </c>
      <c r="I191" s="175" t="s">
        <v>1175</v>
      </c>
      <c r="J191" s="177" t="s">
        <v>993</v>
      </c>
      <c r="K191" s="175" t="s">
        <v>994</v>
      </c>
      <c r="L191" s="175" t="s">
        <v>21</v>
      </c>
      <c r="M191" s="175" t="s">
        <v>21</v>
      </c>
      <c r="N191" s="175">
        <v>5</v>
      </c>
      <c r="O191" s="175" t="s">
        <v>395</v>
      </c>
      <c r="P191" s="175" t="s">
        <v>1916</v>
      </c>
      <c r="Q191" s="175" t="s">
        <v>1201</v>
      </c>
      <c r="R191" s="175" t="s">
        <v>339</v>
      </c>
      <c r="S191" s="175" t="s">
        <v>22</v>
      </c>
      <c r="T191" s="175" t="s">
        <v>337</v>
      </c>
      <c r="U191" s="176">
        <v>10</v>
      </c>
      <c r="V191" s="176">
        <v>108</v>
      </c>
      <c r="W191" s="176" t="s">
        <v>21</v>
      </c>
      <c r="X191" s="179">
        <f t="shared" si="33"/>
        <v>108</v>
      </c>
      <c r="Y191" s="176">
        <v>4</v>
      </c>
      <c r="Z191" s="176" t="s">
        <v>20</v>
      </c>
      <c r="AA191" s="176" t="s">
        <v>18</v>
      </c>
      <c r="AB191" s="185" t="s">
        <v>18</v>
      </c>
      <c r="AC191" s="186" t="s">
        <v>21</v>
      </c>
      <c r="AD191" s="181" t="s">
        <v>1917</v>
      </c>
      <c r="AE191" s="179" t="s">
        <v>18</v>
      </c>
      <c r="AF191" s="191"/>
      <c r="AG191" s="175" t="s">
        <v>1173</v>
      </c>
      <c r="AH191" s="179">
        <f t="shared" si="25"/>
        <v>27</v>
      </c>
      <c r="AI191" s="179">
        <f>VLOOKUP(K191,[1]TRAMO!$A:$B,2,0)</f>
        <v>2</v>
      </c>
      <c r="AJ191" s="183">
        <f t="shared" si="26"/>
        <v>6372</v>
      </c>
      <c r="AK191" s="179">
        <f t="shared" si="27"/>
        <v>27</v>
      </c>
      <c r="AL191" s="183">
        <v>0</v>
      </c>
      <c r="AM191" s="183">
        <f t="shared" si="34"/>
        <v>1080000</v>
      </c>
      <c r="AN191" s="183">
        <f t="shared" si="28"/>
        <v>0</v>
      </c>
      <c r="AO191" s="183">
        <f t="shared" si="29"/>
        <v>0</v>
      </c>
      <c r="AP191" s="183">
        <f t="shared" si="30"/>
        <v>6881760</v>
      </c>
      <c r="AR191" s="183">
        <f t="shared" si="31"/>
        <v>0</v>
      </c>
      <c r="AS191" s="183">
        <f t="shared" si="32"/>
        <v>7961760</v>
      </c>
      <c r="AT191" s="175" t="s">
        <v>1547</v>
      </c>
      <c r="AU191" s="175" t="s">
        <v>1627</v>
      </c>
      <c r="AV191" s="175" t="s">
        <v>1628</v>
      </c>
      <c r="AW191" s="175" t="s">
        <v>1629</v>
      </c>
    </row>
    <row r="192" spans="1:49" ht="24.95" customHeight="1" x14ac:dyDescent="0.25">
      <c r="A192" s="175">
        <v>14235</v>
      </c>
      <c r="B192" s="175" t="s">
        <v>86</v>
      </c>
      <c r="C192" s="175" t="s">
        <v>29</v>
      </c>
      <c r="D192" s="176">
        <v>1</v>
      </c>
      <c r="E192" s="176">
        <v>2025</v>
      </c>
      <c r="F192" s="176">
        <v>2025</v>
      </c>
      <c r="G192" s="175" t="s">
        <v>23</v>
      </c>
      <c r="H192" s="175" t="s">
        <v>86</v>
      </c>
      <c r="I192" s="175" t="s">
        <v>105</v>
      </c>
      <c r="J192" s="177" t="s">
        <v>993</v>
      </c>
      <c r="K192" s="175" t="s">
        <v>994</v>
      </c>
      <c r="L192" s="175" t="s">
        <v>407</v>
      </c>
      <c r="M192" s="175" t="s">
        <v>408</v>
      </c>
      <c r="N192" s="175">
        <v>5</v>
      </c>
      <c r="O192" s="175" t="s">
        <v>395</v>
      </c>
      <c r="P192" s="175" t="s">
        <v>1630</v>
      </c>
      <c r="Q192" s="175" t="s">
        <v>1201</v>
      </c>
      <c r="R192" s="175" t="s">
        <v>339</v>
      </c>
      <c r="S192" s="175" t="s">
        <v>22</v>
      </c>
      <c r="T192" s="175" t="s">
        <v>337</v>
      </c>
      <c r="U192" s="176">
        <v>10</v>
      </c>
      <c r="V192" s="176">
        <v>108</v>
      </c>
      <c r="W192" s="176">
        <v>12</v>
      </c>
      <c r="X192" s="179">
        <f t="shared" si="33"/>
        <v>120</v>
      </c>
      <c r="Y192" s="176">
        <v>5</v>
      </c>
      <c r="Z192" s="176" t="s">
        <v>20</v>
      </c>
      <c r="AA192" s="176" t="s">
        <v>18</v>
      </c>
      <c r="AB192" s="185" t="s">
        <v>18</v>
      </c>
      <c r="AC192" s="186" t="s">
        <v>21</v>
      </c>
      <c r="AD192" s="181" t="s">
        <v>1636</v>
      </c>
      <c r="AE192" s="179" t="s">
        <v>18</v>
      </c>
      <c r="AF192" s="191"/>
      <c r="AG192" s="175" t="s">
        <v>1173</v>
      </c>
      <c r="AH192" s="179">
        <f t="shared" si="25"/>
        <v>24</v>
      </c>
      <c r="AI192" s="179">
        <f>VLOOKUP(K192,[1]TRAMO!$A:$B,2,0)</f>
        <v>2</v>
      </c>
      <c r="AJ192" s="183">
        <f t="shared" si="26"/>
        <v>6372</v>
      </c>
      <c r="AK192" s="179">
        <f t="shared" si="27"/>
        <v>24</v>
      </c>
      <c r="AL192" s="183">
        <v>0</v>
      </c>
      <c r="AM192" s="183">
        <f t="shared" si="34"/>
        <v>960000</v>
      </c>
      <c r="AN192" s="183">
        <f t="shared" si="28"/>
        <v>0</v>
      </c>
      <c r="AO192" s="183">
        <f t="shared" si="29"/>
        <v>0</v>
      </c>
      <c r="AP192" s="183">
        <f t="shared" si="30"/>
        <v>7646400</v>
      </c>
      <c r="AR192" s="183">
        <f t="shared" si="31"/>
        <v>0</v>
      </c>
      <c r="AS192" s="183">
        <f t="shared" si="32"/>
        <v>8606400</v>
      </c>
      <c r="AT192" s="175" t="s">
        <v>1632</v>
      </c>
      <c r="AU192" s="175" t="s">
        <v>1633</v>
      </c>
      <c r="AV192" s="175" t="s">
        <v>1634</v>
      </c>
      <c r="AW192" s="175" t="s">
        <v>1031</v>
      </c>
    </row>
    <row r="193" spans="1:49" ht="24.95" customHeight="1" x14ac:dyDescent="0.25">
      <c r="A193" s="175">
        <v>14236</v>
      </c>
      <c r="B193" s="175" t="s">
        <v>86</v>
      </c>
      <c r="C193" s="175" t="s">
        <v>29</v>
      </c>
      <c r="D193" s="176">
        <v>1</v>
      </c>
      <c r="E193" s="176">
        <v>2025</v>
      </c>
      <c r="F193" s="176">
        <v>2025</v>
      </c>
      <c r="G193" s="175" t="s">
        <v>23</v>
      </c>
      <c r="H193" s="175" t="s">
        <v>86</v>
      </c>
      <c r="I193" s="175" t="s">
        <v>105</v>
      </c>
      <c r="J193" s="177" t="s">
        <v>993</v>
      </c>
      <c r="K193" s="175" t="s">
        <v>994</v>
      </c>
      <c r="L193" s="175" t="s">
        <v>407</v>
      </c>
      <c r="M193" s="175" t="s">
        <v>408</v>
      </c>
      <c r="N193" s="175">
        <v>5</v>
      </c>
      <c r="O193" s="175" t="s">
        <v>395</v>
      </c>
      <c r="P193" s="175" t="s">
        <v>1630</v>
      </c>
      <c r="Q193" s="175" t="s">
        <v>1201</v>
      </c>
      <c r="R193" s="175" t="s">
        <v>339</v>
      </c>
      <c r="S193" s="175" t="s">
        <v>22</v>
      </c>
      <c r="T193" s="175" t="s">
        <v>337</v>
      </c>
      <c r="U193" s="176">
        <v>10</v>
      </c>
      <c r="V193" s="176">
        <v>108</v>
      </c>
      <c r="W193" s="176">
        <v>12</v>
      </c>
      <c r="X193" s="179">
        <f t="shared" si="33"/>
        <v>120</v>
      </c>
      <c r="Y193" s="176">
        <v>5</v>
      </c>
      <c r="Z193" s="176" t="s">
        <v>20</v>
      </c>
      <c r="AA193" s="176" t="s">
        <v>18</v>
      </c>
      <c r="AB193" s="185" t="s">
        <v>18</v>
      </c>
      <c r="AC193" s="186" t="s">
        <v>21</v>
      </c>
      <c r="AD193" s="181" t="s">
        <v>1636</v>
      </c>
      <c r="AE193" s="179" t="s">
        <v>18</v>
      </c>
      <c r="AF193" s="191"/>
      <c r="AG193" s="175" t="s">
        <v>1173</v>
      </c>
      <c r="AH193" s="179">
        <f t="shared" si="25"/>
        <v>24</v>
      </c>
      <c r="AI193" s="179">
        <f>VLOOKUP(K193,[1]TRAMO!$A:$B,2,0)</f>
        <v>2</v>
      </c>
      <c r="AJ193" s="183">
        <f t="shared" si="26"/>
        <v>6372</v>
      </c>
      <c r="AK193" s="179">
        <f t="shared" si="27"/>
        <v>24</v>
      </c>
      <c r="AL193" s="183">
        <v>0</v>
      </c>
      <c r="AM193" s="183">
        <f t="shared" si="34"/>
        <v>960000</v>
      </c>
      <c r="AN193" s="183">
        <f t="shared" si="28"/>
        <v>0</v>
      </c>
      <c r="AO193" s="183">
        <f t="shared" si="29"/>
        <v>0</v>
      </c>
      <c r="AP193" s="183">
        <f t="shared" si="30"/>
        <v>7646400</v>
      </c>
      <c r="AR193" s="183">
        <f t="shared" si="31"/>
        <v>0</v>
      </c>
      <c r="AS193" s="183">
        <f t="shared" si="32"/>
        <v>8606400</v>
      </c>
      <c r="AT193" s="175" t="s">
        <v>1632</v>
      </c>
      <c r="AU193" s="175" t="s">
        <v>1633</v>
      </c>
      <c r="AV193" s="175" t="s">
        <v>1634</v>
      </c>
      <c r="AW193" s="175" t="s">
        <v>1031</v>
      </c>
    </row>
    <row r="194" spans="1:49" ht="24.95" customHeight="1" x14ac:dyDescent="0.25">
      <c r="A194" s="175">
        <v>14238</v>
      </c>
      <c r="B194" s="175" t="s">
        <v>86</v>
      </c>
      <c r="C194" s="175" t="s">
        <v>29</v>
      </c>
      <c r="D194" s="176">
        <v>1</v>
      </c>
      <c r="E194" s="176">
        <v>2025</v>
      </c>
      <c r="F194" s="176">
        <v>2025</v>
      </c>
      <c r="G194" s="175" t="s">
        <v>23</v>
      </c>
      <c r="H194" s="175" t="s">
        <v>86</v>
      </c>
      <c r="I194" s="175" t="s">
        <v>105</v>
      </c>
      <c r="J194" s="177" t="s">
        <v>993</v>
      </c>
      <c r="K194" s="175" t="s">
        <v>994</v>
      </c>
      <c r="L194" s="175" t="s">
        <v>407</v>
      </c>
      <c r="M194" s="175" t="s">
        <v>408</v>
      </c>
      <c r="N194" s="175">
        <v>13</v>
      </c>
      <c r="O194" s="175" t="s">
        <v>382</v>
      </c>
      <c r="P194" s="175" t="s">
        <v>412</v>
      </c>
      <c r="Q194" s="175" t="s">
        <v>1201</v>
      </c>
      <c r="R194" s="175" t="s">
        <v>339</v>
      </c>
      <c r="S194" s="175" t="s">
        <v>22</v>
      </c>
      <c r="T194" s="175" t="s">
        <v>337</v>
      </c>
      <c r="U194" s="176">
        <v>10</v>
      </c>
      <c r="V194" s="176">
        <v>108</v>
      </c>
      <c r="W194" s="176">
        <v>12</v>
      </c>
      <c r="X194" s="179">
        <f t="shared" si="33"/>
        <v>120</v>
      </c>
      <c r="Y194" s="176">
        <v>5</v>
      </c>
      <c r="Z194" s="176" t="s">
        <v>20</v>
      </c>
      <c r="AA194" s="176" t="s">
        <v>18</v>
      </c>
      <c r="AB194" s="185" t="s">
        <v>18</v>
      </c>
      <c r="AC194" s="186" t="s">
        <v>21</v>
      </c>
      <c r="AD194" s="181" t="s">
        <v>1918</v>
      </c>
      <c r="AE194" s="179" t="s">
        <v>18</v>
      </c>
      <c r="AF194" s="191"/>
      <c r="AG194" s="175" t="s">
        <v>1173</v>
      </c>
      <c r="AH194" s="179">
        <f t="shared" ref="AH194:AH257" si="35">ROUNDUP(AK194,0)</f>
        <v>24</v>
      </c>
      <c r="AI194" s="179">
        <f>VLOOKUP(K194,[1]TRAMO!$A:$B,2,0)</f>
        <v>2</v>
      </c>
      <c r="AJ194" s="183">
        <f t="shared" ref="AJ194:AJ257" si="36">IF(AI194=1,5074,IF(AI194=2,6372,IF(AI194=3,7434,"ERROR")))</f>
        <v>6372</v>
      </c>
      <c r="AK194" s="179">
        <f t="shared" ref="AK194:AK257" si="37">+(X194/Y194)</f>
        <v>24</v>
      </c>
      <c r="AL194" s="183">
        <v>0</v>
      </c>
      <c r="AM194" s="183">
        <f t="shared" si="34"/>
        <v>960000</v>
      </c>
      <c r="AN194" s="183">
        <f t="shared" ref="AN194:AN257" si="38">IF(AA194="SI",5000*AH194*U194,0)</f>
        <v>0</v>
      </c>
      <c r="AO194" s="183">
        <f t="shared" ref="AO194:AO257" si="39">IF(AB194="SI",270000*U194,0)</f>
        <v>0</v>
      </c>
      <c r="AP194" s="183">
        <f t="shared" ref="AP194:AP257" si="40">+(AJ194*X194*U194)</f>
        <v>7646400</v>
      </c>
      <c r="AR194" s="183">
        <f t="shared" ref="AR194:AR257" si="41">+(AL194*U194)</f>
        <v>0</v>
      </c>
      <c r="AS194" s="183">
        <f t="shared" ref="AS194:AS257" si="42">+(AM194+AN194+AO194+AP194+AR194)</f>
        <v>8606400</v>
      </c>
      <c r="AT194" s="175" t="s">
        <v>1632</v>
      </c>
      <c r="AU194" s="175" t="s">
        <v>1633</v>
      </c>
      <c r="AV194" s="175" t="s">
        <v>1634</v>
      </c>
      <c r="AW194" s="175" t="s">
        <v>1031</v>
      </c>
    </row>
    <row r="195" spans="1:49" ht="24.95" customHeight="1" x14ac:dyDescent="0.25">
      <c r="A195" s="175">
        <v>14310</v>
      </c>
      <c r="B195" s="175" t="s">
        <v>96</v>
      </c>
      <c r="C195" s="175" t="s">
        <v>39</v>
      </c>
      <c r="D195" s="176">
        <v>4</v>
      </c>
      <c r="E195" s="176">
        <v>2025</v>
      </c>
      <c r="F195" s="176">
        <v>2025</v>
      </c>
      <c r="G195" s="175" t="s">
        <v>23</v>
      </c>
      <c r="H195" s="175" t="s">
        <v>96</v>
      </c>
      <c r="I195" s="175" t="s">
        <v>1042</v>
      </c>
      <c r="J195" s="177" t="s">
        <v>1919</v>
      </c>
      <c r="K195" s="175" t="s">
        <v>1920</v>
      </c>
      <c r="L195" s="175" t="s">
        <v>21</v>
      </c>
      <c r="M195" s="175" t="s">
        <v>21</v>
      </c>
      <c r="N195" s="175">
        <v>5</v>
      </c>
      <c r="O195" s="175" t="s">
        <v>395</v>
      </c>
      <c r="P195" s="175" t="s">
        <v>397</v>
      </c>
      <c r="Q195" s="175" t="s">
        <v>702</v>
      </c>
      <c r="R195" s="175" t="s">
        <v>339</v>
      </c>
      <c r="S195" s="175" t="s">
        <v>22</v>
      </c>
      <c r="T195" s="175" t="s">
        <v>337</v>
      </c>
      <c r="U195" s="176">
        <v>10</v>
      </c>
      <c r="V195" s="176">
        <v>100</v>
      </c>
      <c r="W195" s="176" t="s">
        <v>21</v>
      </c>
      <c r="X195" s="179">
        <f t="shared" si="33"/>
        <v>100</v>
      </c>
      <c r="Y195" s="176">
        <v>5</v>
      </c>
      <c r="Z195" s="176" t="s">
        <v>20</v>
      </c>
      <c r="AA195" s="176" t="s">
        <v>18</v>
      </c>
      <c r="AB195" s="185" t="s">
        <v>18</v>
      </c>
      <c r="AC195" s="186" t="s">
        <v>21</v>
      </c>
      <c r="AD195" s="181" t="s">
        <v>1921</v>
      </c>
      <c r="AE195" s="179" t="s">
        <v>18</v>
      </c>
      <c r="AF195" s="191"/>
      <c r="AG195" s="175" t="s">
        <v>1173</v>
      </c>
      <c r="AH195" s="179">
        <f t="shared" si="35"/>
        <v>20</v>
      </c>
      <c r="AI195" s="179">
        <v>1</v>
      </c>
      <c r="AJ195" s="183">
        <f t="shared" si="36"/>
        <v>5074</v>
      </c>
      <c r="AK195" s="179">
        <f t="shared" si="37"/>
        <v>20</v>
      </c>
      <c r="AL195" s="183">
        <v>0</v>
      </c>
      <c r="AM195" s="183">
        <f t="shared" si="34"/>
        <v>800000</v>
      </c>
      <c r="AN195" s="183">
        <f t="shared" si="38"/>
        <v>0</v>
      </c>
      <c r="AO195" s="183">
        <f t="shared" si="39"/>
        <v>0</v>
      </c>
      <c r="AP195" s="183">
        <f t="shared" si="40"/>
        <v>5074000</v>
      </c>
      <c r="AR195" s="183">
        <f t="shared" si="41"/>
        <v>0</v>
      </c>
      <c r="AS195" s="183">
        <f t="shared" si="42"/>
        <v>5874000</v>
      </c>
      <c r="AT195" s="175" t="s">
        <v>1818</v>
      </c>
      <c r="AU195" s="175" t="s">
        <v>1751</v>
      </c>
      <c r="AV195" s="175" t="s">
        <v>1819</v>
      </c>
      <c r="AW195" s="175" t="s">
        <v>1024</v>
      </c>
    </row>
    <row r="196" spans="1:49" ht="24.95" customHeight="1" x14ac:dyDescent="0.25">
      <c r="A196" s="175">
        <v>14441</v>
      </c>
      <c r="B196" s="175" t="s">
        <v>97</v>
      </c>
      <c r="C196" s="188" t="s">
        <v>1610</v>
      </c>
      <c r="D196" s="176">
        <v>1</v>
      </c>
      <c r="E196" s="176">
        <v>2025</v>
      </c>
      <c r="F196" s="176">
        <v>2025</v>
      </c>
      <c r="G196" s="175" t="s">
        <v>23</v>
      </c>
      <c r="H196" s="175" t="s">
        <v>97</v>
      </c>
      <c r="I196" s="175" t="s">
        <v>1611</v>
      </c>
      <c r="J196" s="177" t="s">
        <v>1919</v>
      </c>
      <c r="K196" s="175" t="s">
        <v>1920</v>
      </c>
      <c r="L196" s="175" t="s">
        <v>21</v>
      </c>
      <c r="M196" s="175" t="s">
        <v>21</v>
      </c>
      <c r="N196" s="175">
        <v>7</v>
      </c>
      <c r="O196" s="175" t="s">
        <v>428</v>
      </c>
      <c r="P196" s="175" t="s">
        <v>419</v>
      </c>
      <c r="Q196" s="175" t="s">
        <v>388</v>
      </c>
      <c r="R196" s="175" t="s">
        <v>339</v>
      </c>
      <c r="S196" s="175" t="s">
        <v>22</v>
      </c>
      <c r="T196" s="175" t="s">
        <v>337</v>
      </c>
      <c r="U196" s="176">
        <v>15</v>
      </c>
      <c r="V196" s="176">
        <v>100</v>
      </c>
      <c r="W196" s="176" t="s">
        <v>21</v>
      </c>
      <c r="X196" s="179">
        <f t="shared" si="33"/>
        <v>100</v>
      </c>
      <c r="Y196" s="176">
        <v>4</v>
      </c>
      <c r="Z196" s="176" t="s">
        <v>20</v>
      </c>
      <c r="AA196" s="176" t="s">
        <v>18</v>
      </c>
      <c r="AB196" s="185" t="s">
        <v>18</v>
      </c>
      <c r="AC196" s="186" t="s">
        <v>21</v>
      </c>
      <c r="AD196" s="181" t="s">
        <v>1914</v>
      </c>
      <c r="AE196" s="179" t="s">
        <v>18</v>
      </c>
      <c r="AF196" s="191"/>
      <c r="AG196" s="175" t="s">
        <v>1173</v>
      </c>
      <c r="AH196" s="179">
        <f t="shared" si="35"/>
        <v>25</v>
      </c>
      <c r="AI196" s="179">
        <v>1</v>
      </c>
      <c r="AJ196" s="183">
        <f t="shared" si="36"/>
        <v>5074</v>
      </c>
      <c r="AK196" s="179">
        <f t="shared" si="37"/>
        <v>25</v>
      </c>
      <c r="AL196" s="183">
        <v>0</v>
      </c>
      <c r="AM196" s="183">
        <f t="shared" si="34"/>
        <v>1500000</v>
      </c>
      <c r="AN196" s="183">
        <f t="shared" si="38"/>
        <v>0</v>
      </c>
      <c r="AO196" s="183">
        <f t="shared" si="39"/>
        <v>0</v>
      </c>
      <c r="AP196" s="183">
        <f t="shared" si="40"/>
        <v>7611000</v>
      </c>
      <c r="AR196" s="183">
        <f t="shared" si="41"/>
        <v>0</v>
      </c>
      <c r="AS196" s="183">
        <f t="shared" si="42"/>
        <v>9111000</v>
      </c>
      <c r="AT196" s="175" t="s">
        <v>1614</v>
      </c>
      <c r="AU196" s="175" t="s">
        <v>1615</v>
      </c>
      <c r="AV196" s="175" t="s">
        <v>1620</v>
      </c>
      <c r="AW196" s="175" t="s">
        <v>1621</v>
      </c>
    </row>
    <row r="197" spans="1:49" ht="24.95" customHeight="1" x14ac:dyDescent="0.25">
      <c r="A197" s="175">
        <v>14250</v>
      </c>
      <c r="B197" s="175" t="s">
        <v>96</v>
      </c>
      <c r="C197" s="175" t="s">
        <v>39</v>
      </c>
      <c r="D197" s="176">
        <v>4</v>
      </c>
      <c r="E197" s="176">
        <v>2025</v>
      </c>
      <c r="F197" s="176">
        <v>2025</v>
      </c>
      <c r="G197" s="175" t="s">
        <v>23</v>
      </c>
      <c r="H197" s="175" t="s">
        <v>96</v>
      </c>
      <c r="I197" s="175" t="s">
        <v>1042</v>
      </c>
      <c r="J197" s="177" t="s">
        <v>1922</v>
      </c>
      <c r="K197" s="175" t="s">
        <v>1923</v>
      </c>
      <c r="L197" s="175" t="s">
        <v>21</v>
      </c>
      <c r="M197" s="175" t="s">
        <v>21</v>
      </c>
      <c r="N197" s="175">
        <v>13</v>
      </c>
      <c r="O197" s="175" t="s">
        <v>382</v>
      </c>
      <c r="P197" s="175" t="s">
        <v>416</v>
      </c>
      <c r="Q197" s="175" t="s">
        <v>1201</v>
      </c>
      <c r="R197" s="175" t="s">
        <v>339</v>
      </c>
      <c r="S197" s="175" t="s">
        <v>22</v>
      </c>
      <c r="T197" s="175" t="s">
        <v>337</v>
      </c>
      <c r="U197" s="176">
        <v>16</v>
      </c>
      <c r="V197" s="176">
        <v>116</v>
      </c>
      <c r="W197" s="176" t="s">
        <v>21</v>
      </c>
      <c r="X197" s="179">
        <f t="shared" si="33"/>
        <v>116</v>
      </c>
      <c r="Y197" s="176">
        <v>5</v>
      </c>
      <c r="Z197" s="176" t="s">
        <v>20</v>
      </c>
      <c r="AA197" s="176" t="s">
        <v>18</v>
      </c>
      <c r="AB197" s="185" t="s">
        <v>18</v>
      </c>
      <c r="AC197" s="186" t="s">
        <v>21</v>
      </c>
      <c r="AD197" s="181" t="s">
        <v>1924</v>
      </c>
      <c r="AE197" s="179" t="s">
        <v>18</v>
      </c>
      <c r="AF197" s="191"/>
      <c r="AG197" s="175" t="s">
        <v>1173</v>
      </c>
      <c r="AH197" s="179">
        <f t="shared" si="35"/>
        <v>24</v>
      </c>
      <c r="AI197" s="179">
        <v>3</v>
      </c>
      <c r="AJ197" s="183">
        <f t="shared" si="36"/>
        <v>7434</v>
      </c>
      <c r="AK197" s="179">
        <f t="shared" si="37"/>
        <v>23.2</v>
      </c>
      <c r="AL197" s="183">
        <v>0</v>
      </c>
      <c r="AM197" s="183">
        <f t="shared" si="34"/>
        <v>1536000</v>
      </c>
      <c r="AN197" s="183">
        <f t="shared" si="38"/>
        <v>0</v>
      </c>
      <c r="AO197" s="183">
        <f t="shared" si="39"/>
        <v>0</v>
      </c>
      <c r="AP197" s="183">
        <f t="shared" si="40"/>
        <v>13797504</v>
      </c>
      <c r="AR197" s="183">
        <f t="shared" si="41"/>
        <v>0</v>
      </c>
      <c r="AS197" s="183">
        <f t="shared" si="42"/>
        <v>15333504</v>
      </c>
      <c r="AT197" s="175" t="s">
        <v>1832</v>
      </c>
      <c r="AU197" s="175" t="s">
        <v>1833</v>
      </c>
      <c r="AV197" s="175" t="s">
        <v>1834</v>
      </c>
      <c r="AW197" s="175" t="s">
        <v>1835</v>
      </c>
    </row>
    <row r="198" spans="1:49" ht="24.95" customHeight="1" x14ac:dyDescent="0.25">
      <c r="A198" s="175">
        <v>14350</v>
      </c>
      <c r="B198" s="175" t="s">
        <v>86</v>
      </c>
      <c r="C198" s="175" t="s">
        <v>29</v>
      </c>
      <c r="D198" s="176">
        <v>1</v>
      </c>
      <c r="E198" s="176">
        <v>2025</v>
      </c>
      <c r="F198" s="176">
        <v>2025</v>
      </c>
      <c r="G198" s="175" t="s">
        <v>23</v>
      </c>
      <c r="H198" s="175" t="s">
        <v>86</v>
      </c>
      <c r="I198" s="175" t="s">
        <v>105</v>
      </c>
      <c r="J198" s="177" t="s">
        <v>1922</v>
      </c>
      <c r="K198" s="175" t="s">
        <v>1923</v>
      </c>
      <c r="L198" s="175" t="s">
        <v>21</v>
      </c>
      <c r="M198" s="175" t="s">
        <v>21</v>
      </c>
      <c r="N198" s="175">
        <v>4</v>
      </c>
      <c r="O198" s="175" t="s">
        <v>415</v>
      </c>
      <c r="P198" s="175" t="s">
        <v>427</v>
      </c>
      <c r="Q198" s="175" t="s">
        <v>1504</v>
      </c>
      <c r="R198" s="175" t="s">
        <v>339</v>
      </c>
      <c r="S198" s="175" t="s">
        <v>22</v>
      </c>
      <c r="T198" s="175" t="s">
        <v>337</v>
      </c>
      <c r="U198" s="176">
        <v>10</v>
      </c>
      <c r="V198" s="176">
        <v>116</v>
      </c>
      <c r="W198" s="176" t="s">
        <v>21</v>
      </c>
      <c r="X198" s="179">
        <f t="shared" si="33"/>
        <v>116</v>
      </c>
      <c r="Y198" s="176">
        <v>4</v>
      </c>
      <c r="Z198" s="176" t="s">
        <v>20</v>
      </c>
      <c r="AA198" s="176" t="s">
        <v>18</v>
      </c>
      <c r="AB198" s="185" t="s">
        <v>18</v>
      </c>
      <c r="AC198" s="186" t="s">
        <v>21</v>
      </c>
      <c r="AD198" s="181" t="s">
        <v>1925</v>
      </c>
      <c r="AE198" s="179" t="s">
        <v>18</v>
      </c>
      <c r="AF198" s="191"/>
      <c r="AG198" s="175" t="s">
        <v>1173</v>
      </c>
      <c r="AH198" s="179">
        <f t="shared" si="35"/>
        <v>29</v>
      </c>
      <c r="AI198" s="179">
        <v>3</v>
      </c>
      <c r="AJ198" s="183">
        <f t="shared" si="36"/>
        <v>7434</v>
      </c>
      <c r="AK198" s="179">
        <f t="shared" si="37"/>
        <v>29</v>
      </c>
      <c r="AL198" s="183">
        <v>0</v>
      </c>
      <c r="AM198" s="183">
        <f t="shared" si="34"/>
        <v>1160000</v>
      </c>
      <c r="AN198" s="183">
        <f t="shared" si="38"/>
        <v>0</v>
      </c>
      <c r="AO198" s="183">
        <f t="shared" si="39"/>
        <v>0</v>
      </c>
      <c r="AP198" s="183">
        <f t="shared" si="40"/>
        <v>8623440</v>
      </c>
      <c r="AR198" s="183">
        <f t="shared" si="41"/>
        <v>0</v>
      </c>
      <c r="AS198" s="183">
        <f t="shared" si="42"/>
        <v>9783440</v>
      </c>
      <c r="AT198" s="175" t="s">
        <v>1506</v>
      </c>
      <c r="AU198" s="175" t="s">
        <v>1507</v>
      </c>
      <c r="AV198" s="175" t="s">
        <v>1508</v>
      </c>
      <c r="AW198" s="175" t="s">
        <v>1767</v>
      </c>
    </row>
    <row r="199" spans="1:49" ht="24.95" customHeight="1" x14ac:dyDescent="0.25">
      <c r="A199" s="175">
        <v>14479</v>
      </c>
      <c r="B199" s="175" t="s">
        <v>83</v>
      </c>
      <c r="C199" s="175" t="s">
        <v>1022</v>
      </c>
      <c r="D199" s="176">
        <v>1</v>
      </c>
      <c r="E199" s="176">
        <v>2025</v>
      </c>
      <c r="F199" s="176">
        <v>2025</v>
      </c>
      <c r="G199" s="175" t="s">
        <v>23</v>
      </c>
      <c r="H199" s="175" t="s">
        <v>83</v>
      </c>
      <c r="I199" s="175" t="s">
        <v>102</v>
      </c>
      <c r="J199" s="177" t="s">
        <v>1926</v>
      </c>
      <c r="K199" s="175" t="s">
        <v>21</v>
      </c>
      <c r="L199" s="175" t="s">
        <v>21</v>
      </c>
      <c r="M199" s="175" t="s">
        <v>21</v>
      </c>
      <c r="N199" s="175">
        <v>6</v>
      </c>
      <c r="O199" s="175" t="s">
        <v>796</v>
      </c>
      <c r="P199" s="175" t="s">
        <v>726</v>
      </c>
      <c r="Q199" s="175" t="s">
        <v>1178</v>
      </c>
      <c r="R199" s="175" t="s">
        <v>339</v>
      </c>
      <c r="S199" s="175" t="s">
        <v>22</v>
      </c>
      <c r="T199" s="175" t="s">
        <v>347</v>
      </c>
      <c r="U199" s="176">
        <v>20</v>
      </c>
      <c r="V199" s="176">
        <v>115</v>
      </c>
      <c r="W199" s="176" t="s">
        <v>21</v>
      </c>
      <c r="X199" s="179">
        <f t="shared" si="33"/>
        <v>115</v>
      </c>
      <c r="Y199" s="176">
        <v>4</v>
      </c>
      <c r="Z199" s="176" t="s">
        <v>20</v>
      </c>
      <c r="AA199" s="176" t="s">
        <v>18</v>
      </c>
      <c r="AB199" s="185" t="s">
        <v>18</v>
      </c>
      <c r="AC199" s="186" t="s">
        <v>1927</v>
      </c>
      <c r="AD199" s="181" t="s">
        <v>1928</v>
      </c>
      <c r="AE199" s="179" t="s">
        <v>18</v>
      </c>
      <c r="AF199" s="191"/>
      <c r="AG199" s="175" t="s">
        <v>1173</v>
      </c>
      <c r="AH199" s="179">
        <f t="shared" si="35"/>
        <v>29</v>
      </c>
      <c r="AI199" s="179">
        <v>1</v>
      </c>
      <c r="AJ199" s="183">
        <f t="shared" si="36"/>
        <v>5074</v>
      </c>
      <c r="AK199" s="179">
        <f t="shared" si="37"/>
        <v>28.75</v>
      </c>
      <c r="AL199" s="183">
        <v>0</v>
      </c>
      <c r="AM199" s="183">
        <f t="shared" si="34"/>
        <v>2320000</v>
      </c>
      <c r="AN199" s="183">
        <f t="shared" si="38"/>
        <v>0</v>
      </c>
      <c r="AO199" s="183">
        <f t="shared" si="39"/>
        <v>0</v>
      </c>
      <c r="AP199" s="183">
        <f t="shared" si="40"/>
        <v>11670200</v>
      </c>
      <c r="AR199" s="183">
        <f t="shared" si="41"/>
        <v>0</v>
      </c>
      <c r="AS199" s="183">
        <f t="shared" si="42"/>
        <v>13990200</v>
      </c>
      <c r="AT199" s="175" t="s">
        <v>1535</v>
      </c>
      <c r="AU199" s="175" t="s">
        <v>1536</v>
      </c>
      <c r="AV199" s="175" t="s">
        <v>1929</v>
      </c>
      <c r="AW199" s="175" t="s">
        <v>1930</v>
      </c>
    </row>
    <row r="200" spans="1:49" ht="24.95" customHeight="1" x14ac:dyDescent="0.25">
      <c r="A200" s="175">
        <v>14484</v>
      </c>
      <c r="B200" s="175" t="s">
        <v>83</v>
      </c>
      <c r="C200" s="175" t="s">
        <v>1022</v>
      </c>
      <c r="D200" s="176">
        <v>1</v>
      </c>
      <c r="E200" s="176">
        <v>2025</v>
      </c>
      <c r="F200" s="176">
        <v>2025</v>
      </c>
      <c r="G200" s="175" t="s">
        <v>23</v>
      </c>
      <c r="H200" s="175" t="s">
        <v>83</v>
      </c>
      <c r="I200" s="175" t="s">
        <v>102</v>
      </c>
      <c r="J200" s="177" t="s">
        <v>1926</v>
      </c>
      <c r="K200" s="175" t="s">
        <v>21</v>
      </c>
      <c r="L200" s="175" t="s">
        <v>21</v>
      </c>
      <c r="M200" s="175" t="s">
        <v>21</v>
      </c>
      <c r="N200" s="175">
        <v>6</v>
      </c>
      <c r="O200" s="175" t="s">
        <v>796</v>
      </c>
      <c r="P200" s="175" t="s">
        <v>1931</v>
      </c>
      <c r="Q200" s="175" t="s">
        <v>1178</v>
      </c>
      <c r="R200" s="175" t="s">
        <v>339</v>
      </c>
      <c r="S200" s="175" t="s">
        <v>22</v>
      </c>
      <c r="T200" s="175" t="s">
        <v>347</v>
      </c>
      <c r="U200" s="176">
        <v>20</v>
      </c>
      <c r="V200" s="176">
        <v>115</v>
      </c>
      <c r="W200" s="176" t="s">
        <v>21</v>
      </c>
      <c r="X200" s="179">
        <f t="shared" ref="X200:X263" si="43">(SUM(V200:W200))*1</f>
        <v>115</v>
      </c>
      <c r="Y200" s="176">
        <v>3</v>
      </c>
      <c r="Z200" s="176" t="s">
        <v>20</v>
      </c>
      <c r="AA200" s="176" t="s">
        <v>18</v>
      </c>
      <c r="AB200" s="185" t="s">
        <v>18</v>
      </c>
      <c r="AC200" s="186" t="s">
        <v>1927</v>
      </c>
      <c r="AD200" s="181" t="s">
        <v>1932</v>
      </c>
      <c r="AE200" s="179" t="s">
        <v>18</v>
      </c>
      <c r="AF200" s="191"/>
      <c r="AG200" s="175" t="s">
        <v>1173</v>
      </c>
      <c r="AH200" s="179">
        <f t="shared" si="35"/>
        <v>39</v>
      </c>
      <c r="AI200" s="179">
        <v>1</v>
      </c>
      <c r="AJ200" s="183">
        <f t="shared" si="36"/>
        <v>5074</v>
      </c>
      <c r="AK200" s="179">
        <f t="shared" si="37"/>
        <v>38.333333333333336</v>
      </c>
      <c r="AL200" s="183">
        <v>0</v>
      </c>
      <c r="AM200" s="183">
        <f t="shared" si="34"/>
        <v>3120000</v>
      </c>
      <c r="AN200" s="183">
        <f t="shared" si="38"/>
        <v>0</v>
      </c>
      <c r="AO200" s="183">
        <f t="shared" si="39"/>
        <v>0</v>
      </c>
      <c r="AP200" s="183">
        <f t="shared" si="40"/>
        <v>11670200</v>
      </c>
      <c r="AR200" s="183">
        <f t="shared" si="41"/>
        <v>0</v>
      </c>
      <c r="AS200" s="183">
        <f t="shared" si="42"/>
        <v>14790200</v>
      </c>
      <c r="AT200" s="175" t="s">
        <v>1535</v>
      </c>
      <c r="AU200" s="175" t="s">
        <v>1536</v>
      </c>
      <c r="AV200" s="175" t="s">
        <v>1929</v>
      </c>
      <c r="AW200" s="175" t="s">
        <v>1930</v>
      </c>
    </row>
    <row r="201" spans="1:49" ht="24.95" customHeight="1" x14ac:dyDescent="0.25">
      <c r="A201" s="175">
        <v>14485</v>
      </c>
      <c r="B201" s="175" t="s">
        <v>83</v>
      </c>
      <c r="C201" s="175" t="s">
        <v>1022</v>
      </c>
      <c r="D201" s="176">
        <v>1</v>
      </c>
      <c r="E201" s="176">
        <v>2025</v>
      </c>
      <c r="F201" s="176">
        <v>2025</v>
      </c>
      <c r="G201" s="175" t="s">
        <v>23</v>
      </c>
      <c r="H201" s="175" t="s">
        <v>83</v>
      </c>
      <c r="I201" s="175" t="s">
        <v>102</v>
      </c>
      <c r="J201" s="177" t="s">
        <v>1926</v>
      </c>
      <c r="K201" s="175" t="s">
        <v>21</v>
      </c>
      <c r="L201" s="175" t="s">
        <v>21</v>
      </c>
      <c r="M201" s="175" t="s">
        <v>21</v>
      </c>
      <c r="N201" s="175">
        <v>6</v>
      </c>
      <c r="O201" s="175" t="s">
        <v>796</v>
      </c>
      <c r="P201" s="175" t="s">
        <v>1933</v>
      </c>
      <c r="Q201" s="175" t="s">
        <v>1178</v>
      </c>
      <c r="R201" s="175" t="s">
        <v>339</v>
      </c>
      <c r="S201" s="175" t="s">
        <v>22</v>
      </c>
      <c r="T201" s="175" t="s">
        <v>347</v>
      </c>
      <c r="U201" s="176">
        <v>20</v>
      </c>
      <c r="V201" s="176">
        <v>115</v>
      </c>
      <c r="W201" s="176" t="s">
        <v>21</v>
      </c>
      <c r="X201" s="179">
        <f t="shared" si="43"/>
        <v>115</v>
      </c>
      <c r="Y201" s="176">
        <v>3</v>
      </c>
      <c r="Z201" s="176" t="s">
        <v>20</v>
      </c>
      <c r="AA201" s="176" t="s">
        <v>18</v>
      </c>
      <c r="AB201" s="185" t="s">
        <v>18</v>
      </c>
      <c r="AC201" s="186" t="s">
        <v>1927</v>
      </c>
      <c r="AD201" s="181" t="s">
        <v>1934</v>
      </c>
      <c r="AE201" s="179" t="s">
        <v>18</v>
      </c>
      <c r="AF201" s="191"/>
      <c r="AG201" s="175" t="s">
        <v>1173</v>
      </c>
      <c r="AH201" s="179">
        <f t="shared" si="35"/>
        <v>39</v>
      </c>
      <c r="AI201" s="179">
        <v>1</v>
      </c>
      <c r="AJ201" s="183">
        <f t="shared" si="36"/>
        <v>5074</v>
      </c>
      <c r="AK201" s="179">
        <f t="shared" si="37"/>
        <v>38.333333333333336</v>
      </c>
      <c r="AL201" s="183">
        <v>0</v>
      </c>
      <c r="AM201" s="183">
        <f t="shared" si="34"/>
        <v>3120000</v>
      </c>
      <c r="AN201" s="183">
        <f t="shared" si="38"/>
        <v>0</v>
      </c>
      <c r="AO201" s="183">
        <f t="shared" si="39"/>
        <v>0</v>
      </c>
      <c r="AP201" s="183">
        <f t="shared" si="40"/>
        <v>11670200</v>
      </c>
      <c r="AR201" s="183">
        <f t="shared" si="41"/>
        <v>0</v>
      </c>
      <c r="AS201" s="183">
        <f t="shared" si="42"/>
        <v>14790200</v>
      </c>
      <c r="AT201" s="175" t="s">
        <v>1535</v>
      </c>
      <c r="AU201" s="175" t="s">
        <v>1536</v>
      </c>
      <c r="AV201" s="175" t="s">
        <v>1929</v>
      </c>
      <c r="AW201" s="175" t="s">
        <v>1930</v>
      </c>
    </row>
    <row r="202" spans="1:49" ht="24.95" customHeight="1" x14ac:dyDescent="0.25">
      <c r="A202" s="175">
        <v>14487</v>
      </c>
      <c r="B202" s="175" t="s">
        <v>83</v>
      </c>
      <c r="C202" s="175" t="s">
        <v>1022</v>
      </c>
      <c r="D202" s="176">
        <v>1</v>
      </c>
      <c r="E202" s="176">
        <v>2025</v>
      </c>
      <c r="F202" s="176">
        <v>2025</v>
      </c>
      <c r="G202" s="175" t="s">
        <v>23</v>
      </c>
      <c r="H202" s="175" t="s">
        <v>83</v>
      </c>
      <c r="I202" s="175" t="s">
        <v>102</v>
      </c>
      <c r="J202" s="177" t="s">
        <v>1926</v>
      </c>
      <c r="K202" s="175" t="s">
        <v>21</v>
      </c>
      <c r="L202" s="175" t="s">
        <v>21</v>
      </c>
      <c r="M202" s="175" t="s">
        <v>21</v>
      </c>
      <c r="N202" s="175">
        <v>6</v>
      </c>
      <c r="O202" s="175" t="s">
        <v>796</v>
      </c>
      <c r="P202" s="175" t="s">
        <v>1935</v>
      </c>
      <c r="Q202" s="175" t="s">
        <v>1178</v>
      </c>
      <c r="R202" s="175" t="s">
        <v>339</v>
      </c>
      <c r="S202" s="175" t="s">
        <v>22</v>
      </c>
      <c r="T202" s="175" t="s">
        <v>347</v>
      </c>
      <c r="U202" s="176">
        <v>20</v>
      </c>
      <c r="V202" s="176">
        <v>115</v>
      </c>
      <c r="W202" s="176" t="s">
        <v>21</v>
      </c>
      <c r="X202" s="179">
        <f t="shared" si="43"/>
        <v>115</v>
      </c>
      <c r="Y202" s="176">
        <v>3</v>
      </c>
      <c r="Z202" s="176" t="s">
        <v>20</v>
      </c>
      <c r="AA202" s="176" t="s">
        <v>18</v>
      </c>
      <c r="AB202" s="185" t="s">
        <v>18</v>
      </c>
      <c r="AC202" s="186" t="s">
        <v>1927</v>
      </c>
      <c r="AD202" s="181" t="s">
        <v>1936</v>
      </c>
      <c r="AE202" s="179" t="s">
        <v>18</v>
      </c>
      <c r="AF202" s="191"/>
      <c r="AG202" s="175" t="s">
        <v>1173</v>
      </c>
      <c r="AH202" s="179">
        <f t="shared" si="35"/>
        <v>39</v>
      </c>
      <c r="AI202" s="179">
        <v>1</v>
      </c>
      <c r="AJ202" s="183">
        <f t="shared" si="36"/>
        <v>5074</v>
      </c>
      <c r="AK202" s="179">
        <f t="shared" si="37"/>
        <v>38.333333333333336</v>
      </c>
      <c r="AL202" s="183">
        <v>0</v>
      </c>
      <c r="AM202" s="183">
        <f t="shared" si="34"/>
        <v>3120000</v>
      </c>
      <c r="AN202" s="183">
        <f t="shared" si="38"/>
        <v>0</v>
      </c>
      <c r="AO202" s="183">
        <f t="shared" si="39"/>
        <v>0</v>
      </c>
      <c r="AP202" s="183">
        <f t="shared" si="40"/>
        <v>11670200</v>
      </c>
      <c r="AR202" s="183">
        <f t="shared" si="41"/>
        <v>0</v>
      </c>
      <c r="AS202" s="183">
        <f t="shared" si="42"/>
        <v>14790200</v>
      </c>
      <c r="AT202" s="175" t="s">
        <v>1535</v>
      </c>
      <c r="AU202" s="175" t="s">
        <v>1536</v>
      </c>
      <c r="AV202" s="175" t="s">
        <v>1929</v>
      </c>
      <c r="AW202" s="175" t="s">
        <v>1930</v>
      </c>
    </row>
    <row r="203" spans="1:49" ht="24.95" customHeight="1" x14ac:dyDescent="0.25">
      <c r="A203" s="175">
        <v>14488</v>
      </c>
      <c r="B203" s="175" t="s">
        <v>83</v>
      </c>
      <c r="C203" s="175" t="s">
        <v>1022</v>
      </c>
      <c r="D203" s="176">
        <v>1</v>
      </c>
      <c r="E203" s="176">
        <v>2025</v>
      </c>
      <c r="F203" s="176">
        <v>2025</v>
      </c>
      <c r="G203" s="175" t="s">
        <v>23</v>
      </c>
      <c r="H203" s="175" t="s">
        <v>83</v>
      </c>
      <c r="I203" s="175" t="s">
        <v>102</v>
      </c>
      <c r="J203" s="177" t="s">
        <v>1926</v>
      </c>
      <c r="K203" s="175" t="s">
        <v>21</v>
      </c>
      <c r="L203" s="175" t="s">
        <v>21</v>
      </c>
      <c r="M203" s="175" t="s">
        <v>21</v>
      </c>
      <c r="N203" s="175">
        <v>6</v>
      </c>
      <c r="O203" s="175" t="s">
        <v>796</v>
      </c>
      <c r="P203" s="175" t="s">
        <v>818</v>
      </c>
      <c r="Q203" s="175" t="s">
        <v>1178</v>
      </c>
      <c r="R203" s="175" t="s">
        <v>339</v>
      </c>
      <c r="S203" s="175" t="s">
        <v>22</v>
      </c>
      <c r="T203" s="175" t="s">
        <v>347</v>
      </c>
      <c r="U203" s="176">
        <v>20</v>
      </c>
      <c r="V203" s="176">
        <v>115</v>
      </c>
      <c r="W203" s="176" t="s">
        <v>21</v>
      </c>
      <c r="X203" s="179">
        <f t="shared" si="43"/>
        <v>115</v>
      </c>
      <c r="Y203" s="176">
        <v>3</v>
      </c>
      <c r="Z203" s="176" t="s">
        <v>20</v>
      </c>
      <c r="AA203" s="176" t="s">
        <v>18</v>
      </c>
      <c r="AB203" s="185" t="s">
        <v>18</v>
      </c>
      <c r="AC203" s="186" t="s">
        <v>1927</v>
      </c>
      <c r="AD203" s="181" t="s">
        <v>1936</v>
      </c>
      <c r="AE203" s="179" t="s">
        <v>18</v>
      </c>
      <c r="AF203" s="191"/>
      <c r="AG203" s="175" t="s">
        <v>1173</v>
      </c>
      <c r="AH203" s="179">
        <f t="shared" si="35"/>
        <v>39</v>
      </c>
      <c r="AI203" s="179">
        <v>1</v>
      </c>
      <c r="AJ203" s="183">
        <f t="shared" si="36"/>
        <v>5074</v>
      </c>
      <c r="AK203" s="179">
        <f t="shared" si="37"/>
        <v>38.333333333333336</v>
      </c>
      <c r="AL203" s="183">
        <v>0</v>
      </c>
      <c r="AM203" s="183">
        <f t="shared" si="34"/>
        <v>3120000</v>
      </c>
      <c r="AN203" s="183">
        <f t="shared" si="38"/>
        <v>0</v>
      </c>
      <c r="AO203" s="183">
        <f t="shared" si="39"/>
        <v>0</v>
      </c>
      <c r="AP203" s="183">
        <f t="shared" si="40"/>
        <v>11670200</v>
      </c>
      <c r="AR203" s="183">
        <f t="shared" si="41"/>
        <v>0</v>
      </c>
      <c r="AS203" s="183">
        <f t="shared" si="42"/>
        <v>14790200</v>
      </c>
      <c r="AT203" s="175" t="s">
        <v>1535</v>
      </c>
      <c r="AU203" s="175" t="s">
        <v>1536</v>
      </c>
      <c r="AV203" s="175" t="s">
        <v>1929</v>
      </c>
      <c r="AW203" s="175" t="s">
        <v>1930</v>
      </c>
    </row>
    <row r="204" spans="1:49" ht="24.95" customHeight="1" x14ac:dyDescent="0.25">
      <c r="A204" s="175">
        <v>14490</v>
      </c>
      <c r="B204" s="175" t="s">
        <v>83</v>
      </c>
      <c r="C204" s="175" t="s">
        <v>1022</v>
      </c>
      <c r="D204" s="176">
        <v>1</v>
      </c>
      <c r="E204" s="176">
        <v>2025</v>
      </c>
      <c r="F204" s="176">
        <v>2025</v>
      </c>
      <c r="G204" s="175" t="s">
        <v>23</v>
      </c>
      <c r="H204" s="175" t="s">
        <v>83</v>
      </c>
      <c r="I204" s="175" t="s">
        <v>102</v>
      </c>
      <c r="J204" s="177" t="s">
        <v>1926</v>
      </c>
      <c r="K204" s="175" t="s">
        <v>21</v>
      </c>
      <c r="L204" s="175" t="s">
        <v>21</v>
      </c>
      <c r="M204" s="175" t="s">
        <v>21</v>
      </c>
      <c r="N204" s="175">
        <v>7</v>
      </c>
      <c r="O204" s="175" t="s">
        <v>428</v>
      </c>
      <c r="P204" s="175" t="s">
        <v>1937</v>
      </c>
      <c r="Q204" s="175" t="s">
        <v>1178</v>
      </c>
      <c r="R204" s="175" t="s">
        <v>339</v>
      </c>
      <c r="S204" s="175" t="s">
        <v>22</v>
      </c>
      <c r="T204" s="175" t="s">
        <v>347</v>
      </c>
      <c r="U204" s="176">
        <v>20</v>
      </c>
      <c r="V204" s="176">
        <v>115</v>
      </c>
      <c r="W204" s="176" t="s">
        <v>21</v>
      </c>
      <c r="X204" s="179">
        <f t="shared" si="43"/>
        <v>115</v>
      </c>
      <c r="Y204" s="176">
        <v>3</v>
      </c>
      <c r="Z204" s="176" t="s">
        <v>20</v>
      </c>
      <c r="AA204" s="176" t="s">
        <v>18</v>
      </c>
      <c r="AB204" s="185" t="s">
        <v>18</v>
      </c>
      <c r="AC204" s="186" t="s">
        <v>1927</v>
      </c>
      <c r="AD204" s="181" t="s">
        <v>1936</v>
      </c>
      <c r="AE204" s="179" t="s">
        <v>18</v>
      </c>
      <c r="AF204" s="191"/>
      <c r="AG204" s="175" t="s">
        <v>1173</v>
      </c>
      <c r="AH204" s="179">
        <f t="shared" si="35"/>
        <v>39</v>
      </c>
      <c r="AI204" s="179">
        <v>1</v>
      </c>
      <c r="AJ204" s="183">
        <f t="shared" si="36"/>
        <v>5074</v>
      </c>
      <c r="AK204" s="179">
        <f t="shared" si="37"/>
        <v>38.333333333333336</v>
      </c>
      <c r="AL204" s="183">
        <v>0</v>
      </c>
      <c r="AM204" s="183">
        <f t="shared" ref="AM204:AM267" si="44">IF(Z204="SI",4000*U204*AH204,0)</f>
        <v>3120000</v>
      </c>
      <c r="AN204" s="183">
        <f t="shared" si="38"/>
        <v>0</v>
      </c>
      <c r="AO204" s="183">
        <f t="shared" si="39"/>
        <v>0</v>
      </c>
      <c r="AP204" s="183">
        <f t="shared" si="40"/>
        <v>11670200</v>
      </c>
      <c r="AR204" s="183">
        <f t="shared" si="41"/>
        <v>0</v>
      </c>
      <c r="AS204" s="183">
        <f t="shared" si="42"/>
        <v>14790200</v>
      </c>
      <c r="AT204" s="175" t="s">
        <v>1535</v>
      </c>
      <c r="AU204" s="175" t="s">
        <v>1536</v>
      </c>
      <c r="AV204" s="175" t="s">
        <v>1929</v>
      </c>
      <c r="AW204" s="175" t="s">
        <v>1930</v>
      </c>
    </row>
    <row r="205" spans="1:49" ht="24.95" customHeight="1" x14ac:dyDescent="0.25">
      <c r="A205" s="175">
        <v>14492</v>
      </c>
      <c r="B205" s="175" t="s">
        <v>83</v>
      </c>
      <c r="C205" s="175" t="s">
        <v>1022</v>
      </c>
      <c r="D205" s="176">
        <v>1</v>
      </c>
      <c r="E205" s="176">
        <v>2025</v>
      </c>
      <c r="F205" s="176">
        <v>2025</v>
      </c>
      <c r="G205" s="175" t="s">
        <v>23</v>
      </c>
      <c r="H205" s="175" t="s">
        <v>83</v>
      </c>
      <c r="I205" s="175" t="s">
        <v>102</v>
      </c>
      <c r="J205" s="177" t="s">
        <v>1926</v>
      </c>
      <c r="K205" s="175" t="s">
        <v>21</v>
      </c>
      <c r="L205" s="175" t="s">
        <v>21</v>
      </c>
      <c r="M205" s="175" t="s">
        <v>21</v>
      </c>
      <c r="N205" s="175">
        <v>7</v>
      </c>
      <c r="O205" s="175" t="s">
        <v>428</v>
      </c>
      <c r="P205" s="175" t="s">
        <v>419</v>
      </c>
      <c r="Q205" s="175" t="s">
        <v>1178</v>
      </c>
      <c r="R205" s="175" t="s">
        <v>339</v>
      </c>
      <c r="S205" s="175" t="s">
        <v>22</v>
      </c>
      <c r="T205" s="175" t="s">
        <v>347</v>
      </c>
      <c r="U205" s="176">
        <v>20</v>
      </c>
      <c r="V205" s="176">
        <v>115</v>
      </c>
      <c r="W205" s="176" t="s">
        <v>21</v>
      </c>
      <c r="X205" s="179">
        <f t="shared" si="43"/>
        <v>115</v>
      </c>
      <c r="Y205" s="176">
        <v>3</v>
      </c>
      <c r="Z205" s="176" t="s">
        <v>20</v>
      </c>
      <c r="AA205" s="176" t="s">
        <v>18</v>
      </c>
      <c r="AB205" s="185" t="s">
        <v>18</v>
      </c>
      <c r="AC205" s="186" t="s">
        <v>1927</v>
      </c>
      <c r="AD205" s="181" t="s">
        <v>1938</v>
      </c>
      <c r="AE205" s="179" t="s">
        <v>18</v>
      </c>
      <c r="AF205" s="191"/>
      <c r="AG205" s="175" t="s">
        <v>1173</v>
      </c>
      <c r="AH205" s="179">
        <f t="shared" si="35"/>
        <v>39</v>
      </c>
      <c r="AI205" s="179">
        <v>1</v>
      </c>
      <c r="AJ205" s="183">
        <f t="shared" si="36"/>
        <v>5074</v>
      </c>
      <c r="AK205" s="179">
        <f t="shared" si="37"/>
        <v>38.333333333333336</v>
      </c>
      <c r="AL205" s="183">
        <v>0</v>
      </c>
      <c r="AM205" s="183">
        <f t="shared" si="44"/>
        <v>3120000</v>
      </c>
      <c r="AN205" s="183">
        <f t="shared" si="38"/>
        <v>0</v>
      </c>
      <c r="AO205" s="183">
        <f t="shared" si="39"/>
        <v>0</v>
      </c>
      <c r="AP205" s="183">
        <f t="shared" si="40"/>
        <v>11670200</v>
      </c>
      <c r="AR205" s="183">
        <f t="shared" si="41"/>
        <v>0</v>
      </c>
      <c r="AS205" s="183">
        <f t="shared" si="42"/>
        <v>14790200</v>
      </c>
      <c r="AT205" s="175" t="s">
        <v>1535</v>
      </c>
      <c r="AU205" s="175" t="s">
        <v>1536</v>
      </c>
      <c r="AV205" s="175" t="s">
        <v>1929</v>
      </c>
      <c r="AW205" s="175" t="s">
        <v>1930</v>
      </c>
    </row>
    <row r="206" spans="1:49" ht="24.95" customHeight="1" x14ac:dyDescent="0.25">
      <c r="A206" s="175">
        <v>14493</v>
      </c>
      <c r="B206" s="175" t="s">
        <v>83</v>
      </c>
      <c r="C206" s="175" t="s">
        <v>1022</v>
      </c>
      <c r="D206" s="176">
        <v>1</v>
      </c>
      <c r="E206" s="176">
        <v>2025</v>
      </c>
      <c r="F206" s="176">
        <v>2025</v>
      </c>
      <c r="G206" s="175" t="s">
        <v>23</v>
      </c>
      <c r="H206" s="175" t="s">
        <v>83</v>
      </c>
      <c r="I206" s="175" t="s">
        <v>102</v>
      </c>
      <c r="J206" s="177" t="s">
        <v>1926</v>
      </c>
      <c r="K206" s="175" t="s">
        <v>21</v>
      </c>
      <c r="L206" s="175" t="s">
        <v>21</v>
      </c>
      <c r="M206" s="175" t="s">
        <v>21</v>
      </c>
      <c r="N206" s="175">
        <v>7</v>
      </c>
      <c r="O206" s="175" t="s">
        <v>428</v>
      </c>
      <c r="P206" s="175" t="s">
        <v>419</v>
      </c>
      <c r="Q206" s="175" t="s">
        <v>1178</v>
      </c>
      <c r="R206" s="175" t="s">
        <v>339</v>
      </c>
      <c r="S206" s="175" t="s">
        <v>22</v>
      </c>
      <c r="T206" s="175" t="s">
        <v>347</v>
      </c>
      <c r="U206" s="176">
        <v>20</v>
      </c>
      <c r="V206" s="176">
        <v>115</v>
      </c>
      <c r="W206" s="176" t="s">
        <v>21</v>
      </c>
      <c r="X206" s="179">
        <f t="shared" si="43"/>
        <v>115</v>
      </c>
      <c r="Y206" s="176">
        <v>3</v>
      </c>
      <c r="Z206" s="176" t="s">
        <v>20</v>
      </c>
      <c r="AA206" s="176" t="s">
        <v>18</v>
      </c>
      <c r="AB206" s="185" t="s">
        <v>18</v>
      </c>
      <c r="AC206" s="186" t="s">
        <v>1927</v>
      </c>
      <c r="AD206" s="181" t="s">
        <v>1938</v>
      </c>
      <c r="AE206" s="179" t="s">
        <v>18</v>
      </c>
      <c r="AF206" s="191"/>
      <c r="AG206" s="175" t="s">
        <v>1173</v>
      </c>
      <c r="AH206" s="179">
        <f t="shared" si="35"/>
        <v>39</v>
      </c>
      <c r="AI206" s="179">
        <v>1</v>
      </c>
      <c r="AJ206" s="183">
        <f t="shared" si="36"/>
        <v>5074</v>
      </c>
      <c r="AK206" s="179">
        <f t="shared" si="37"/>
        <v>38.333333333333336</v>
      </c>
      <c r="AL206" s="183">
        <v>0</v>
      </c>
      <c r="AM206" s="183">
        <f t="shared" si="44"/>
        <v>3120000</v>
      </c>
      <c r="AN206" s="183">
        <f t="shared" si="38"/>
        <v>0</v>
      </c>
      <c r="AO206" s="183">
        <f t="shared" si="39"/>
        <v>0</v>
      </c>
      <c r="AP206" s="183">
        <f t="shared" si="40"/>
        <v>11670200</v>
      </c>
      <c r="AR206" s="183">
        <f t="shared" si="41"/>
        <v>0</v>
      </c>
      <c r="AS206" s="183">
        <f t="shared" si="42"/>
        <v>14790200</v>
      </c>
      <c r="AT206" s="175" t="s">
        <v>1535</v>
      </c>
      <c r="AU206" s="175" t="s">
        <v>1536</v>
      </c>
      <c r="AV206" s="175" t="s">
        <v>1929</v>
      </c>
      <c r="AW206" s="175" t="s">
        <v>1930</v>
      </c>
    </row>
    <row r="207" spans="1:49" ht="24.95" customHeight="1" x14ac:dyDescent="0.25">
      <c r="A207" s="175">
        <v>14511</v>
      </c>
      <c r="B207" s="175" t="s">
        <v>83</v>
      </c>
      <c r="C207" s="175" t="s">
        <v>1022</v>
      </c>
      <c r="D207" s="176">
        <v>1</v>
      </c>
      <c r="E207" s="176">
        <v>2025</v>
      </c>
      <c r="F207" s="176">
        <v>2025</v>
      </c>
      <c r="G207" s="175" t="s">
        <v>23</v>
      </c>
      <c r="H207" s="175" t="s">
        <v>83</v>
      </c>
      <c r="I207" s="175" t="s">
        <v>102</v>
      </c>
      <c r="J207" s="177" t="s">
        <v>1926</v>
      </c>
      <c r="K207" s="175" t="s">
        <v>21</v>
      </c>
      <c r="L207" s="175" t="s">
        <v>21</v>
      </c>
      <c r="M207" s="175" t="s">
        <v>21</v>
      </c>
      <c r="N207" s="175">
        <v>7</v>
      </c>
      <c r="O207" s="175" t="s">
        <v>428</v>
      </c>
      <c r="P207" s="175" t="s">
        <v>879</v>
      </c>
      <c r="Q207" s="175" t="s">
        <v>1178</v>
      </c>
      <c r="R207" s="175" t="s">
        <v>339</v>
      </c>
      <c r="S207" s="175" t="s">
        <v>22</v>
      </c>
      <c r="T207" s="175" t="s">
        <v>347</v>
      </c>
      <c r="U207" s="176">
        <v>20</v>
      </c>
      <c r="V207" s="176">
        <v>115</v>
      </c>
      <c r="W207" s="176" t="s">
        <v>21</v>
      </c>
      <c r="X207" s="179">
        <f t="shared" si="43"/>
        <v>115</v>
      </c>
      <c r="Y207" s="176">
        <v>3</v>
      </c>
      <c r="Z207" s="176" t="s">
        <v>20</v>
      </c>
      <c r="AA207" s="176" t="s">
        <v>18</v>
      </c>
      <c r="AB207" s="185" t="s">
        <v>18</v>
      </c>
      <c r="AC207" s="186" t="s">
        <v>1927</v>
      </c>
      <c r="AD207" s="181" t="s">
        <v>1939</v>
      </c>
      <c r="AE207" s="179" t="s">
        <v>18</v>
      </c>
      <c r="AF207" s="191"/>
      <c r="AG207" s="175" t="s">
        <v>1173</v>
      </c>
      <c r="AH207" s="179">
        <f t="shared" si="35"/>
        <v>39</v>
      </c>
      <c r="AI207" s="179">
        <v>1</v>
      </c>
      <c r="AJ207" s="183">
        <f t="shared" si="36"/>
        <v>5074</v>
      </c>
      <c r="AK207" s="179">
        <f t="shared" si="37"/>
        <v>38.333333333333336</v>
      </c>
      <c r="AL207" s="183">
        <v>0</v>
      </c>
      <c r="AM207" s="183">
        <f t="shared" si="44"/>
        <v>3120000</v>
      </c>
      <c r="AN207" s="183">
        <f t="shared" si="38"/>
        <v>0</v>
      </c>
      <c r="AO207" s="183">
        <f t="shared" si="39"/>
        <v>0</v>
      </c>
      <c r="AP207" s="183">
        <f t="shared" si="40"/>
        <v>11670200</v>
      </c>
      <c r="AR207" s="183">
        <f t="shared" si="41"/>
        <v>0</v>
      </c>
      <c r="AS207" s="183">
        <f t="shared" si="42"/>
        <v>14790200</v>
      </c>
      <c r="AT207" s="175" t="s">
        <v>1535</v>
      </c>
      <c r="AU207" s="175" t="s">
        <v>1536</v>
      </c>
      <c r="AV207" s="175" t="s">
        <v>1929</v>
      </c>
      <c r="AW207" s="175" t="s">
        <v>1930</v>
      </c>
    </row>
    <row r="208" spans="1:49" ht="24.95" customHeight="1" x14ac:dyDescent="0.25">
      <c r="A208" s="175">
        <v>14513</v>
      </c>
      <c r="B208" s="175" t="s">
        <v>83</v>
      </c>
      <c r="C208" s="175" t="s">
        <v>1022</v>
      </c>
      <c r="D208" s="176">
        <v>1</v>
      </c>
      <c r="E208" s="176">
        <v>2025</v>
      </c>
      <c r="F208" s="176">
        <v>2025</v>
      </c>
      <c r="G208" s="175" t="s">
        <v>23</v>
      </c>
      <c r="H208" s="175" t="s">
        <v>83</v>
      </c>
      <c r="I208" s="175" t="s">
        <v>102</v>
      </c>
      <c r="J208" s="177" t="s">
        <v>1926</v>
      </c>
      <c r="K208" s="175" t="s">
        <v>21</v>
      </c>
      <c r="L208" s="175" t="s">
        <v>21</v>
      </c>
      <c r="M208" s="175" t="s">
        <v>21</v>
      </c>
      <c r="N208" s="175">
        <v>7</v>
      </c>
      <c r="O208" s="175" t="s">
        <v>428</v>
      </c>
      <c r="P208" s="175" t="s">
        <v>795</v>
      </c>
      <c r="Q208" s="175" t="s">
        <v>1178</v>
      </c>
      <c r="R208" s="175" t="s">
        <v>339</v>
      </c>
      <c r="S208" s="175" t="s">
        <v>22</v>
      </c>
      <c r="T208" s="175" t="s">
        <v>347</v>
      </c>
      <c r="U208" s="176">
        <v>20</v>
      </c>
      <c r="V208" s="176">
        <v>115</v>
      </c>
      <c r="W208" s="176" t="s">
        <v>21</v>
      </c>
      <c r="X208" s="179">
        <f t="shared" si="43"/>
        <v>115</v>
      </c>
      <c r="Y208" s="176">
        <v>3</v>
      </c>
      <c r="Z208" s="176" t="s">
        <v>20</v>
      </c>
      <c r="AA208" s="176" t="s">
        <v>18</v>
      </c>
      <c r="AB208" s="185" t="s">
        <v>18</v>
      </c>
      <c r="AC208" s="186" t="s">
        <v>1927</v>
      </c>
      <c r="AD208" s="181" t="s">
        <v>1940</v>
      </c>
      <c r="AE208" s="179" t="s">
        <v>18</v>
      </c>
      <c r="AF208" s="191"/>
      <c r="AG208" s="175" t="s">
        <v>1173</v>
      </c>
      <c r="AH208" s="179">
        <f t="shared" si="35"/>
        <v>39</v>
      </c>
      <c r="AI208" s="179">
        <v>1</v>
      </c>
      <c r="AJ208" s="183">
        <f t="shared" si="36"/>
        <v>5074</v>
      </c>
      <c r="AK208" s="179">
        <f t="shared" si="37"/>
        <v>38.333333333333336</v>
      </c>
      <c r="AL208" s="183">
        <v>0</v>
      </c>
      <c r="AM208" s="183">
        <f t="shared" si="44"/>
        <v>3120000</v>
      </c>
      <c r="AN208" s="183">
        <f t="shared" si="38"/>
        <v>0</v>
      </c>
      <c r="AO208" s="183">
        <f t="shared" si="39"/>
        <v>0</v>
      </c>
      <c r="AP208" s="183">
        <f t="shared" si="40"/>
        <v>11670200</v>
      </c>
      <c r="AR208" s="183">
        <f t="shared" si="41"/>
        <v>0</v>
      </c>
      <c r="AS208" s="183">
        <f t="shared" si="42"/>
        <v>14790200</v>
      </c>
      <c r="AT208" s="175" t="s">
        <v>1535</v>
      </c>
      <c r="AU208" s="175" t="s">
        <v>1536</v>
      </c>
      <c r="AV208" s="175" t="s">
        <v>1929</v>
      </c>
      <c r="AW208" s="175" t="s">
        <v>1930</v>
      </c>
    </row>
    <row r="209" spans="1:49" ht="24.95" customHeight="1" x14ac:dyDescent="0.25">
      <c r="A209" s="175">
        <v>14476</v>
      </c>
      <c r="B209" s="175" t="s">
        <v>98</v>
      </c>
      <c r="C209" s="175" t="s">
        <v>41</v>
      </c>
      <c r="D209" s="176">
        <v>1</v>
      </c>
      <c r="E209" s="176">
        <v>2025</v>
      </c>
      <c r="F209" s="176">
        <v>2025</v>
      </c>
      <c r="G209" s="175" t="s">
        <v>23</v>
      </c>
      <c r="H209" s="175" t="s">
        <v>98</v>
      </c>
      <c r="I209" s="175" t="s">
        <v>1175</v>
      </c>
      <c r="J209" s="177" t="s">
        <v>1941</v>
      </c>
      <c r="K209" s="175" t="s">
        <v>21</v>
      </c>
      <c r="L209" s="175" t="s">
        <v>21</v>
      </c>
      <c r="M209" s="175" t="s">
        <v>21</v>
      </c>
      <c r="N209" s="175">
        <v>13</v>
      </c>
      <c r="O209" s="175" t="s">
        <v>382</v>
      </c>
      <c r="P209" s="175" t="s">
        <v>724</v>
      </c>
      <c r="Q209" s="175" t="s">
        <v>388</v>
      </c>
      <c r="R209" s="175" t="s">
        <v>339</v>
      </c>
      <c r="S209" s="175" t="s">
        <v>22</v>
      </c>
      <c r="T209" s="175" t="s">
        <v>861</v>
      </c>
      <c r="U209" s="176">
        <v>15</v>
      </c>
      <c r="V209" s="176">
        <v>125</v>
      </c>
      <c r="W209" s="176" t="s">
        <v>21</v>
      </c>
      <c r="X209" s="179">
        <f t="shared" si="43"/>
        <v>125</v>
      </c>
      <c r="Y209" s="176">
        <v>4</v>
      </c>
      <c r="Z209" s="176" t="s">
        <v>20</v>
      </c>
      <c r="AA209" s="176" t="s">
        <v>18</v>
      </c>
      <c r="AB209" s="185" t="s">
        <v>18</v>
      </c>
      <c r="AC209" s="186" t="s">
        <v>1942</v>
      </c>
      <c r="AD209" s="181" t="s">
        <v>1943</v>
      </c>
      <c r="AE209" s="179" t="s">
        <v>18</v>
      </c>
      <c r="AF209" s="191"/>
      <c r="AG209" s="175" t="s">
        <v>1173</v>
      </c>
      <c r="AH209" s="179">
        <f t="shared" si="35"/>
        <v>32</v>
      </c>
      <c r="AI209" s="179">
        <v>1</v>
      </c>
      <c r="AJ209" s="183">
        <f t="shared" si="36"/>
        <v>5074</v>
      </c>
      <c r="AK209" s="179">
        <f t="shared" si="37"/>
        <v>31.25</v>
      </c>
      <c r="AL209" s="183">
        <v>0</v>
      </c>
      <c r="AM209" s="183">
        <f t="shared" si="44"/>
        <v>1920000</v>
      </c>
      <c r="AN209" s="183">
        <f t="shared" si="38"/>
        <v>0</v>
      </c>
      <c r="AO209" s="183">
        <f t="shared" si="39"/>
        <v>0</v>
      </c>
      <c r="AP209" s="183">
        <f t="shared" si="40"/>
        <v>9513750</v>
      </c>
      <c r="AR209" s="183">
        <f t="shared" si="41"/>
        <v>0</v>
      </c>
      <c r="AS209" s="183">
        <f t="shared" si="42"/>
        <v>11433750</v>
      </c>
      <c r="AT209" s="175" t="s">
        <v>1694</v>
      </c>
      <c r="AU209" s="175" t="s">
        <v>1695</v>
      </c>
      <c r="AV209" s="175" t="s">
        <v>1696</v>
      </c>
      <c r="AW209" s="175" t="s">
        <v>1039</v>
      </c>
    </row>
    <row r="210" spans="1:49" ht="24.95" customHeight="1" x14ac:dyDescent="0.25">
      <c r="A210" s="175">
        <v>14477</v>
      </c>
      <c r="B210" s="175" t="s">
        <v>98</v>
      </c>
      <c r="C210" s="175" t="s">
        <v>41</v>
      </c>
      <c r="D210" s="176">
        <v>1</v>
      </c>
      <c r="E210" s="176">
        <v>2025</v>
      </c>
      <c r="F210" s="176">
        <v>2025</v>
      </c>
      <c r="G210" s="175" t="s">
        <v>23</v>
      </c>
      <c r="H210" s="175" t="s">
        <v>98</v>
      </c>
      <c r="I210" s="175" t="s">
        <v>1175</v>
      </c>
      <c r="J210" s="177" t="s">
        <v>1944</v>
      </c>
      <c r="K210" s="175" t="s">
        <v>21</v>
      </c>
      <c r="L210" s="175" t="s">
        <v>21</v>
      </c>
      <c r="M210" s="175" t="s">
        <v>21</v>
      </c>
      <c r="N210" s="175">
        <v>13</v>
      </c>
      <c r="O210" s="175" t="s">
        <v>382</v>
      </c>
      <c r="P210" s="175" t="s">
        <v>724</v>
      </c>
      <c r="Q210" s="175" t="s">
        <v>409</v>
      </c>
      <c r="R210" s="175" t="s">
        <v>339</v>
      </c>
      <c r="S210" s="175" t="s">
        <v>22</v>
      </c>
      <c r="T210" s="175" t="s">
        <v>861</v>
      </c>
      <c r="U210" s="176">
        <v>15</v>
      </c>
      <c r="V210" s="176">
        <v>150</v>
      </c>
      <c r="W210" s="176" t="s">
        <v>21</v>
      </c>
      <c r="X210" s="179">
        <f t="shared" si="43"/>
        <v>150</v>
      </c>
      <c r="Y210" s="176">
        <v>4</v>
      </c>
      <c r="Z210" s="176" t="s">
        <v>20</v>
      </c>
      <c r="AA210" s="176" t="s">
        <v>18</v>
      </c>
      <c r="AB210" s="185" t="s">
        <v>18</v>
      </c>
      <c r="AC210" s="186" t="s">
        <v>1945</v>
      </c>
      <c r="AD210" s="181" t="s">
        <v>1946</v>
      </c>
      <c r="AE210" s="179" t="s">
        <v>18</v>
      </c>
      <c r="AF210" s="191"/>
      <c r="AG210" s="175" t="s">
        <v>1173</v>
      </c>
      <c r="AH210" s="179">
        <f t="shared" si="35"/>
        <v>38</v>
      </c>
      <c r="AI210" s="179">
        <v>1</v>
      </c>
      <c r="AJ210" s="183">
        <f t="shared" si="36"/>
        <v>5074</v>
      </c>
      <c r="AK210" s="179">
        <f t="shared" si="37"/>
        <v>37.5</v>
      </c>
      <c r="AL210" s="183">
        <v>0</v>
      </c>
      <c r="AM210" s="183">
        <f t="shared" si="44"/>
        <v>2280000</v>
      </c>
      <c r="AN210" s="183">
        <f t="shared" si="38"/>
        <v>0</v>
      </c>
      <c r="AO210" s="183">
        <f t="shared" si="39"/>
        <v>0</v>
      </c>
      <c r="AP210" s="183">
        <f t="shared" si="40"/>
        <v>11416500</v>
      </c>
      <c r="AR210" s="183">
        <f t="shared" si="41"/>
        <v>0</v>
      </c>
      <c r="AS210" s="183">
        <f t="shared" si="42"/>
        <v>13696500</v>
      </c>
      <c r="AT210" s="175" t="s">
        <v>1694</v>
      </c>
      <c r="AU210" s="175" t="s">
        <v>1695</v>
      </c>
      <c r="AV210" s="175" t="s">
        <v>1696</v>
      </c>
      <c r="AW210" s="175" t="s">
        <v>1039</v>
      </c>
    </row>
    <row r="211" spans="1:49" ht="24.95" customHeight="1" x14ac:dyDescent="0.25">
      <c r="A211" s="175">
        <v>14296</v>
      </c>
      <c r="B211" s="175" t="s">
        <v>98</v>
      </c>
      <c r="C211" s="175" t="s">
        <v>41</v>
      </c>
      <c r="D211" s="176">
        <v>1</v>
      </c>
      <c r="E211" s="176">
        <v>2025</v>
      </c>
      <c r="F211" s="176">
        <v>2025</v>
      </c>
      <c r="G211" s="175" t="s">
        <v>23</v>
      </c>
      <c r="H211" s="175" t="s">
        <v>98</v>
      </c>
      <c r="I211" s="175" t="s">
        <v>1175</v>
      </c>
      <c r="J211" s="177" t="s">
        <v>1947</v>
      </c>
      <c r="K211" s="175" t="s">
        <v>21</v>
      </c>
      <c r="L211" s="175" t="s">
        <v>760</v>
      </c>
      <c r="M211" s="175" t="s">
        <v>759</v>
      </c>
      <c r="N211" s="175">
        <v>13</v>
      </c>
      <c r="O211" s="175" t="s">
        <v>382</v>
      </c>
      <c r="P211" s="175" t="s">
        <v>404</v>
      </c>
      <c r="Q211" s="175" t="s">
        <v>388</v>
      </c>
      <c r="R211" s="175" t="s">
        <v>339</v>
      </c>
      <c r="S211" s="175" t="s">
        <v>22</v>
      </c>
      <c r="T211" s="175" t="s">
        <v>763</v>
      </c>
      <c r="U211" s="176">
        <v>10</v>
      </c>
      <c r="V211" s="176">
        <v>180</v>
      </c>
      <c r="W211" s="176">
        <v>8</v>
      </c>
      <c r="X211" s="179">
        <f t="shared" si="43"/>
        <v>188</v>
      </c>
      <c r="Y211" s="176">
        <v>4</v>
      </c>
      <c r="Z211" s="176" t="s">
        <v>20</v>
      </c>
      <c r="AA211" s="176" t="s">
        <v>18</v>
      </c>
      <c r="AB211" s="185" t="s">
        <v>18</v>
      </c>
      <c r="AC211" s="186" t="s">
        <v>1948</v>
      </c>
      <c r="AD211" s="181" t="s">
        <v>1949</v>
      </c>
      <c r="AE211" s="179" t="s">
        <v>18</v>
      </c>
      <c r="AF211" s="191"/>
      <c r="AG211" s="175" t="s">
        <v>1173</v>
      </c>
      <c r="AH211" s="179">
        <f t="shared" si="35"/>
        <v>47</v>
      </c>
      <c r="AI211" s="179">
        <v>2</v>
      </c>
      <c r="AJ211" s="183">
        <f t="shared" si="36"/>
        <v>6372</v>
      </c>
      <c r="AK211" s="179">
        <f t="shared" si="37"/>
        <v>47</v>
      </c>
      <c r="AL211" s="183">
        <v>0</v>
      </c>
      <c r="AM211" s="183">
        <f t="shared" si="44"/>
        <v>1880000</v>
      </c>
      <c r="AN211" s="183">
        <f t="shared" si="38"/>
        <v>0</v>
      </c>
      <c r="AO211" s="183">
        <f t="shared" si="39"/>
        <v>0</v>
      </c>
      <c r="AP211" s="183">
        <f t="shared" si="40"/>
        <v>11979360</v>
      </c>
      <c r="AR211" s="183">
        <f t="shared" si="41"/>
        <v>0</v>
      </c>
      <c r="AS211" s="183">
        <f t="shared" si="42"/>
        <v>13859360</v>
      </c>
      <c r="AT211" s="175" t="s">
        <v>1950</v>
      </c>
      <c r="AU211" s="175" t="s">
        <v>1951</v>
      </c>
      <c r="AV211" s="175" t="s">
        <v>1952</v>
      </c>
      <c r="AW211" s="175" t="s">
        <v>1953</v>
      </c>
    </row>
    <row r="212" spans="1:49" ht="24.95" customHeight="1" x14ac:dyDescent="0.25">
      <c r="A212" s="175">
        <v>14298</v>
      </c>
      <c r="B212" s="175" t="s">
        <v>98</v>
      </c>
      <c r="C212" s="175" t="s">
        <v>41</v>
      </c>
      <c r="D212" s="176">
        <v>1</v>
      </c>
      <c r="E212" s="176">
        <v>2025</v>
      </c>
      <c r="F212" s="176">
        <v>2025</v>
      </c>
      <c r="G212" s="175" t="s">
        <v>23</v>
      </c>
      <c r="H212" s="175" t="s">
        <v>98</v>
      </c>
      <c r="I212" s="175" t="s">
        <v>1175</v>
      </c>
      <c r="J212" s="177" t="s">
        <v>1954</v>
      </c>
      <c r="K212" s="175" t="s">
        <v>21</v>
      </c>
      <c r="L212" s="175" t="s">
        <v>1955</v>
      </c>
      <c r="M212" s="175" t="s">
        <v>1956</v>
      </c>
      <c r="N212" s="175">
        <v>13</v>
      </c>
      <c r="O212" s="175" t="s">
        <v>382</v>
      </c>
      <c r="P212" s="175" t="s">
        <v>404</v>
      </c>
      <c r="Q212" s="175" t="s">
        <v>388</v>
      </c>
      <c r="R212" s="175" t="s">
        <v>339</v>
      </c>
      <c r="S212" s="175" t="s">
        <v>22</v>
      </c>
      <c r="T212" s="175" t="s">
        <v>763</v>
      </c>
      <c r="U212" s="176">
        <v>15</v>
      </c>
      <c r="V212" s="176">
        <v>180</v>
      </c>
      <c r="W212" s="176">
        <v>12</v>
      </c>
      <c r="X212" s="179">
        <f t="shared" si="43"/>
        <v>192</v>
      </c>
      <c r="Y212" s="176">
        <v>4</v>
      </c>
      <c r="Z212" s="176" t="s">
        <v>20</v>
      </c>
      <c r="AA212" s="176" t="s">
        <v>18</v>
      </c>
      <c r="AB212" s="185" t="s">
        <v>18</v>
      </c>
      <c r="AC212" s="186" t="s">
        <v>1957</v>
      </c>
      <c r="AD212" s="181" t="s">
        <v>1949</v>
      </c>
      <c r="AE212" s="179" t="s">
        <v>18</v>
      </c>
      <c r="AF212" s="191"/>
      <c r="AG212" s="175" t="s">
        <v>1173</v>
      </c>
      <c r="AH212" s="179">
        <f t="shared" si="35"/>
        <v>48</v>
      </c>
      <c r="AI212" s="179">
        <v>1</v>
      </c>
      <c r="AJ212" s="183">
        <f t="shared" si="36"/>
        <v>5074</v>
      </c>
      <c r="AK212" s="179">
        <f t="shared" si="37"/>
        <v>48</v>
      </c>
      <c r="AL212" s="183">
        <v>0</v>
      </c>
      <c r="AM212" s="183">
        <f t="shared" si="44"/>
        <v>2880000</v>
      </c>
      <c r="AN212" s="183">
        <f t="shared" si="38"/>
        <v>0</v>
      </c>
      <c r="AO212" s="183">
        <f t="shared" si="39"/>
        <v>0</v>
      </c>
      <c r="AP212" s="183">
        <f t="shared" si="40"/>
        <v>14613120</v>
      </c>
      <c r="AR212" s="183">
        <f t="shared" si="41"/>
        <v>0</v>
      </c>
      <c r="AS212" s="183">
        <f t="shared" si="42"/>
        <v>17493120</v>
      </c>
      <c r="AT212" s="175" t="s">
        <v>1950</v>
      </c>
      <c r="AU212" s="175" t="s">
        <v>1951</v>
      </c>
      <c r="AV212" s="175" t="s">
        <v>1952</v>
      </c>
      <c r="AW212" s="175" t="s">
        <v>1953</v>
      </c>
    </row>
    <row r="213" spans="1:49" ht="24.95" customHeight="1" x14ac:dyDescent="0.25">
      <c r="A213" s="175">
        <v>14262</v>
      </c>
      <c r="B213" s="175" t="s">
        <v>98</v>
      </c>
      <c r="C213" s="175" t="s">
        <v>41</v>
      </c>
      <c r="D213" s="176">
        <v>1</v>
      </c>
      <c r="E213" s="176">
        <v>2025</v>
      </c>
      <c r="F213" s="176">
        <v>2025</v>
      </c>
      <c r="G213" s="175" t="s">
        <v>23</v>
      </c>
      <c r="H213" s="175" t="s">
        <v>98</v>
      </c>
      <c r="I213" s="175" t="s">
        <v>1175</v>
      </c>
      <c r="J213" s="177" t="s">
        <v>1958</v>
      </c>
      <c r="K213" s="175" t="s">
        <v>21</v>
      </c>
      <c r="L213" s="175" t="s">
        <v>760</v>
      </c>
      <c r="M213" s="175" t="s">
        <v>759</v>
      </c>
      <c r="N213" s="175">
        <v>13</v>
      </c>
      <c r="O213" s="175" t="s">
        <v>382</v>
      </c>
      <c r="P213" s="175" t="s">
        <v>404</v>
      </c>
      <c r="Q213" s="175" t="s">
        <v>702</v>
      </c>
      <c r="R213" s="175" t="s">
        <v>339</v>
      </c>
      <c r="S213" s="175" t="s">
        <v>22</v>
      </c>
      <c r="T213" s="175" t="s">
        <v>763</v>
      </c>
      <c r="U213" s="176">
        <v>15</v>
      </c>
      <c r="V213" s="176">
        <v>180</v>
      </c>
      <c r="W213" s="176">
        <v>8</v>
      </c>
      <c r="X213" s="179">
        <f t="shared" si="43"/>
        <v>188</v>
      </c>
      <c r="Y213" s="176">
        <v>4</v>
      </c>
      <c r="Z213" s="176" t="s">
        <v>20</v>
      </c>
      <c r="AA213" s="176" t="s">
        <v>18</v>
      </c>
      <c r="AB213" s="185" t="s">
        <v>18</v>
      </c>
      <c r="AC213" s="186" t="s">
        <v>1959</v>
      </c>
      <c r="AD213" s="181" t="s">
        <v>1949</v>
      </c>
      <c r="AE213" s="179" t="s">
        <v>18</v>
      </c>
      <c r="AF213" s="191"/>
      <c r="AG213" s="175" t="s">
        <v>1173</v>
      </c>
      <c r="AH213" s="179">
        <f t="shared" si="35"/>
        <v>47</v>
      </c>
      <c r="AI213" s="179">
        <v>2</v>
      </c>
      <c r="AJ213" s="183">
        <f t="shared" si="36"/>
        <v>6372</v>
      </c>
      <c r="AK213" s="179">
        <f t="shared" si="37"/>
        <v>47</v>
      </c>
      <c r="AL213" s="183">
        <v>0</v>
      </c>
      <c r="AM213" s="183">
        <f t="shared" si="44"/>
        <v>2820000</v>
      </c>
      <c r="AN213" s="183">
        <f t="shared" si="38"/>
        <v>0</v>
      </c>
      <c r="AO213" s="183">
        <f t="shared" si="39"/>
        <v>0</v>
      </c>
      <c r="AP213" s="183">
        <f t="shared" si="40"/>
        <v>17969040</v>
      </c>
      <c r="AR213" s="183">
        <f t="shared" si="41"/>
        <v>0</v>
      </c>
      <c r="AS213" s="183">
        <f t="shared" si="42"/>
        <v>20789040</v>
      </c>
      <c r="AT213" s="175" t="s">
        <v>1950</v>
      </c>
      <c r="AU213" s="175" t="s">
        <v>1951</v>
      </c>
      <c r="AV213" s="175" t="s">
        <v>1952</v>
      </c>
      <c r="AW213" s="175" t="s">
        <v>1953</v>
      </c>
    </row>
    <row r="214" spans="1:49" ht="24.95" customHeight="1" x14ac:dyDescent="0.25">
      <c r="A214" s="175">
        <v>14336</v>
      </c>
      <c r="B214" s="175" t="s">
        <v>98</v>
      </c>
      <c r="C214" s="175" t="s">
        <v>41</v>
      </c>
      <c r="D214" s="176">
        <v>1</v>
      </c>
      <c r="E214" s="176">
        <v>2025</v>
      </c>
      <c r="F214" s="176">
        <v>2025</v>
      </c>
      <c r="G214" s="175" t="s">
        <v>23</v>
      </c>
      <c r="H214" s="175" t="s">
        <v>98</v>
      </c>
      <c r="I214" s="175" t="s">
        <v>1175</v>
      </c>
      <c r="J214" s="177" t="s">
        <v>1187</v>
      </c>
      <c r="K214" s="175" t="s">
        <v>21</v>
      </c>
      <c r="L214" s="175" t="s">
        <v>21</v>
      </c>
      <c r="M214" s="175" t="s">
        <v>21</v>
      </c>
      <c r="N214" s="175">
        <v>13</v>
      </c>
      <c r="O214" s="175" t="s">
        <v>382</v>
      </c>
      <c r="P214" s="175" t="s">
        <v>416</v>
      </c>
      <c r="Q214" s="175" t="s">
        <v>1178</v>
      </c>
      <c r="R214" s="175" t="s">
        <v>339</v>
      </c>
      <c r="S214" s="175" t="s">
        <v>22</v>
      </c>
      <c r="T214" s="175" t="s">
        <v>347</v>
      </c>
      <c r="U214" s="176">
        <v>15</v>
      </c>
      <c r="V214" s="176">
        <v>160</v>
      </c>
      <c r="W214" s="176" t="s">
        <v>21</v>
      </c>
      <c r="X214" s="179">
        <f t="shared" si="43"/>
        <v>160</v>
      </c>
      <c r="Y214" s="176">
        <v>5</v>
      </c>
      <c r="Z214" s="176" t="s">
        <v>20</v>
      </c>
      <c r="AA214" s="176" t="s">
        <v>18</v>
      </c>
      <c r="AB214" s="185" t="s">
        <v>18</v>
      </c>
      <c r="AC214" s="186" t="s">
        <v>1960</v>
      </c>
      <c r="AD214" s="181" t="s">
        <v>1189</v>
      </c>
      <c r="AE214" s="179" t="s">
        <v>18</v>
      </c>
      <c r="AF214" s="191"/>
      <c r="AG214" s="175" t="s">
        <v>1173</v>
      </c>
      <c r="AH214" s="179">
        <f t="shared" si="35"/>
        <v>32</v>
      </c>
      <c r="AI214" s="179">
        <v>2</v>
      </c>
      <c r="AJ214" s="183">
        <f t="shared" si="36"/>
        <v>6372</v>
      </c>
      <c r="AK214" s="179">
        <f t="shared" si="37"/>
        <v>32</v>
      </c>
      <c r="AL214" s="183">
        <v>0</v>
      </c>
      <c r="AM214" s="183">
        <f t="shared" si="44"/>
        <v>1920000</v>
      </c>
      <c r="AN214" s="183">
        <f t="shared" si="38"/>
        <v>0</v>
      </c>
      <c r="AO214" s="183">
        <f t="shared" si="39"/>
        <v>0</v>
      </c>
      <c r="AP214" s="183">
        <f t="shared" si="40"/>
        <v>15292800</v>
      </c>
      <c r="AR214" s="183">
        <f t="shared" si="41"/>
        <v>0</v>
      </c>
      <c r="AS214" s="183">
        <f t="shared" si="42"/>
        <v>17212800</v>
      </c>
      <c r="AT214" s="175" t="s">
        <v>1568</v>
      </c>
      <c r="AU214" s="175" t="s">
        <v>1569</v>
      </c>
      <c r="AV214" s="175" t="s">
        <v>1349</v>
      </c>
      <c r="AW214" s="175" t="s">
        <v>98</v>
      </c>
    </row>
    <row r="215" spans="1:49" ht="24.95" customHeight="1" x14ac:dyDescent="0.25">
      <c r="A215" s="175">
        <v>14340</v>
      </c>
      <c r="B215" s="175" t="s">
        <v>98</v>
      </c>
      <c r="C215" s="175" t="s">
        <v>41</v>
      </c>
      <c r="D215" s="176">
        <v>1</v>
      </c>
      <c r="E215" s="176">
        <v>2025</v>
      </c>
      <c r="F215" s="176">
        <v>2025</v>
      </c>
      <c r="G215" s="175" t="s">
        <v>23</v>
      </c>
      <c r="H215" s="175" t="s">
        <v>98</v>
      </c>
      <c r="I215" s="175" t="s">
        <v>1175</v>
      </c>
      <c r="J215" s="177" t="s">
        <v>1961</v>
      </c>
      <c r="K215" s="175" t="s">
        <v>21</v>
      </c>
      <c r="L215" s="175" t="s">
        <v>21</v>
      </c>
      <c r="M215" s="175" t="s">
        <v>21</v>
      </c>
      <c r="N215" s="175">
        <v>2</v>
      </c>
      <c r="O215" s="175" t="s">
        <v>798</v>
      </c>
      <c r="P215" s="175" t="s">
        <v>1962</v>
      </c>
      <c r="Q215" s="175" t="s">
        <v>1201</v>
      </c>
      <c r="R215" s="175" t="s">
        <v>339</v>
      </c>
      <c r="S215" s="175" t="s">
        <v>19</v>
      </c>
      <c r="T215" s="175" t="s">
        <v>347</v>
      </c>
      <c r="U215" s="176">
        <v>10</v>
      </c>
      <c r="V215" s="176">
        <v>110</v>
      </c>
      <c r="W215" s="176" t="s">
        <v>21</v>
      </c>
      <c r="X215" s="179">
        <f t="shared" si="43"/>
        <v>110</v>
      </c>
      <c r="Y215" s="176">
        <v>4</v>
      </c>
      <c r="Z215" s="176" t="s">
        <v>20</v>
      </c>
      <c r="AA215" s="176" t="s">
        <v>18</v>
      </c>
      <c r="AB215" s="185" t="s">
        <v>18</v>
      </c>
      <c r="AC215" s="186" t="s">
        <v>1963</v>
      </c>
      <c r="AD215" s="181" t="s">
        <v>1964</v>
      </c>
      <c r="AE215" s="179" t="s">
        <v>18</v>
      </c>
      <c r="AF215" s="191"/>
      <c r="AG215" s="175" t="s">
        <v>1173</v>
      </c>
      <c r="AH215" s="179">
        <f t="shared" si="35"/>
        <v>28</v>
      </c>
      <c r="AI215" s="179">
        <v>2</v>
      </c>
      <c r="AJ215" s="183">
        <f t="shared" si="36"/>
        <v>6372</v>
      </c>
      <c r="AK215" s="179">
        <f t="shared" si="37"/>
        <v>27.5</v>
      </c>
      <c r="AL215" s="183">
        <v>0</v>
      </c>
      <c r="AM215" s="183">
        <f t="shared" si="44"/>
        <v>1120000</v>
      </c>
      <c r="AN215" s="183">
        <f t="shared" si="38"/>
        <v>0</v>
      </c>
      <c r="AO215" s="183">
        <f t="shared" si="39"/>
        <v>0</v>
      </c>
      <c r="AP215" s="183">
        <f t="shared" si="40"/>
        <v>7009200</v>
      </c>
      <c r="AR215" s="183">
        <f t="shared" si="41"/>
        <v>0</v>
      </c>
      <c r="AS215" s="183">
        <f t="shared" si="42"/>
        <v>8129200</v>
      </c>
      <c r="AT215" s="175" t="s">
        <v>1568</v>
      </c>
      <c r="AU215" s="175" t="s">
        <v>1569</v>
      </c>
      <c r="AV215" s="175" t="s">
        <v>1349</v>
      </c>
      <c r="AW215" s="175" t="s">
        <v>98</v>
      </c>
    </row>
    <row r="216" spans="1:49" ht="24.95" customHeight="1" x14ac:dyDescent="0.25">
      <c r="A216" s="175">
        <v>14465</v>
      </c>
      <c r="B216" s="175" t="s">
        <v>98</v>
      </c>
      <c r="C216" s="175" t="s">
        <v>41</v>
      </c>
      <c r="D216" s="176">
        <v>1</v>
      </c>
      <c r="E216" s="176">
        <v>2025</v>
      </c>
      <c r="F216" s="176">
        <v>2025</v>
      </c>
      <c r="G216" s="175" t="s">
        <v>23</v>
      </c>
      <c r="H216" s="175" t="s">
        <v>98</v>
      </c>
      <c r="I216" s="175" t="s">
        <v>1175</v>
      </c>
      <c r="J216" s="177" t="s">
        <v>1965</v>
      </c>
      <c r="K216" s="175" t="s">
        <v>21</v>
      </c>
      <c r="L216" s="175" t="s">
        <v>405</v>
      </c>
      <c r="M216" s="175" t="s">
        <v>406</v>
      </c>
      <c r="N216" s="175">
        <v>13</v>
      </c>
      <c r="O216" s="175" t="s">
        <v>382</v>
      </c>
      <c r="P216" s="175" t="s">
        <v>717</v>
      </c>
      <c r="Q216" s="175" t="s">
        <v>388</v>
      </c>
      <c r="R216" s="175" t="s">
        <v>339</v>
      </c>
      <c r="S216" s="175" t="s">
        <v>22</v>
      </c>
      <c r="T216" s="175" t="s">
        <v>1966</v>
      </c>
      <c r="U216" s="176">
        <v>20</v>
      </c>
      <c r="V216" s="176">
        <v>52</v>
      </c>
      <c r="W216" s="176">
        <v>10</v>
      </c>
      <c r="X216" s="179">
        <f t="shared" si="43"/>
        <v>62</v>
      </c>
      <c r="Y216" s="176">
        <v>3</v>
      </c>
      <c r="Z216" s="176" t="s">
        <v>20</v>
      </c>
      <c r="AA216" s="176" t="s">
        <v>18</v>
      </c>
      <c r="AB216" s="185" t="s">
        <v>18</v>
      </c>
      <c r="AC216" s="186" t="s">
        <v>1967</v>
      </c>
      <c r="AD216" s="181" t="s">
        <v>1968</v>
      </c>
      <c r="AE216" s="179" t="s">
        <v>18</v>
      </c>
      <c r="AF216" s="191"/>
      <c r="AG216" s="175" t="s">
        <v>1173</v>
      </c>
      <c r="AH216" s="179">
        <f t="shared" si="35"/>
        <v>21</v>
      </c>
      <c r="AI216" s="179">
        <v>1</v>
      </c>
      <c r="AJ216" s="183">
        <f t="shared" si="36"/>
        <v>5074</v>
      </c>
      <c r="AK216" s="179">
        <f t="shared" si="37"/>
        <v>20.666666666666668</v>
      </c>
      <c r="AL216" s="183">
        <v>0</v>
      </c>
      <c r="AM216" s="183">
        <f t="shared" si="44"/>
        <v>1680000</v>
      </c>
      <c r="AN216" s="183">
        <f t="shared" si="38"/>
        <v>0</v>
      </c>
      <c r="AO216" s="183">
        <f t="shared" si="39"/>
        <v>0</v>
      </c>
      <c r="AP216" s="183">
        <f t="shared" si="40"/>
        <v>6291760</v>
      </c>
      <c r="AR216" s="183">
        <f t="shared" si="41"/>
        <v>0</v>
      </c>
      <c r="AS216" s="183">
        <f t="shared" si="42"/>
        <v>7971760</v>
      </c>
      <c r="AT216" s="175" t="s">
        <v>1806</v>
      </c>
      <c r="AU216" s="175" t="s">
        <v>1807</v>
      </c>
      <c r="AV216" s="175" t="s">
        <v>1969</v>
      </c>
      <c r="AW216" s="175" t="s">
        <v>1015</v>
      </c>
    </row>
    <row r="217" spans="1:49" ht="24.95" customHeight="1" x14ac:dyDescent="0.25">
      <c r="A217" s="175">
        <v>14411</v>
      </c>
      <c r="B217" s="175" t="s">
        <v>98</v>
      </c>
      <c r="C217" s="175" t="s">
        <v>41</v>
      </c>
      <c r="D217" s="176">
        <v>1</v>
      </c>
      <c r="E217" s="176">
        <v>2025</v>
      </c>
      <c r="F217" s="176">
        <v>2025</v>
      </c>
      <c r="G217" s="175" t="s">
        <v>23</v>
      </c>
      <c r="H217" s="175" t="s">
        <v>98</v>
      </c>
      <c r="I217" s="175" t="s">
        <v>1175</v>
      </c>
      <c r="J217" s="177" t="s">
        <v>757</v>
      </c>
      <c r="K217" s="175" t="s">
        <v>21</v>
      </c>
      <c r="L217" s="175" t="s">
        <v>21</v>
      </c>
      <c r="M217" s="175" t="s">
        <v>21</v>
      </c>
      <c r="N217" s="175">
        <v>13</v>
      </c>
      <c r="O217" s="175" t="s">
        <v>382</v>
      </c>
      <c r="P217" s="175" t="s">
        <v>776</v>
      </c>
      <c r="Q217" s="175" t="s">
        <v>1201</v>
      </c>
      <c r="R217" s="175" t="s">
        <v>339</v>
      </c>
      <c r="S217" s="175" t="s">
        <v>22</v>
      </c>
      <c r="T217" s="175" t="s">
        <v>337</v>
      </c>
      <c r="U217" s="176">
        <v>20</v>
      </c>
      <c r="V217" s="176">
        <v>200</v>
      </c>
      <c r="W217" s="176" t="s">
        <v>21</v>
      </c>
      <c r="X217" s="179">
        <f t="shared" si="43"/>
        <v>200</v>
      </c>
      <c r="Y217" s="176">
        <v>4</v>
      </c>
      <c r="Z217" s="176" t="s">
        <v>20</v>
      </c>
      <c r="AA217" s="176" t="s">
        <v>18</v>
      </c>
      <c r="AB217" s="185" t="s">
        <v>18</v>
      </c>
      <c r="AC217" s="186" t="s">
        <v>1970</v>
      </c>
      <c r="AD217" s="181" t="s">
        <v>1794</v>
      </c>
      <c r="AE217" s="179" t="s">
        <v>18</v>
      </c>
      <c r="AF217" s="191"/>
      <c r="AG217" s="175" t="s">
        <v>1173</v>
      </c>
      <c r="AH217" s="179">
        <f t="shared" si="35"/>
        <v>50</v>
      </c>
      <c r="AI217" s="179">
        <v>2</v>
      </c>
      <c r="AJ217" s="183">
        <f t="shared" si="36"/>
        <v>6372</v>
      </c>
      <c r="AK217" s="179">
        <f t="shared" si="37"/>
        <v>50</v>
      </c>
      <c r="AL217" s="183">
        <v>0</v>
      </c>
      <c r="AM217" s="183">
        <f t="shared" si="44"/>
        <v>4000000</v>
      </c>
      <c r="AN217" s="183">
        <f t="shared" si="38"/>
        <v>0</v>
      </c>
      <c r="AO217" s="183">
        <f t="shared" si="39"/>
        <v>0</v>
      </c>
      <c r="AP217" s="183">
        <f t="shared" si="40"/>
        <v>25488000</v>
      </c>
      <c r="AR217" s="183">
        <f t="shared" si="41"/>
        <v>0</v>
      </c>
      <c r="AS217" s="183">
        <f t="shared" si="42"/>
        <v>29488000</v>
      </c>
      <c r="AT217" s="175" t="s">
        <v>1795</v>
      </c>
      <c r="AU217" s="175" t="s">
        <v>1796</v>
      </c>
      <c r="AV217" s="175" t="s">
        <v>1026</v>
      </c>
      <c r="AW217" s="175" t="s">
        <v>1041</v>
      </c>
    </row>
    <row r="218" spans="1:49" ht="24.95" customHeight="1" x14ac:dyDescent="0.25">
      <c r="A218" s="175">
        <v>14259</v>
      </c>
      <c r="B218" s="175" t="s">
        <v>86</v>
      </c>
      <c r="C218" s="175" t="s">
        <v>29</v>
      </c>
      <c r="D218" s="176">
        <v>1</v>
      </c>
      <c r="E218" s="176">
        <v>2025</v>
      </c>
      <c r="F218" s="176">
        <v>2025</v>
      </c>
      <c r="G218" s="175" t="s">
        <v>23</v>
      </c>
      <c r="H218" s="175" t="s">
        <v>86</v>
      </c>
      <c r="I218" s="175" t="s">
        <v>105</v>
      </c>
      <c r="J218" s="177" t="s">
        <v>1971</v>
      </c>
      <c r="K218" s="175" t="s">
        <v>21</v>
      </c>
      <c r="L218" s="175" t="s">
        <v>21</v>
      </c>
      <c r="M218" s="175" t="s">
        <v>21</v>
      </c>
      <c r="N218" s="175">
        <v>13</v>
      </c>
      <c r="O218" s="175" t="s">
        <v>382</v>
      </c>
      <c r="P218" s="175" t="s">
        <v>776</v>
      </c>
      <c r="Q218" s="175" t="s">
        <v>1201</v>
      </c>
      <c r="R218" s="175" t="s">
        <v>339</v>
      </c>
      <c r="S218" s="175" t="s">
        <v>22</v>
      </c>
      <c r="T218" s="175" t="s">
        <v>337</v>
      </c>
      <c r="U218" s="176">
        <v>20</v>
      </c>
      <c r="V218" s="176">
        <v>200</v>
      </c>
      <c r="W218" s="176" t="s">
        <v>21</v>
      </c>
      <c r="X218" s="179">
        <f t="shared" si="43"/>
        <v>200</v>
      </c>
      <c r="Y218" s="176">
        <v>4</v>
      </c>
      <c r="Z218" s="176" t="s">
        <v>20</v>
      </c>
      <c r="AA218" s="176" t="s">
        <v>18</v>
      </c>
      <c r="AB218" s="185" t="s">
        <v>18</v>
      </c>
      <c r="AC218" s="186" t="s">
        <v>1972</v>
      </c>
      <c r="AD218" s="181" t="s">
        <v>1973</v>
      </c>
      <c r="AE218" s="179" t="s">
        <v>18</v>
      </c>
      <c r="AF218" s="191"/>
      <c r="AG218" s="175" t="s">
        <v>1173</v>
      </c>
      <c r="AH218" s="179">
        <f t="shared" si="35"/>
        <v>50</v>
      </c>
      <c r="AI218" s="179">
        <v>2</v>
      </c>
      <c r="AJ218" s="183">
        <f t="shared" si="36"/>
        <v>6372</v>
      </c>
      <c r="AK218" s="179">
        <f t="shared" si="37"/>
        <v>50</v>
      </c>
      <c r="AL218" s="183">
        <v>0</v>
      </c>
      <c r="AM218" s="183">
        <f t="shared" si="44"/>
        <v>4000000</v>
      </c>
      <c r="AN218" s="183">
        <f t="shared" si="38"/>
        <v>0</v>
      </c>
      <c r="AO218" s="183">
        <f t="shared" si="39"/>
        <v>0</v>
      </c>
      <c r="AP218" s="183">
        <f t="shared" si="40"/>
        <v>25488000</v>
      </c>
      <c r="AR218" s="183">
        <f t="shared" si="41"/>
        <v>0</v>
      </c>
      <c r="AS218" s="183">
        <f t="shared" si="42"/>
        <v>29488000</v>
      </c>
      <c r="AT218" s="175" t="s">
        <v>1974</v>
      </c>
      <c r="AU218" s="175" t="s">
        <v>1975</v>
      </c>
      <c r="AV218" s="175" t="s">
        <v>1868</v>
      </c>
      <c r="AW218" s="175" t="s">
        <v>1017</v>
      </c>
    </row>
    <row r="219" spans="1:49" ht="24.95" customHeight="1" x14ac:dyDescent="0.25">
      <c r="A219" s="175">
        <v>14294</v>
      </c>
      <c r="B219" s="175" t="s">
        <v>98</v>
      </c>
      <c r="C219" s="175" t="s">
        <v>41</v>
      </c>
      <c r="D219" s="176">
        <v>1</v>
      </c>
      <c r="E219" s="176">
        <v>2025</v>
      </c>
      <c r="F219" s="176">
        <v>2025</v>
      </c>
      <c r="G219" s="175" t="s">
        <v>23</v>
      </c>
      <c r="H219" s="175" t="s">
        <v>98</v>
      </c>
      <c r="I219" s="175" t="s">
        <v>1175</v>
      </c>
      <c r="J219" s="177" t="s">
        <v>1976</v>
      </c>
      <c r="K219" s="175" t="s">
        <v>21</v>
      </c>
      <c r="L219" s="175" t="s">
        <v>1955</v>
      </c>
      <c r="M219" s="175" t="s">
        <v>1956</v>
      </c>
      <c r="N219" s="175">
        <v>13</v>
      </c>
      <c r="O219" s="175" t="s">
        <v>382</v>
      </c>
      <c r="P219" s="175" t="s">
        <v>404</v>
      </c>
      <c r="Q219" s="175" t="s">
        <v>388</v>
      </c>
      <c r="R219" s="175" t="s">
        <v>339</v>
      </c>
      <c r="S219" s="175" t="s">
        <v>22</v>
      </c>
      <c r="T219" s="175" t="s">
        <v>763</v>
      </c>
      <c r="U219" s="176">
        <v>15</v>
      </c>
      <c r="V219" s="176">
        <v>180</v>
      </c>
      <c r="W219" s="176">
        <v>12</v>
      </c>
      <c r="X219" s="179">
        <f t="shared" si="43"/>
        <v>192</v>
      </c>
      <c r="Y219" s="176">
        <v>4</v>
      </c>
      <c r="Z219" s="176" t="s">
        <v>20</v>
      </c>
      <c r="AA219" s="176" t="s">
        <v>18</v>
      </c>
      <c r="AB219" s="185" t="s">
        <v>18</v>
      </c>
      <c r="AC219" s="186" t="s">
        <v>1977</v>
      </c>
      <c r="AD219" s="181" t="s">
        <v>1949</v>
      </c>
      <c r="AE219" s="179" t="s">
        <v>18</v>
      </c>
      <c r="AF219" s="191"/>
      <c r="AG219" s="175" t="s">
        <v>1173</v>
      </c>
      <c r="AH219" s="179">
        <f t="shared" si="35"/>
        <v>48</v>
      </c>
      <c r="AI219" s="179">
        <v>2</v>
      </c>
      <c r="AJ219" s="183">
        <f t="shared" si="36"/>
        <v>6372</v>
      </c>
      <c r="AK219" s="179">
        <f t="shared" si="37"/>
        <v>48</v>
      </c>
      <c r="AL219" s="183">
        <v>0</v>
      </c>
      <c r="AM219" s="183">
        <f t="shared" si="44"/>
        <v>2880000</v>
      </c>
      <c r="AN219" s="183">
        <f t="shared" si="38"/>
        <v>0</v>
      </c>
      <c r="AO219" s="183">
        <f t="shared" si="39"/>
        <v>0</v>
      </c>
      <c r="AP219" s="183">
        <f t="shared" si="40"/>
        <v>18351360</v>
      </c>
      <c r="AR219" s="183">
        <f t="shared" si="41"/>
        <v>0</v>
      </c>
      <c r="AS219" s="183">
        <f t="shared" si="42"/>
        <v>21231360</v>
      </c>
      <c r="AT219" s="175" t="s">
        <v>1950</v>
      </c>
      <c r="AU219" s="175" t="s">
        <v>1951</v>
      </c>
      <c r="AV219" s="175" t="s">
        <v>1952</v>
      </c>
      <c r="AW219" s="175" t="s">
        <v>1953</v>
      </c>
    </row>
    <row r="220" spans="1:49" ht="24.95" customHeight="1" x14ac:dyDescent="0.25">
      <c r="A220" s="175">
        <v>14405</v>
      </c>
      <c r="B220" s="175" t="s">
        <v>98</v>
      </c>
      <c r="C220" s="175" t="s">
        <v>41</v>
      </c>
      <c r="D220" s="176">
        <v>1</v>
      </c>
      <c r="E220" s="176">
        <v>2025</v>
      </c>
      <c r="F220" s="176">
        <v>2025</v>
      </c>
      <c r="G220" s="175" t="s">
        <v>23</v>
      </c>
      <c r="H220" s="175" t="s">
        <v>98</v>
      </c>
      <c r="I220" s="175" t="s">
        <v>1175</v>
      </c>
      <c r="J220" s="177" t="s">
        <v>1978</v>
      </c>
      <c r="K220" s="175" t="s">
        <v>21</v>
      </c>
      <c r="L220" s="175" t="s">
        <v>21</v>
      </c>
      <c r="M220" s="175" t="s">
        <v>21</v>
      </c>
      <c r="N220" s="175">
        <v>13</v>
      </c>
      <c r="O220" s="175" t="s">
        <v>382</v>
      </c>
      <c r="P220" s="175" t="s">
        <v>728</v>
      </c>
      <c r="Q220" s="175" t="s">
        <v>409</v>
      </c>
      <c r="R220" s="175" t="s">
        <v>339</v>
      </c>
      <c r="S220" s="175" t="s">
        <v>22</v>
      </c>
      <c r="T220" s="175" t="s">
        <v>1006</v>
      </c>
      <c r="U220" s="176">
        <v>20</v>
      </c>
      <c r="V220" s="176">
        <v>88</v>
      </c>
      <c r="W220" s="176" t="s">
        <v>21</v>
      </c>
      <c r="X220" s="179">
        <f t="shared" si="43"/>
        <v>88</v>
      </c>
      <c r="Y220" s="176">
        <v>4</v>
      </c>
      <c r="Z220" s="176" t="s">
        <v>20</v>
      </c>
      <c r="AA220" s="176" t="s">
        <v>18</v>
      </c>
      <c r="AB220" s="185" t="s">
        <v>18</v>
      </c>
      <c r="AC220" s="186" t="s">
        <v>1979</v>
      </c>
      <c r="AD220" s="181" t="s">
        <v>1980</v>
      </c>
      <c r="AE220" s="179" t="s">
        <v>18</v>
      </c>
      <c r="AF220" s="191"/>
      <c r="AG220" s="175" t="s">
        <v>1173</v>
      </c>
      <c r="AH220" s="179">
        <f t="shared" si="35"/>
        <v>22</v>
      </c>
      <c r="AI220" s="179">
        <v>1</v>
      </c>
      <c r="AJ220" s="183">
        <f t="shared" si="36"/>
        <v>5074</v>
      </c>
      <c r="AK220" s="179">
        <f t="shared" si="37"/>
        <v>22</v>
      </c>
      <c r="AL220" s="183">
        <v>0</v>
      </c>
      <c r="AM220" s="183">
        <f t="shared" si="44"/>
        <v>1760000</v>
      </c>
      <c r="AN220" s="183">
        <f t="shared" si="38"/>
        <v>0</v>
      </c>
      <c r="AO220" s="183">
        <f t="shared" si="39"/>
        <v>0</v>
      </c>
      <c r="AP220" s="183">
        <f t="shared" si="40"/>
        <v>8930240</v>
      </c>
      <c r="AR220" s="183">
        <f t="shared" si="41"/>
        <v>0</v>
      </c>
      <c r="AS220" s="183">
        <f t="shared" si="42"/>
        <v>10690240</v>
      </c>
      <c r="AT220" s="175" t="s">
        <v>1981</v>
      </c>
      <c r="AU220" s="175" t="s">
        <v>1982</v>
      </c>
      <c r="AV220" s="175" t="s">
        <v>1983</v>
      </c>
      <c r="AW220" s="175" t="s">
        <v>1984</v>
      </c>
    </row>
    <row r="221" spans="1:49" ht="24.95" customHeight="1" x14ac:dyDescent="0.25">
      <c r="A221" s="175">
        <v>14401</v>
      </c>
      <c r="B221" s="175" t="s">
        <v>98</v>
      </c>
      <c r="C221" s="175" t="s">
        <v>41</v>
      </c>
      <c r="D221" s="176">
        <v>1</v>
      </c>
      <c r="E221" s="176">
        <v>2025</v>
      </c>
      <c r="F221" s="176">
        <v>2025</v>
      </c>
      <c r="G221" s="175" t="s">
        <v>23</v>
      </c>
      <c r="H221" s="175" t="s">
        <v>98</v>
      </c>
      <c r="I221" s="175" t="s">
        <v>1175</v>
      </c>
      <c r="J221" s="177" t="s">
        <v>1985</v>
      </c>
      <c r="K221" s="175" t="s">
        <v>21</v>
      </c>
      <c r="L221" s="175" t="s">
        <v>21</v>
      </c>
      <c r="M221" s="175" t="s">
        <v>21</v>
      </c>
      <c r="N221" s="175">
        <v>13</v>
      </c>
      <c r="O221" s="175" t="s">
        <v>382</v>
      </c>
      <c r="P221" s="175" t="s">
        <v>728</v>
      </c>
      <c r="Q221" s="175" t="s">
        <v>409</v>
      </c>
      <c r="R221" s="175" t="s">
        <v>339</v>
      </c>
      <c r="S221" s="175" t="s">
        <v>22</v>
      </c>
      <c r="T221" s="175" t="s">
        <v>1006</v>
      </c>
      <c r="U221" s="176">
        <v>20</v>
      </c>
      <c r="V221" s="176">
        <v>45</v>
      </c>
      <c r="W221" s="176" t="s">
        <v>21</v>
      </c>
      <c r="X221" s="179">
        <f t="shared" si="43"/>
        <v>45</v>
      </c>
      <c r="Y221" s="176">
        <v>4</v>
      </c>
      <c r="Z221" s="176" t="s">
        <v>20</v>
      </c>
      <c r="AA221" s="176" t="s">
        <v>18</v>
      </c>
      <c r="AB221" s="185" t="s">
        <v>18</v>
      </c>
      <c r="AC221" s="186" t="s">
        <v>1986</v>
      </c>
      <c r="AD221" s="181" t="s">
        <v>1987</v>
      </c>
      <c r="AE221" s="179" t="s">
        <v>18</v>
      </c>
      <c r="AF221" s="191"/>
      <c r="AG221" s="175" t="s">
        <v>1173</v>
      </c>
      <c r="AH221" s="179">
        <f t="shared" si="35"/>
        <v>12</v>
      </c>
      <c r="AI221" s="179">
        <v>2</v>
      </c>
      <c r="AJ221" s="183">
        <f t="shared" si="36"/>
        <v>6372</v>
      </c>
      <c r="AK221" s="179">
        <f t="shared" si="37"/>
        <v>11.25</v>
      </c>
      <c r="AL221" s="183">
        <v>0</v>
      </c>
      <c r="AM221" s="183">
        <f t="shared" si="44"/>
        <v>960000</v>
      </c>
      <c r="AN221" s="183">
        <f t="shared" si="38"/>
        <v>0</v>
      </c>
      <c r="AO221" s="183">
        <f t="shared" si="39"/>
        <v>0</v>
      </c>
      <c r="AP221" s="183">
        <f t="shared" si="40"/>
        <v>5734800</v>
      </c>
      <c r="AR221" s="183">
        <f t="shared" si="41"/>
        <v>0</v>
      </c>
      <c r="AS221" s="183">
        <f t="shared" si="42"/>
        <v>6694800</v>
      </c>
      <c r="AT221" s="175" t="s">
        <v>1981</v>
      </c>
      <c r="AU221" s="175" t="s">
        <v>1982</v>
      </c>
      <c r="AV221" s="175" t="s">
        <v>1983</v>
      </c>
      <c r="AW221" s="175" t="s">
        <v>1984</v>
      </c>
    </row>
    <row r="222" spans="1:49" ht="24.95" customHeight="1" x14ac:dyDescent="0.25">
      <c r="A222" s="175">
        <v>14302</v>
      </c>
      <c r="B222" s="175" t="s">
        <v>98</v>
      </c>
      <c r="C222" s="175" t="s">
        <v>41</v>
      </c>
      <c r="D222" s="176">
        <v>1</v>
      </c>
      <c r="E222" s="176">
        <v>2025</v>
      </c>
      <c r="F222" s="176">
        <v>2025</v>
      </c>
      <c r="G222" s="175" t="s">
        <v>23</v>
      </c>
      <c r="H222" s="175" t="s">
        <v>98</v>
      </c>
      <c r="I222" s="175" t="s">
        <v>1175</v>
      </c>
      <c r="J222" s="177" t="s">
        <v>1988</v>
      </c>
      <c r="K222" s="175" t="s">
        <v>21</v>
      </c>
      <c r="L222" s="175" t="s">
        <v>760</v>
      </c>
      <c r="M222" s="175" t="s">
        <v>759</v>
      </c>
      <c r="N222" s="175">
        <v>13</v>
      </c>
      <c r="O222" s="175" t="s">
        <v>382</v>
      </c>
      <c r="P222" s="175" t="s">
        <v>404</v>
      </c>
      <c r="Q222" s="175" t="s">
        <v>388</v>
      </c>
      <c r="R222" s="175" t="s">
        <v>339</v>
      </c>
      <c r="S222" s="175" t="s">
        <v>22</v>
      </c>
      <c r="T222" s="175" t="s">
        <v>837</v>
      </c>
      <c r="U222" s="176">
        <v>10</v>
      </c>
      <c r="V222" s="176">
        <v>180</v>
      </c>
      <c r="W222" s="176">
        <v>8</v>
      </c>
      <c r="X222" s="179">
        <f t="shared" si="43"/>
        <v>188</v>
      </c>
      <c r="Y222" s="176">
        <v>4</v>
      </c>
      <c r="Z222" s="176" t="s">
        <v>20</v>
      </c>
      <c r="AA222" s="176" t="s">
        <v>18</v>
      </c>
      <c r="AB222" s="185" t="s">
        <v>18</v>
      </c>
      <c r="AC222" s="186" t="s">
        <v>1989</v>
      </c>
      <c r="AD222" s="181" t="s">
        <v>1990</v>
      </c>
      <c r="AE222" s="179" t="s">
        <v>18</v>
      </c>
      <c r="AF222" s="191"/>
      <c r="AG222" s="175" t="s">
        <v>1173</v>
      </c>
      <c r="AH222" s="179">
        <f t="shared" si="35"/>
        <v>47</v>
      </c>
      <c r="AI222" s="179">
        <v>2</v>
      </c>
      <c r="AJ222" s="183">
        <f t="shared" si="36"/>
        <v>6372</v>
      </c>
      <c r="AK222" s="179">
        <f t="shared" si="37"/>
        <v>47</v>
      </c>
      <c r="AL222" s="183">
        <v>0</v>
      </c>
      <c r="AM222" s="183">
        <f t="shared" si="44"/>
        <v>1880000</v>
      </c>
      <c r="AN222" s="183">
        <f t="shared" si="38"/>
        <v>0</v>
      </c>
      <c r="AO222" s="183">
        <f t="shared" si="39"/>
        <v>0</v>
      </c>
      <c r="AP222" s="183">
        <f t="shared" si="40"/>
        <v>11979360</v>
      </c>
      <c r="AR222" s="183">
        <f t="shared" si="41"/>
        <v>0</v>
      </c>
      <c r="AS222" s="183">
        <f t="shared" si="42"/>
        <v>13859360</v>
      </c>
      <c r="AT222" s="175" t="s">
        <v>1950</v>
      </c>
      <c r="AU222" s="175" t="s">
        <v>1951</v>
      </c>
      <c r="AV222" s="175" t="s">
        <v>1952</v>
      </c>
      <c r="AW222" s="175" t="s">
        <v>1953</v>
      </c>
    </row>
    <row r="223" spans="1:49" ht="24.95" customHeight="1" x14ac:dyDescent="0.25">
      <c r="A223" s="175">
        <v>14290</v>
      </c>
      <c r="B223" s="175" t="s">
        <v>98</v>
      </c>
      <c r="C223" s="175" t="s">
        <v>41</v>
      </c>
      <c r="D223" s="176">
        <v>1</v>
      </c>
      <c r="E223" s="176">
        <v>2025</v>
      </c>
      <c r="F223" s="176">
        <v>2025</v>
      </c>
      <c r="G223" s="175" t="s">
        <v>23</v>
      </c>
      <c r="H223" s="175" t="s">
        <v>98</v>
      </c>
      <c r="I223" s="175" t="s">
        <v>1175</v>
      </c>
      <c r="J223" s="177" t="s">
        <v>1991</v>
      </c>
      <c r="K223" s="175" t="s">
        <v>21</v>
      </c>
      <c r="L223" s="175" t="s">
        <v>1955</v>
      </c>
      <c r="M223" s="175" t="s">
        <v>1956</v>
      </c>
      <c r="N223" s="175">
        <v>13</v>
      </c>
      <c r="O223" s="175" t="s">
        <v>382</v>
      </c>
      <c r="P223" s="175" t="s">
        <v>404</v>
      </c>
      <c r="Q223" s="175" t="s">
        <v>702</v>
      </c>
      <c r="R223" s="175" t="s">
        <v>339</v>
      </c>
      <c r="S223" s="175" t="s">
        <v>22</v>
      </c>
      <c r="T223" s="175" t="s">
        <v>763</v>
      </c>
      <c r="U223" s="176">
        <v>15</v>
      </c>
      <c r="V223" s="176">
        <v>180</v>
      </c>
      <c r="W223" s="176">
        <v>12</v>
      </c>
      <c r="X223" s="179">
        <f t="shared" si="43"/>
        <v>192</v>
      </c>
      <c r="Y223" s="176">
        <v>4</v>
      </c>
      <c r="Z223" s="176" t="s">
        <v>20</v>
      </c>
      <c r="AA223" s="176" t="s">
        <v>18</v>
      </c>
      <c r="AB223" s="185" t="s">
        <v>18</v>
      </c>
      <c r="AC223" s="186" t="s">
        <v>1992</v>
      </c>
      <c r="AD223" s="181" t="s">
        <v>1993</v>
      </c>
      <c r="AE223" s="179" t="s">
        <v>18</v>
      </c>
      <c r="AF223" s="191"/>
      <c r="AG223" s="175" t="s">
        <v>1173</v>
      </c>
      <c r="AH223" s="179">
        <f t="shared" si="35"/>
        <v>48</v>
      </c>
      <c r="AI223" s="179">
        <v>2</v>
      </c>
      <c r="AJ223" s="183">
        <f t="shared" si="36"/>
        <v>6372</v>
      </c>
      <c r="AK223" s="179">
        <f t="shared" si="37"/>
        <v>48</v>
      </c>
      <c r="AL223" s="183">
        <v>0</v>
      </c>
      <c r="AM223" s="183">
        <f t="shared" si="44"/>
        <v>2880000</v>
      </c>
      <c r="AN223" s="183">
        <f t="shared" si="38"/>
        <v>0</v>
      </c>
      <c r="AO223" s="183">
        <f t="shared" si="39"/>
        <v>0</v>
      </c>
      <c r="AP223" s="183">
        <f t="shared" si="40"/>
        <v>18351360</v>
      </c>
      <c r="AR223" s="183">
        <f t="shared" si="41"/>
        <v>0</v>
      </c>
      <c r="AS223" s="183">
        <f t="shared" si="42"/>
        <v>21231360</v>
      </c>
      <c r="AT223" s="175" t="s">
        <v>1950</v>
      </c>
      <c r="AU223" s="175" t="s">
        <v>1951</v>
      </c>
      <c r="AV223" s="175" t="s">
        <v>1952</v>
      </c>
      <c r="AW223" s="175" t="s">
        <v>1953</v>
      </c>
    </row>
    <row r="224" spans="1:49" ht="24.95" customHeight="1" x14ac:dyDescent="0.25">
      <c r="A224" s="175">
        <v>14279</v>
      </c>
      <c r="B224" s="175" t="s">
        <v>98</v>
      </c>
      <c r="C224" s="175" t="s">
        <v>41</v>
      </c>
      <c r="D224" s="176">
        <v>1</v>
      </c>
      <c r="E224" s="176">
        <v>2025</v>
      </c>
      <c r="F224" s="176">
        <v>2025</v>
      </c>
      <c r="G224" s="175" t="s">
        <v>23</v>
      </c>
      <c r="H224" s="175" t="s">
        <v>98</v>
      </c>
      <c r="I224" s="175" t="s">
        <v>1175</v>
      </c>
      <c r="J224" s="177" t="s">
        <v>1190</v>
      </c>
      <c r="K224" s="175" t="s">
        <v>21</v>
      </c>
      <c r="L224" s="175" t="s">
        <v>407</v>
      </c>
      <c r="M224" s="175" t="s">
        <v>408</v>
      </c>
      <c r="N224" s="175">
        <v>10</v>
      </c>
      <c r="O224" s="175" t="s">
        <v>706</v>
      </c>
      <c r="P224" s="175" t="s">
        <v>1191</v>
      </c>
      <c r="Q224" s="175" t="s">
        <v>1178</v>
      </c>
      <c r="R224" s="175" t="s">
        <v>339</v>
      </c>
      <c r="S224" s="175" t="s">
        <v>22</v>
      </c>
      <c r="T224" s="175" t="s">
        <v>1192</v>
      </c>
      <c r="U224" s="176">
        <v>20</v>
      </c>
      <c r="V224" s="176">
        <v>224</v>
      </c>
      <c r="W224" s="176">
        <v>12</v>
      </c>
      <c r="X224" s="179">
        <f t="shared" si="43"/>
        <v>236</v>
      </c>
      <c r="Y224" s="176">
        <v>8</v>
      </c>
      <c r="Z224" s="176" t="s">
        <v>20</v>
      </c>
      <c r="AA224" s="176" t="s">
        <v>18</v>
      </c>
      <c r="AB224" s="185" t="s">
        <v>18</v>
      </c>
      <c r="AC224" s="186" t="s">
        <v>1193</v>
      </c>
      <c r="AD224" s="181" t="s">
        <v>1994</v>
      </c>
      <c r="AE224" s="179" t="s">
        <v>18</v>
      </c>
      <c r="AF224" s="191"/>
      <c r="AG224" s="175" t="s">
        <v>1173</v>
      </c>
      <c r="AH224" s="179">
        <f t="shared" si="35"/>
        <v>30</v>
      </c>
      <c r="AI224" s="179">
        <v>2</v>
      </c>
      <c r="AJ224" s="183">
        <f t="shared" si="36"/>
        <v>6372</v>
      </c>
      <c r="AK224" s="179">
        <f t="shared" si="37"/>
        <v>29.5</v>
      </c>
      <c r="AL224" s="183">
        <v>0</v>
      </c>
      <c r="AM224" s="183">
        <f t="shared" si="44"/>
        <v>2400000</v>
      </c>
      <c r="AN224" s="183">
        <f t="shared" si="38"/>
        <v>0</v>
      </c>
      <c r="AO224" s="183">
        <f t="shared" si="39"/>
        <v>0</v>
      </c>
      <c r="AP224" s="183">
        <f t="shared" si="40"/>
        <v>30075840</v>
      </c>
      <c r="AR224" s="183">
        <f t="shared" si="41"/>
        <v>0</v>
      </c>
      <c r="AS224" s="183">
        <f t="shared" si="42"/>
        <v>32475840</v>
      </c>
      <c r="AT224" s="175" t="s">
        <v>1515</v>
      </c>
      <c r="AU224" s="175" t="s">
        <v>1516</v>
      </c>
      <c r="AV224" s="175" t="s">
        <v>1351</v>
      </c>
      <c r="AW224" s="175" t="s">
        <v>1350</v>
      </c>
    </row>
    <row r="225" spans="1:49" ht="24.95" customHeight="1" x14ac:dyDescent="0.25">
      <c r="A225" s="175">
        <v>14280</v>
      </c>
      <c r="B225" s="175" t="s">
        <v>98</v>
      </c>
      <c r="C225" s="175" t="s">
        <v>41</v>
      </c>
      <c r="D225" s="176">
        <v>1</v>
      </c>
      <c r="E225" s="176">
        <v>2025</v>
      </c>
      <c r="F225" s="176">
        <v>2025</v>
      </c>
      <c r="G225" s="175" t="s">
        <v>23</v>
      </c>
      <c r="H225" s="175" t="s">
        <v>98</v>
      </c>
      <c r="I225" s="175" t="s">
        <v>1175</v>
      </c>
      <c r="J225" s="177" t="s">
        <v>1190</v>
      </c>
      <c r="K225" s="175" t="s">
        <v>21</v>
      </c>
      <c r="L225" s="175" t="s">
        <v>407</v>
      </c>
      <c r="M225" s="175" t="s">
        <v>408</v>
      </c>
      <c r="N225" s="175">
        <v>10</v>
      </c>
      <c r="O225" s="175" t="s">
        <v>706</v>
      </c>
      <c r="P225" s="175" t="s">
        <v>1194</v>
      </c>
      <c r="Q225" s="175" t="s">
        <v>1178</v>
      </c>
      <c r="R225" s="175" t="s">
        <v>339</v>
      </c>
      <c r="S225" s="175" t="s">
        <v>22</v>
      </c>
      <c r="T225" s="175" t="s">
        <v>1195</v>
      </c>
      <c r="U225" s="176">
        <v>20</v>
      </c>
      <c r="V225" s="176">
        <v>224</v>
      </c>
      <c r="W225" s="176">
        <v>12</v>
      </c>
      <c r="X225" s="179">
        <f t="shared" si="43"/>
        <v>236</v>
      </c>
      <c r="Y225" s="176">
        <v>8</v>
      </c>
      <c r="Z225" s="176" t="s">
        <v>20</v>
      </c>
      <c r="AA225" s="176" t="s">
        <v>18</v>
      </c>
      <c r="AB225" s="185" t="s">
        <v>18</v>
      </c>
      <c r="AC225" s="186" t="s">
        <v>1193</v>
      </c>
      <c r="AD225" s="181" t="s">
        <v>1995</v>
      </c>
      <c r="AE225" s="179" t="s">
        <v>18</v>
      </c>
      <c r="AF225" s="191"/>
      <c r="AG225" s="175" t="s">
        <v>1173</v>
      </c>
      <c r="AH225" s="179">
        <f t="shared" si="35"/>
        <v>30</v>
      </c>
      <c r="AI225" s="179">
        <v>2</v>
      </c>
      <c r="AJ225" s="183">
        <f t="shared" si="36"/>
        <v>6372</v>
      </c>
      <c r="AK225" s="179">
        <f t="shared" si="37"/>
        <v>29.5</v>
      </c>
      <c r="AL225" s="183">
        <v>0</v>
      </c>
      <c r="AM225" s="183">
        <f t="shared" si="44"/>
        <v>2400000</v>
      </c>
      <c r="AN225" s="183">
        <f t="shared" si="38"/>
        <v>0</v>
      </c>
      <c r="AO225" s="183">
        <f t="shared" si="39"/>
        <v>0</v>
      </c>
      <c r="AP225" s="183">
        <f t="shared" si="40"/>
        <v>30075840</v>
      </c>
      <c r="AR225" s="183">
        <f t="shared" si="41"/>
        <v>0</v>
      </c>
      <c r="AS225" s="183">
        <f t="shared" si="42"/>
        <v>32475840</v>
      </c>
      <c r="AT225" s="175" t="s">
        <v>1515</v>
      </c>
      <c r="AU225" s="175" t="s">
        <v>1516</v>
      </c>
      <c r="AV225" s="175" t="s">
        <v>1351</v>
      </c>
      <c r="AW225" s="175" t="s">
        <v>1350</v>
      </c>
    </row>
    <row r="226" spans="1:49" ht="24.95" customHeight="1" x14ac:dyDescent="0.25">
      <c r="A226" s="175">
        <v>14281</v>
      </c>
      <c r="B226" s="175" t="s">
        <v>98</v>
      </c>
      <c r="C226" s="175" t="s">
        <v>41</v>
      </c>
      <c r="D226" s="176">
        <v>1</v>
      </c>
      <c r="E226" s="176">
        <v>2025</v>
      </c>
      <c r="F226" s="176">
        <v>2025</v>
      </c>
      <c r="G226" s="175" t="s">
        <v>23</v>
      </c>
      <c r="H226" s="175" t="s">
        <v>98</v>
      </c>
      <c r="I226" s="175" t="s">
        <v>1175</v>
      </c>
      <c r="J226" s="177" t="s">
        <v>1190</v>
      </c>
      <c r="K226" s="175" t="s">
        <v>21</v>
      </c>
      <c r="L226" s="175" t="s">
        <v>407</v>
      </c>
      <c r="M226" s="175" t="s">
        <v>408</v>
      </c>
      <c r="N226" s="175">
        <v>10</v>
      </c>
      <c r="O226" s="175" t="s">
        <v>706</v>
      </c>
      <c r="P226" s="175" t="s">
        <v>736</v>
      </c>
      <c r="Q226" s="175" t="s">
        <v>1178</v>
      </c>
      <c r="R226" s="175" t="s">
        <v>339</v>
      </c>
      <c r="S226" s="175" t="s">
        <v>22</v>
      </c>
      <c r="T226" s="175" t="s">
        <v>1196</v>
      </c>
      <c r="U226" s="176">
        <v>20</v>
      </c>
      <c r="V226" s="176">
        <v>224</v>
      </c>
      <c r="W226" s="176">
        <v>12</v>
      </c>
      <c r="X226" s="179">
        <f t="shared" si="43"/>
        <v>236</v>
      </c>
      <c r="Y226" s="176">
        <v>8</v>
      </c>
      <c r="Z226" s="176" t="s">
        <v>20</v>
      </c>
      <c r="AA226" s="176" t="s">
        <v>18</v>
      </c>
      <c r="AB226" s="185" t="s">
        <v>18</v>
      </c>
      <c r="AC226" s="186" t="s">
        <v>1193</v>
      </c>
      <c r="AD226" s="181" t="s">
        <v>1996</v>
      </c>
      <c r="AE226" s="179" t="s">
        <v>18</v>
      </c>
      <c r="AF226" s="191"/>
      <c r="AG226" s="175" t="s">
        <v>1173</v>
      </c>
      <c r="AH226" s="179">
        <f t="shared" si="35"/>
        <v>30</v>
      </c>
      <c r="AI226" s="179">
        <v>2</v>
      </c>
      <c r="AJ226" s="183">
        <f t="shared" si="36"/>
        <v>6372</v>
      </c>
      <c r="AK226" s="179">
        <f t="shared" si="37"/>
        <v>29.5</v>
      </c>
      <c r="AL226" s="183">
        <v>0</v>
      </c>
      <c r="AM226" s="183">
        <f t="shared" si="44"/>
        <v>2400000</v>
      </c>
      <c r="AN226" s="183">
        <f t="shared" si="38"/>
        <v>0</v>
      </c>
      <c r="AO226" s="183">
        <f t="shared" si="39"/>
        <v>0</v>
      </c>
      <c r="AP226" s="183">
        <f t="shared" si="40"/>
        <v>30075840</v>
      </c>
      <c r="AR226" s="183">
        <f t="shared" si="41"/>
        <v>0</v>
      </c>
      <c r="AS226" s="183">
        <f t="shared" si="42"/>
        <v>32475840</v>
      </c>
      <c r="AT226" s="175" t="s">
        <v>1515</v>
      </c>
      <c r="AU226" s="175" t="s">
        <v>1516</v>
      </c>
      <c r="AV226" s="175" t="s">
        <v>1351</v>
      </c>
      <c r="AW226" s="175" t="s">
        <v>1350</v>
      </c>
    </row>
    <row r="227" spans="1:49" ht="24.95" customHeight="1" x14ac:dyDescent="0.25">
      <c r="A227" s="175">
        <v>14283</v>
      </c>
      <c r="B227" s="175" t="s">
        <v>98</v>
      </c>
      <c r="C227" s="175" t="s">
        <v>41</v>
      </c>
      <c r="D227" s="176">
        <v>1</v>
      </c>
      <c r="E227" s="176">
        <v>2025</v>
      </c>
      <c r="F227" s="176">
        <v>2025</v>
      </c>
      <c r="G227" s="175" t="s">
        <v>23</v>
      </c>
      <c r="H227" s="175" t="s">
        <v>98</v>
      </c>
      <c r="I227" s="175" t="s">
        <v>1175</v>
      </c>
      <c r="J227" s="177" t="s">
        <v>1190</v>
      </c>
      <c r="K227" s="175" t="s">
        <v>21</v>
      </c>
      <c r="L227" s="175" t="s">
        <v>407</v>
      </c>
      <c r="M227" s="175" t="s">
        <v>408</v>
      </c>
      <c r="N227" s="175">
        <v>10</v>
      </c>
      <c r="O227" s="175" t="s">
        <v>706</v>
      </c>
      <c r="P227" s="175" t="s">
        <v>1014</v>
      </c>
      <c r="Q227" s="175" t="s">
        <v>1178</v>
      </c>
      <c r="R227" s="175" t="s">
        <v>339</v>
      </c>
      <c r="S227" s="175" t="s">
        <v>22</v>
      </c>
      <c r="T227" s="175" t="s">
        <v>1196</v>
      </c>
      <c r="U227" s="176">
        <v>20</v>
      </c>
      <c r="V227" s="176">
        <v>224</v>
      </c>
      <c r="W227" s="176">
        <v>12</v>
      </c>
      <c r="X227" s="179">
        <f t="shared" si="43"/>
        <v>236</v>
      </c>
      <c r="Y227" s="176">
        <v>8</v>
      </c>
      <c r="Z227" s="176" t="s">
        <v>20</v>
      </c>
      <c r="AA227" s="176" t="s">
        <v>18</v>
      </c>
      <c r="AB227" s="185" t="s">
        <v>18</v>
      </c>
      <c r="AC227" s="186" t="s">
        <v>1193</v>
      </c>
      <c r="AD227" s="181" t="s">
        <v>1997</v>
      </c>
      <c r="AE227" s="179" t="s">
        <v>18</v>
      </c>
      <c r="AF227" s="191"/>
      <c r="AG227" s="175" t="s">
        <v>1173</v>
      </c>
      <c r="AH227" s="179">
        <f t="shared" si="35"/>
        <v>30</v>
      </c>
      <c r="AI227" s="179">
        <v>2</v>
      </c>
      <c r="AJ227" s="183">
        <f t="shared" si="36"/>
        <v>6372</v>
      </c>
      <c r="AK227" s="179">
        <f t="shared" si="37"/>
        <v>29.5</v>
      </c>
      <c r="AL227" s="183">
        <v>0</v>
      </c>
      <c r="AM227" s="183">
        <f t="shared" si="44"/>
        <v>2400000</v>
      </c>
      <c r="AN227" s="183">
        <f t="shared" si="38"/>
        <v>0</v>
      </c>
      <c r="AO227" s="183">
        <f t="shared" si="39"/>
        <v>0</v>
      </c>
      <c r="AP227" s="183">
        <f t="shared" si="40"/>
        <v>30075840</v>
      </c>
      <c r="AR227" s="183">
        <f t="shared" si="41"/>
        <v>0</v>
      </c>
      <c r="AS227" s="183">
        <f t="shared" si="42"/>
        <v>32475840</v>
      </c>
      <c r="AT227" s="175" t="s">
        <v>1515</v>
      </c>
      <c r="AU227" s="175" t="s">
        <v>1516</v>
      </c>
      <c r="AV227" s="175" t="s">
        <v>1351</v>
      </c>
      <c r="AW227" s="175" t="s">
        <v>1350</v>
      </c>
    </row>
    <row r="228" spans="1:49" ht="24.95" customHeight="1" x14ac:dyDescent="0.25">
      <c r="A228" s="175">
        <v>14348</v>
      </c>
      <c r="B228" s="175" t="s">
        <v>94</v>
      </c>
      <c r="C228" s="175" t="s">
        <v>37</v>
      </c>
      <c r="D228" s="176">
        <v>1</v>
      </c>
      <c r="E228" s="176">
        <v>2025</v>
      </c>
      <c r="F228" s="176">
        <v>2025</v>
      </c>
      <c r="G228" s="175" t="s">
        <v>23</v>
      </c>
      <c r="H228" s="175" t="s">
        <v>94</v>
      </c>
      <c r="I228" s="175" t="s">
        <v>113</v>
      </c>
      <c r="J228" s="177" t="s">
        <v>1998</v>
      </c>
      <c r="K228" s="175" t="s">
        <v>21</v>
      </c>
      <c r="L228" s="175" t="s">
        <v>21</v>
      </c>
      <c r="M228" s="175" t="s">
        <v>21</v>
      </c>
      <c r="N228" s="175">
        <v>6</v>
      </c>
      <c r="O228" s="175" t="s">
        <v>796</v>
      </c>
      <c r="P228" s="175" t="s">
        <v>858</v>
      </c>
      <c r="Q228" s="175" t="s">
        <v>1201</v>
      </c>
      <c r="R228" s="175" t="s">
        <v>339</v>
      </c>
      <c r="S228" s="175" t="s">
        <v>22</v>
      </c>
      <c r="T228" s="175" t="s">
        <v>347</v>
      </c>
      <c r="U228" s="176">
        <v>15</v>
      </c>
      <c r="V228" s="176">
        <v>90</v>
      </c>
      <c r="W228" s="176" t="s">
        <v>21</v>
      </c>
      <c r="X228" s="179">
        <f t="shared" si="43"/>
        <v>90</v>
      </c>
      <c r="Y228" s="176">
        <v>3</v>
      </c>
      <c r="Z228" s="176" t="s">
        <v>20</v>
      </c>
      <c r="AA228" s="176" t="s">
        <v>18</v>
      </c>
      <c r="AB228" s="185" t="s">
        <v>18</v>
      </c>
      <c r="AC228" s="186" t="s">
        <v>1999</v>
      </c>
      <c r="AD228" s="181" t="s">
        <v>2000</v>
      </c>
      <c r="AE228" s="179" t="s">
        <v>18</v>
      </c>
      <c r="AF228" s="191"/>
      <c r="AG228" s="175" t="s">
        <v>1173</v>
      </c>
      <c r="AH228" s="179">
        <f t="shared" si="35"/>
        <v>30</v>
      </c>
      <c r="AI228" s="179">
        <v>2</v>
      </c>
      <c r="AJ228" s="183">
        <f t="shared" si="36"/>
        <v>6372</v>
      </c>
      <c r="AK228" s="179">
        <f t="shared" si="37"/>
        <v>30</v>
      </c>
      <c r="AL228" s="183">
        <v>0</v>
      </c>
      <c r="AM228" s="183">
        <f t="shared" si="44"/>
        <v>1800000</v>
      </c>
      <c r="AN228" s="183">
        <f t="shared" si="38"/>
        <v>0</v>
      </c>
      <c r="AO228" s="183">
        <f t="shared" si="39"/>
        <v>0</v>
      </c>
      <c r="AP228" s="183">
        <f t="shared" si="40"/>
        <v>8602200</v>
      </c>
      <c r="AR228" s="183">
        <f t="shared" si="41"/>
        <v>0</v>
      </c>
      <c r="AS228" s="183">
        <f t="shared" si="42"/>
        <v>10402200</v>
      </c>
      <c r="AT228" s="175" t="s">
        <v>2001</v>
      </c>
      <c r="AU228" s="175" t="s">
        <v>1714</v>
      </c>
      <c r="AV228" s="175" t="s">
        <v>2002</v>
      </c>
      <c r="AW228" s="175" t="s">
        <v>2003</v>
      </c>
    </row>
    <row r="229" spans="1:49" ht="24.95" customHeight="1" x14ac:dyDescent="0.25">
      <c r="A229" s="175">
        <v>14406</v>
      </c>
      <c r="B229" s="175" t="s">
        <v>98</v>
      </c>
      <c r="C229" s="175" t="s">
        <v>41</v>
      </c>
      <c r="D229" s="176">
        <v>1</v>
      </c>
      <c r="E229" s="176">
        <v>2025</v>
      </c>
      <c r="F229" s="176">
        <v>2025</v>
      </c>
      <c r="G229" s="175" t="s">
        <v>23</v>
      </c>
      <c r="H229" s="175" t="s">
        <v>98</v>
      </c>
      <c r="I229" s="175" t="s">
        <v>1175</v>
      </c>
      <c r="J229" s="177" t="s">
        <v>758</v>
      </c>
      <c r="K229" s="175" t="s">
        <v>21</v>
      </c>
      <c r="L229" s="175" t="s">
        <v>21</v>
      </c>
      <c r="M229" s="175" t="s">
        <v>21</v>
      </c>
      <c r="N229" s="175">
        <v>13</v>
      </c>
      <c r="O229" s="175" t="s">
        <v>382</v>
      </c>
      <c r="P229" s="175" t="s">
        <v>776</v>
      </c>
      <c r="Q229" s="175" t="s">
        <v>1201</v>
      </c>
      <c r="R229" s="175" t="s">
        <v>339</v>
      </c>
      <c r="S229" s="175" t="s">
        <v>22</v>
      </c>
      <c r="T229" s="175" t="s">
        <v>337</v>
      </c>
      <c r="U229" s="176">
        <v>20</v>
      </c>
      <c r="V229" s="176">
        <v>200</v>
      </c>
      <c r="W229" s="176" t="s">
        <v>21</v>
      </c>
      <c r="X229" s="179">
        <f t="shared" si="43"/>
        <v>200</v>
      </c>
      <c r="Y229" s="176">
        <v>4</v>
      </c>
      <c r="Z229" s="176" t="s">
        <v>20</v>
      </c>
      <c r="AA229" s="176" t="s">
        <v>18</v>
      </c>
      <c r="AB229" s="185" t="s">
        <v>18</v>
      </c>
      <c r="AC229" s="186" t="s">
        <v>2004</v>
      </c>
      <c r="AD229" s="181" t="s">
        <v>1794</v>
      </c>
      <c r="AE229" s="179" t="s">
        <v>18</v>
      </c>
      <c r="AF229" s="191"/>
      <c r="AG229" s="175" t="s">
        <v>1173</v>
      </c>
      <c r="AH229" s="179">
        <f t="shared" si="35"/>
        <v>50</v>
      </c>
      <c r="AI229" s="179">
        <v>2</v>
      </c>
      <c r="AJ229" s="183">
        <f t="shared" si="36"/>
        <v>6372</v>
      </c>
      <c r="AK229" s="179">
        <f t="shared" si="37"/>
        <v>50</v>
      </c>
      <c r="AL229" s="183">
        <v>0</v>
      </c>
      <c r="AM229" s="183">
        <f t="shared" si="44"/>
        <v>4000000</v>
      </c>
      <c r="AN229" s="183">
        <f t="shared" si="38"/>
        <v>0</v>
      </c>
      <c r="AO229" s="183">
        <f t="shared" si="39"/>
        <v>0</v>
      </c>
      <c r="AP229" s="183">
        <f t="shared" si="40"/>
        <v>25488000</v>
      </c>
      <c r="AR229" s="183">
        <f t="shared" si="41"/>
        <v>0</v>
      </c>
      <c r="AS229" s="183">
        <f t="shared" si="42"/>
        <v>29488000</v>
      </c>
      <c r="AT229" s="175" t="s">
        <v>1795</v>
      </c>
      <c r="AU229" s="175" t="s">
        <v>1796</v>
      </c>
      <c r="AV229" s="175" t="s">
        <v>1026</v>
      </c>
      <c r="AW229" s="175" t="s">
        <v>1041</v>
      </c>
    </row>
    <row r="230" spans="1:49" ht="24.95" customHeight="1" x14ac:dyDescent="0.25">
      <c r="A230" s="175">
        <v>14407</v>
      </c>
      <c r="B230" s="175" t="s">
        <v>98</v>
      </c>
      <c r="C230" s="175" t="s">
        <v>41</v>
      </c>
      <c r="D230" s="176">
        <v>1</v>
      </c>
      <c r="E230" s="176">
        <v>2025</v>
      </c>
      <c r="F230" s="176">
        <v>2025</v>
      </c>
      <c r="G230" s="175" t="s">
        <v>23</v>
      </c>
      <c r="H230" s="175" t="s">
        <v>98</v>
      </c>
      <c r="I230" s="175" t="s">
        <v>1175</v>
      </c>
      <c r="J230" s="177" t="s">
        <v>758</v>
      </c>
      <c r="K230" s="175" t="s">
        <v>21</v>
      </c>
      <c r="L230" s="175" t="s">
        <v>21</v>
      </c>
      <c r="M230" s="175" t="s">
        <v>21</v>
      </c>
      <c r="N230" s="175">
        <v>13</v>
      </c>
      <c r="O230" s="175" t="s">
        <v>382</v>
      </c>
      <c r="P230" s="175" t="s">
        <v>383</v>
      </c>
      <c r="Q230" s="175" t="s">
        <v>1201</v>
      </c>
      <c r="R230" s="175" t="s">
        <v>339</v>
      </c>
      <c r="S230" s="175" t="s">
        <v>22</v>
      </c>
      <c r="T230" s="175" t="s">
        <v>337</v>
      </c>
      <c r="U230" s="176">
        <v>20</v>
      </c>
      <c r="V230" s="176">
        <v>200</v>
      </c>
      <c r="W230" s="176" t="s">
        <v>21</v>
      </c>
      <c r="X230" s="179">
        <f t="shared" si="43"/>
        <v>200</v>
      </c>
      <c r="Y230" s="176">
        <v>4</v>
      </c>
      <c r="Z230" s="176" t="s">
        <v>20</v>
      </c>
      <c r="AA230" s="176" t="s">
        <v>18</v>
      </c>
      <c r="AB230" s="185" t="s">
        <v>18</v>
      </c>
      <c r="AC230" s="186" t="s">
        <v>2004</v>
      </c>
      <c r="AD230" s="181" t="s">
        <v>2005</v>
      </c>
      <c r="AE230" s="179" t="s">
        <v>18</v>
      </c>
      <c r="AF230" s="191"/>
      <c r="AG230" s="175" t="s">
        <v>1173</v>
      </c>
      <c r="AH230" s="179">
        <f t="shared" si="35"/>
        <v>50</v>
      </c>
      <c r="AI230" s="179">
        <v>2</v>
      </c>
      <c r="AJ230" s="183">
        <f t="shared" si="36"/>
        <v>6372</v>
      </c>
      <c r="AK230" s="179">
        <f t="shared" si="37"/>
        <v>50</v>
      </c>
      <c r="AL230" s="183">
        <v>0</v>
      </c>
      <c r="AM230" s="183">
        <f t="shared" si="44"/>
        <v>4000000</v>
      </c>
      <c r="AN230" s="183">
        <f t="shared" si="38"/>
        <v>0</v>
      </c>
      <c r="AO230" s="183">
        <f t="shared" si="39"/>
        <v>0</v>
      </c>
      <c r="AP230" s="183">
        <f t="shared" si="40"/>
        <v>25488000</v>
      </c>
      <c r="AR230" s="183">
        <f t="shared" si="41"/>
        <v>0</v>
      </c>
      <c r="AS230" s="183">
        <f t="shared" si="42"/>
        <v>29488000</v>
      </c>
      <c r="AT230" s="175" t="s">
        <v>1795</v>
      </c>
      <c r="AU230" s="175" t="s">
        <v>1796</v>
      </c>
      <c r="AV230" s="175" t="s">
        <v>1026</v>
      </c>
      <c r="AW230" s="175" t="s">
        <v>1041</v>
      </c>
    </row>
    <row r="231" spans="1:49" ht="24.95" customHeight="1" x14ac:dyDescent="0.25">
      <c r="A231" s="175">
        <v>14260</v>
      </c>
      <c r="B231" s="175" t="s">
        <v>86</v>
      </c>
      <c r="C231" s="175" t="s">
        <v>29</v>
      </c>
      <c r="D231" s="176">
        <v>1</v>
      </c>
      <c r="E231" s="176">
        <v>2025</v>
      </c>
      <c r="F231" s="176">
        <v>2025</v>
      </c>
      <c r="G231" s="175" t="s">
        <v>23</v>
      </c>
      <c r="H231" s="175" t="s">
        <v>86</v>
      </c>
      <c r="I231" s="175" t="s">
        <v>105</v>
      </c>
      <c r="J231" s="177" t="s">
        <v>2006</v>
      </c>
      <c r="K231" s="175" t="s">
        <v>21</v>
      </c>
      <c r="L231" s="175" t="s">
        <v>21</v>
      </c>
      <c r="M231" s="175" t="s">
        <v>21</v>
      </c>
      <c r="N231" s="175">
        <v>13</v>
      </c>
      <c r="O231" s="175" t="s">
        <v>382</v>
      </c>
      <c r="P231" s="175" t="s">
        <v>756</v>
      </c>
      <c r="Q231" s="175" t="s">
        <v>1201</v>
      </c>
      <c r="R231" s="175" t="s">
        <v>339</v>
      </c>
      <c r="S231" s="175" t="s">
        <v>22</v>
      </c>
      <c r="T231" s="175" t="s">
        <v>337</v>
      </c>
      <c r="U231" s="176">
        <v>20</v>
      </c>
      <c r="V231" s="176">
        <v>200</v>
      </c>
      <c r="W231" s="176" t="s">
        <v>21</v>
      </c>
      <c r="X231" s="179">
        <f t="shared" si="43"/>
        <v>200</v>
      </c>
      <c r="Y231" s="176">
        <v>4</v>
      </c>
      <c r="Z231" s="176" t="s">
        <v>20</v>
      </c>
      <c r="AA231" s="176" t="s">
        <v>18</v>
      </c>
      <c r="AB231" s="185" t="s">
        <v>18</v>
      </c>
      <c r="AC231" s="186" t="s">
        <v>2007</v>
      </c>
      <c r="AD231" s="181" t="s">
        <v>1904</v>
      </c>
      <c r="AE231" s="179" t="s">
        <v>18</v>
      </c>
      <c r="AF231" s="191"/>
      <c r="AG231" s="175" t="s">
        <v>1173</v>
      </c>
      <c r="AH231" s="179">
        <f t="shared" si="35"/>
        <v>50</v>
      </c>
      <c r="AI231" s="179">
        <v>2</v>
      </c>
      <c r="AJ231" s="183">
        <f t="shared" si="36"/>
        <v>6372</v>
      </c>
      <c r="AK231" s="179">
        <f t="shared" si="37"/>
        <v>50</v>
      </c>
      <c r="AL231" s="183">
        <v>0</v>
      </c>
      <c r="AM231" s="183">
        <f t="shared" si="44"/>
        <v>4000000</v>
      </c>
      <c r="AN231" s="183">
        <f t="shared" si="38"/>
        <v>0</v>
      </c>
      <c r="AO231" s="183">
        <f t="shared" si="39"/>
        <v>0</v>
      </c>
      <c r="AP231" s="183">
        <f t="shared" si="40"/>
        <v>25488000</v>
      </c>
      <c r="AR231" s="183">
        <f t="shared" si="41"/>
        <v>0</v>
      </c>
      <c r="AS231" s="183">
        <f t="shared" si="42"/>
        <v>29488000</v>
      </c>
      <c r="AT231" s="175" t="s">
        <v>1974</v>
      </c>
      <c r="AU231" s="175" t="s">
        <v>1975</v>
      </c>
      <c r="AV231" s="175" t="s">
        <v>1868</v>
      </c>
      <c r="AW231" s="175" t="s">
        <v>1017</v>
      </c>
    </row>
    <row r="232" spans="1:49" ht="24.95" customHeight="1" x14ac:dyDescent="0.25">
      <c r="A232" s="175">
        <v>14271</v>
      </c>
      <c r="B232" s="175" t="s">
        <v>86</v>
      </c>
      <c r="C232" s="175" t="s">
        <v>29</v>
      </c>
      <c r="D232" s="176">
        <v>1</v>
      </c>
      <c r="E232" s="176">
        <v>2025</v>
      </c>
      <c r="F232" s="176">
        <v>2025</v>
      </c>
      <c r="G232" s="175" t="s">
        <v>23</v>
      </c>
      <c r="H232" s="175" t="s">
        <v>86</v>
      </c>
      <c r="I232" s="175" t="s">
        <v>105</v>
      </c>
      <c r="J232" s="177" t="s">
        <v>2006</v>
      </c>
      <c r="K232" s="175" t="s">
        <v>21</v>
      </c>
      <c r="L232" s="175" t="s">
        <v>21</v>
      </c>
      <c r="M232" s="175" t="s">
        <v>21</v>
      </c>
      <c r="N232" s="175">
        <v>13</v>
      </c>
      <c r="O232" s="175" t="s">
        <v>382</v>
      </c>
      <c r="P232" s="175" t="s">
        <v>714</v>
      </c>
      <c r="Q232" s="175" t="s">
        <v>1201</v>
      </c>
      <c r="R232" s="175" t="s">
        <v>339</v>
      </c>
      <c r="S232" s="175" t="s">
        <v>22</v>
      </c>
      <c r="T232" s="175" t="s">
        <v>337</v>
      </c>
      <c r="U232" s="176">
        <v>20</v>
      </c>
      <c r="V232" s="176">
        <v>200</v>
      </c>
      <c r="W232" s="176" t="s">
        <v>21</v>
      </c>
      <c r="X232" s="179">
        <f t="shared" si="43"/>
        <v>200</v>
      </c>
      <c r="Y232" s="176">
        <v>4</v>
      </c>
      <c r="Z232" s="176" t="s">
        <v>20</v>
      </c>
      <c r="AA232" s="176" t="s">
        <v>18</v>
      </c>
      <c r="AB232" s="185" t="s">
        <v>18</v>
      </c>
      <c r="AC232" s="186" t="s">
        <v>2008</v>
      </c>
      <c r="AD232" s="181" t="s">
        <v>1904</v>
      </c>
      <c r="AE232" s="179" t="s">
        <v>18</v>
      </c>
      <c r="AF232" s="191"/>
      <c r="AG232" s="175" t="s">
        <v>1173</v>
      </c>
      <c r="AH232" s="179">
        <f t="shared" si="35"/>
        <v>50</v>
      </c>
      <c r="AI232" s="179">
        <v>2</v>
      </c>
      <c r="AJ232" s="183">
        <f t="shared" si="36"/>
        <v>6372</v>
      </c>
      <c r="AK232" s="179">
        <f t="shared" si="37"/>
        <v>50</v>
      </c>
      <c r="AL232" s="183">
        <v>0</v>
      </c>
      <c r="AM232" s="183">
        <f t="shared" si="44"/>
        <v>4000000</v>
      </c>
      <c r="AN232" s="183">
        <f t="shared" si="38"/>
        <v>0</v>
      </c>
      <c r="AO232" s="183">
        <f t="shared" si="39"/>
        <v>0</v>
      </c>
      <c r="AP232" s="183">
        <f t="shared" si="40"/>
        <v>25488000</v>
      </c>
      <c r="AR232" s="183">
        <f t="shared" si="41"/>
        <v>0</v>
      </c>
      <c r="AS232" s="183">
        <f t="shared" si="42"/>
        <v>29488000</v>
      </c>
      <c r="AT232" s="175" t="s">
        <v>1974</v>
      </c>
      <c r="AU232" s="175" t="s">
        <v>1975</v>
      </c>
      <c r="AV232" s="175" t="s">
        <v>1868</v>
      </c>
      <c r="AW232" s="175" t="s">
        <v>1017</v>
      </c>
    </row>
    <row r="233" spans="1:49" ht="24.95" customHeight="1" x14ac:dyDescent="0.25">
      <c r="A233" s="175">
        <v>14292</v>
      </c>
      <c r="B233" s="175" t="s">
        <v>98</v>
      </c>
      <c r="C233" s="175" t="s">
        <v>41</v>
      </c>
      <c r="D233" s="176">
        <v>1</v>
      </c>
      <c r="E233" s="176">
        <v>2025</v>
      </c>
      <c r="F233" s="176">
        <v>2025</v>
      </c>
      <c r="G233" s="175" t="s">
        <v>23</v>
      </c>
      <c r="H233" s="175" t="s">
        <v>98</v>
      </c>
      <c r="I233" s="175" t="s">
        <v>1175</v>
      </c>
      <c r="J233" s="177" t="s">
        <v>2009</v>
      </c>
      <c r="K233" s="175" t="s">
        <v>21</v>
      </c>
      <c r="L233" s="175" t="s">
        <v>760</v>
      </c>
      <c r="M233" s="175" t="s">
        <v>759</v>
      </c>
      <c r="N233" s="175">
        <v>13</v>
      </c>
      <c r="O233" s="175" t="s">
        <v>382</v>
      </c>
      <c r="P233" s="175" t="s">
        <v>404</v>
      </c>
      <c r="Q233" s="175" t="s">
        <v>702</v>
      </c>
      <c r="R233" s="175" t="s">
        <v>339</v>
      </c>
      <c r="S233" s="175" t="s">
        <v>22</v>
      </c>
      <c r="T233" s="175" t="s">
        <v>763</v>
      </c>
      <c r="U233" s="176">
        <v>20</v>
      </c>
      <c r="V233" s="176">
        <v>180</v>
      </c>
      <c r="W233" s="176">
        <v>8</v>
      </c>
      <c r="X233" s="179">
        <f t="shared" si="43"/>
        <v>188</v>
      </c>
      <c r="Y233" s="176">
        <v>4</v>
      </c>
      <c r="Z233" s="176" t="s">
        <v>20</v>
      </c>
      <c r="AA233" s="176" t="s">
        <v>18</v>
      </c>
      <c r="AB233" s="185" t="s">
        <v>18</v>
      </c>
      <c r="AC233" s="186" t="s">
        <v>2010</v>
      </c>
      <c r="AD233" s="181" t="s">
        <v>1949</v>
      </c>
      <c r="AE233" s="179" t="s">
        <v>18</v>
      </c>
      <c r="AF233" s="191"/>
      <c r="AG233" s="175" t="s">
        <v>1173</v>
      </c>
      <c r="AH233" s="179">
        <f t="shared" si="35"/>
        <v>47</v>
      </c>
      <c r="AI233" s="179">
        <v>1</v>
      </c>
      <c r="AJ233" s="183">
        <f t="shared" si="36"/>
        <v>5074</v>
      </c>
      <c r="AK233" s="179">
        <f t="shared" si="37"/>
        <v>47</v>
      </c>
      <c r="AL233" s="183">
        <v>0</v>
      </c>
      <c r="AM233" s="183">
        <f t="shared" si="44"/>
        <v>3760000</v>
      </c>
      <c r="AN233" s="183">
        <f t="shared" si="38"/>
        <v>0</v>
      </c>
      <c r="AO233" s="183">
        <f t="shared" si="39"/>
        <v>0</v>
      </c>
      <c r="AP233" s="183">
        <f t="shared" si="40"/>
        <v>19078240</v>
      </c>
      <c r="AR233" s="183">
        <f t="shared" si="41"/>
        <v>0</v>
      </c>
      <c r="AS233" s="183">
        <f t="shared" si="42"/>
        <v>22838240</v>
      </c>
      <c r="AT233" s="175" t="s">
        <v>1950</v>
      </c>
      <c r="AU233" s="175" t="s">
        <v>1951</v>
      </c>
      <c r="AV233" s="175" t="s">
        <v>1952</v>
      </c>
      <c r="AW233" s="175" t="s">
        <v>1953</v>
      </c>
    </row>
    <row r="234" spans="1:49" ht="24.95" customHeight="1" x14ac:dyDescent="0.25">
      <c r="A234" s="175">
        <v>14521</v>
      </c>
      <c r="B234" s="175" t="s">
        <v>83</v>
      </c>
      <c r="C234" s="175" t="s">
        <v>1022</v>
      </c>
      <c r="D234" s="176">
        <v>1</v>
      </c>
      <c r="E234" s="176">
        <v>2025</v>
      </c>
      <c r="F234" s="176">
        <v>2025</v>
      </c>
      <c r="G234" s="175" t="s">
        <v>23</v>
      </c>
      <c r="H234" s="175" t="s">
        <v>83</v>
      </c>
      <c r="I234" s="175" t="s">
        <v>102</v>
      </c>
      <c r="J234" s="177" t="s">
        <v>2011</v>
      </c>
      <c r="K234" s="175" t="s">
        <v>21</v>
      </c>
      <c r="L234" s="175" t="s">
        <v>21</v>
      </c>
      <c r="M234" s="175" t="s">
        <v>21</v>
      </c>
      <c r="N234" s="175">
        <v>10</v>
      </c>
      <c r="O234" s="175" t="s">
        <v>706</v>
      </c>
      <c r="P234" s="175" t="s">
        <v>774</v>
      </c>
      <c r="Q234" s="175" t="s">
        <v>880</v>
      </c>
      <c r="R234" s="175" t="s">
        <v>339</v>
      </c>
      <c r="S234" s="175" t="s">
        <v>22</v>
      </c>
      <c r="T234" s="175" t="s">
        <v>347</v>
      </c>
      <c r="U234" s="176">
        <v>20</v>
      </c>
      <c r="V234" s="176">
        <v>80</v>
      </c>
      <c r="W234" s="176" t="s">
        <v>21</v>
      </c>
      <c r="X234" s="179">
        <f t="shared" si="43"/>
        <v>80</v>
      </c>
      <c r="Y234" s="176">
        <v>5</v>
      </c>
      <c r="Z234" s="176" t="s">
        <v>20</v>
      </c>
      <c r="AA234" s="176" t="s">
        <v>18</v>
      </c>
      <c r="AB234" s="185" t="s">
        <v>18</v>
      </c>
      <c r="AC234" s="186" t="s">
        <v>2012</v>
      </c>
      <c r="AD234" s="181" t="s">
        <v>2013</v>
      </c>
      <c r="AE234" s="179" t="s">
        <v>18</v>
      </c>
      <c r="AF234" s="191"/>
      <c r="AG234" s="175" t="s">
        <v>1173</v>
      </c>
      <c r="AH234" s="179">
        <f t="shared" si="35"/>
        <v>16</v>
      </c>
      <c r="AI234" s="179">
        <v>2</v>
      </c>
      <c r="AJ234" s="183">
        <f t="shared" si="36"/>
        <v>6372</v>
      </c>
      <c r="AK234" s="179">
        <f t="shared" si="37"/>
        <v>16</v>
      </c>
      <c r="AL234" s="183">
        <v>0</v>
      </c>
      <c r="AM234" s="183">
        <f t="shared" si="44"/>
        <v>1280000</v>
      </c>
      <c r="AN234" s="183">
        <f t="shared" si="38"/>
        <v>0</v>
      </c>
      <c r="AO234" s="183">
        <f t="shared" si="39"/>
        <v>0</v>
      </c>
      <c r="AP234" s="183">
        <f t="shared" si="40"/>
        <v>10195200</v>
      </c>
      <c r="AR234" s="183">
        <f t="shared" si="41"/>
        <v>0</v>
      </c>
      <c r="AS234" s="183">
        <f t="shared" si="42"/>
        <v>11475200</v>
      </c>
      <c r="AT234" s="175" t="s">
        <v>1535</v>
      </c>
      <c r="AU234" s="175" t="s">
        <v>1536</v>
      </c>
      <c r="AV234" s="175" t="s">
        <v>2014</v>
      </c>
      <c r="AW234" s="175" t="s">
        <v>2015</v>
      </c>
    </row>
    <row r="235" spans="1:49" ht="24.95" customHeight="1" x14ac:dyDescent="0.25">
      <c r="A235" s="175">
        <v>14412</v>
      </c>
      <c r="B235" s="175" t="s">
        <v>98</v>
      </c>
      <c r="C235" s="175" t="s">
        <v>41</v>
      </c>
      <c r="D235" s="176">
        <v>1</v>
      </c>
      <c r="E235" s="176">
        <v>2025</v>
      </c>
      <c r="F235" s="176">
        <v>2025</v>
      </c>
      <c r="G235" s="175" t="s">
        <v>23</v>
      </c>
      <c r="H235" s="175" t="s">
        <v>98</v>
      </c>
      <c r="I235" s="175" t="s">
        <v>1175</v>
      </c>
      <c r="J235" s="177" t="s">
        <v>2016</v>
      </c>
      <c r="K235" s="175" t="s">
        <v>21</v>
      </c>
      <c r="L235" s="175" t="s">
        <v>21</v>
      </c>
      <c r="M235" s="175" t="s">
        <v>21</v>
      </c>
      <c r="N235" s="175">
        <v>13</v>
      </c>
      <c r="O235" s="175" t="s">
        <v>382</v>
      </c>
      <c r="P235" s="175" t="s">
        <v>776</v>
      </c>
      <c r="Q235" s="175" t="s">
        <v>1201</v>
      </c>
      <c r="R235" s="175" t="s">
        <v>339</v>
      </c>
      <c r="S235" s="175" t="s">
        <v>22</v>
      </c>
      <c r="T235" s="175" t="s">
        <v>337</v>
      </c>
      <c r="U235" s="176">
        <v>20</v>
      </c>
      <c r="V235" s="176">
        <v>100</v>
      </c>
      <c r="W235" s="176" t="s">
        <v>21</v>
      </c>
      <c r="X235" s="179">
        <f t="shared" si="43"/>
        <v>100</v>
      </c>
      <c r="Y235" s="176">
        <v>4</v>
      </c>
      <c r="Z235" s="176" t="s">
        <v>20</v>
      </c>
      <c r="AA235" s="176" t="s">
        <v>18</v>
      </c>
      <c r="AB235" s="185" t="s">
        <v>18</v>
      </c>
      <c r="AC235" s="186" t="s">
        <v>2017</v>
      </c>
      <c r="AD235" s="181" t="s">
        <v>1794</v>
      </c>
      <c r="AE235" s="179" t="s">
        <v>18</v>
      </c>
      <c r="AF235" s="191"/>
      <c r="AG235" s="175" t="s">
        <v>1173</v>
      </c>
      <c r="AH235" s="179">
        <f t="shared" si="35"/>
        <v>25</v>
      </c>
      <c r="AI235" s="179">
        <v>2</v>
      </c>
      <c r="AJ235" s="183">
        <f t="shared" si="36"/>
        <v>6372</v>
      </c>
      <c r="AK235" s="179">
        <f t="shared" si="37"/>
        <v>25</v>
      </c>
      <c r="AL235" s="183">
        <v>0</v>
      </c>
      <c r="AM235" s="183">
        <f t="shared" si="44"/>
        <v>2000000</v>
      </c>
      <c r="AN235" s="183">
        <f t="shared" si="38"/>
        <v>0</v>
      </c>
      <c r="AO235" s="183">
        <f t="shared" si="39"/>
        <v>0</v>
      </c>
      <c r="AP235" s="183">
        <f t="shared" si="40"/>
        <v>12744000</v>
      </c>
      <c r="AR235" s="183">
        <f t="shared" si="41"/>
        <v>0</v>
      </c>
      <c r="AS235" s="183">
        <f t="shared" si="42"/>
        <v>14744000</v>
      </c>
      <c r="AT235" s="175" t="s">
        <v>1795</v>
      </c>
      <c r="AU235" s="175" t="s">
        <v>1796</v>
      </c>
      <c r="AV235" s="175" t="s">
        <v>1026</v>
      </c>
      <c r="AW235" s="175" t="s">
        <v>1041</v>
      </c>
    </row>
    <row r="236" spans="1:49" ht="24.95" customHeight="1" x14ac:dyDescent="0.25">
      <c r="A236" s="175">
        <v>14413</v>
      </c>
      <c r="B236" s="175" t="s">
        <v>98</v>
      </c>
      <c r="C236" s="175" t="s">
        <v>41</v>
      </c>
      <c r="D236" s="176">
        <v>1</v>
      </c>
      <c r="E236" s="176">
        <v>2025</v>
      </c>
      <c r="F236" s="176">
        <v>2025</v>
      </c>
      <c r="G236" s="175" t="s">
        <v>23</v>
      </c>
      <c r="H236" s="175" t="s">
        <v>98</v>
      </c>
      <c r="I236" s="175" t="s">
        <v>1175</v>
      </c>
      <c r="J236" s="177" t="s">
        <v>2016</v>
      </c>
      <c r="K236" s="175" t="s">
        <v>21</v>
      </c>
      <c r="L236" s="175" t="s">
        <v>21</v>
      </c>
      <c r="M236" s="175" t="s">
        <v>21</v>
      </c>
      <c r="N236" s="175">
        <v>13</v>
      </c>
      <c r="O236" s="175" t="s">
        <v>382</v>
      </c>
      <c r="P236" s="175" t="s">
        <v>383</v>
      </c>
      <c r="Q236" s="175" t="s">
        <v>1201</v>
      </c>
      <c r="R236" s="175" t="s">
        <v>339</v>
      </c>
      <c r="S236" s="175" t="s">
        <v>22</v>
      </c>
      <c r="T236" s="175" t="s">
        <v>337</v>
      </c>
      <c r="U236" s="176">
        <v>20</v>
      </c>
      <c r="V236" s="176">
        <v>100</v>
      </c>
      <c r="W236" s="176" t="s">
        <v>21</v>
      </c>
      <c r="X236" s="179">
        <f t="shared" si="43"/>
        <v>100</v>
      </c>
      <c r="Y236" s="176">
        <v>4</v>
      </c>
      <c r="Z236" s="176" t="s">
        <v>20</v>
      </c>
      <c r="AA236" s="176" t="s">
        <v>18</v>
      </c>
      <c r="AB236" s="185" t="s">
        <v>18</v>
      </c>
      <c r="AC236" s="186" t="s">
        <v>2018</v>
      </c>
      <c r="AD236" s="181" t="s">
        <v>1794</v>
      </c>
      <c r="AE236" s="179" t="s">
        <v>18</v>
      </c>
      <c r="AF236" s="191"/>
      <c r="AG236" s="175" t="s">
        <v>1173</v>
      </c>
      <c r="AH236" s="179">
        <f t="shared" si="35"/>
        <v>25</v>
      </c>
      <c r="AI236" s="179">
        <v>2</v>
      </c>
      <c r="AJ236" s="183">
        <f t="shared" si="36"/>
        <v>6372</v>
      </c>
      <c r="AK236" s="179">
        <f t="shared" si="37"/>
        <v>25</v>
      </c>
      <c r="AL236" s="183">
        <v>0</v>
      </c>
      <c r="AM236" s="183">
        <f t="shared" si="44"/>
        <v>2000000</v>
      </c>
      <c r="AN236" s="183">
        <f t="shared" si="38"/>
        <v>0</v>
      </c>
      <c r="AO236" s="183">
        <f t="shared" si="39"/>
        <v>0</v>
      </c>
      <c r="AP236" s="183">
        <f t="shared" si="40"/>
        <v>12744000</v>
      </c>
      <c r="AR236" s="183">
        <f t="shared" si="41"/>
        <v>0</v>
      </c>
      <c r="AS236" s="183">
        <f t="shared" si="42"/>
        <v>14744000</v>
      </c>
      <c r="AT236" s="175" t="s">
        <v>1795</v>
      </c>
      <c r="AU236" s="175" t="s">
        <v>1796</v>
      </c>
      <c r="AV236" s="175" t="s">
        <v>1026</v>
      </c>
      <c r="AW236" s="175" t="s">
        <v>1041</v>
      </c>
    </row>
    <row r="237" spans="1:49" ht="24.95" customHeight="1" x14ac:dyDescent="0.25">
      <c r="A237" s="175">
        <v>14258</v>
      </c>
      <c r="B237" s="175" t="s">
        <v>86</v>
      </c>
      <c r="C237" s="175" t="s">
        <v>29</v>
      </c>
      <c r="D237" s="176">
        <v>1</v>
      </c>
      <c r="E237" s="176">
        <v>2025</v>
      </c>
      <c r="F237" s="176">
        <v>2025</v>
      </c>
      <c r="G237" s="175" t="s">
        <v>23</v>
      </c>
      <c r="H237" s="175" t="s">
        <v>86</v>
      </c>
      <c r="I237" s="175" t="s">
        <v>105</v>
      </c>
      <c r="J237" s="177" t="s">
        <v>2019</v>
      </c>
      <c r="K237" s="175" t="s">
        <v>21</v>
      </c>
      <c r="L237" s="175" t="s">
        <v>21</v>
      </c>
      <c r="M237" s="175" t="s">
        <v>21</v>
      </c>
      <c r="N237" s="175">
        <v>13</v>
      </c>
      <c r="O237" s="175" t="s">
        <v>382</v>
      </c>
      <c r="P237" s="175" t="s">
        <v>885</v>
      </c>
      <c r="Q237" s="175" t="s">
        <v>1201</v>
      </c>
      <c r="R237" s="175" t="s">
        <v>339</v>
      </c>
      <c r="S237" s="175" t="s">
        <v>22</v>
      </c>
      <c r="T237" s="175" t="s">
        <v>337</v>
      </c>
      <c r="U237" s="176">
        <v>20</v>
      </c>
      <c r="V237" s="176">
        <v>100</v>
      </c>
      <c r="W237" s="176" t="s">
        <v>21</v>
      </c>
      <c r="X237" s="179">
        <f t="shared" si="43"/>
        <v>100</v>
      </c>
      <c r="Y237" s="176">
        <v>4</v>
      </c>
      <c r="Z237" s="176" t="s">
        <v>20</v>
      </c>
      <c r="AA237" s="176" t="s">
        <v>18</v>
      </c>
      <c r="AB237" s="185" t="s">
        <v>18</v>
      </c>
      <c r="AC237" s="186" t="s">
        <v>2020</v>
      </c>
      <c r="AD237" s="181" t="s">
        <v>1904</v>
      </c>
      <c r="AE237" s="179" t="s">
        <v>18</v>
      </c>
      <c r="AF237" s="191"/>
      <c r="AG237" s="175" t="s">
        <v>1173</v>
      </c>
      <c r="AH237" s="179">
        <f t="shared" si="35"/>
        <v>25</v>
      </c>
      <c r="AI237" s="179">
        <v>2</v>
      </c>
      <c r="AJ237" s="183">
        <f t="shared" si="36"/>
        <v>6372</v>
      </c>
      <c r="AK237" s="179">
        <f t="shared" si="37"/>
        <v>25</v>
      </c>
      <c r="AL237" s="183">
        <v>0</v>
      </c>
      <c r="AM237" s="183">
        <f t="shared" si="44"/>
        <v>2000000</v>
      </c>
      <c r="AN237" s="183">
        <f t="shared" si="38"/>
        <v>0</v>
      </c>
      <c r="AO237" s="183">
        <f t="shared" si="39"/>
        <v>0</v>
      </c>
      <c r="AP237" s="183">
        <f t="shared" si="40"/>
        <v>12744000</v>
      </c>
      <c r="AR237" s="183">
        <f t="shared" si="41"/>
        <v>0</v>
      </c>
      <c r="AS237" s="183">
        <f t="shared" si="42"/>
        <v>14744000</v>
      </c>
      <c r="AT237" s="175" t="s">
        <v>1974</v>
      </c>
      <c r="AU237" s="175" t="s">
        <v>1975</v>
      </c>
      <c r="AV237" s="175" t="s">
        <v>1868</v>
      </c>
      <c r="AW237" s="175" t="s">
        <v>1017</v>
      </c>
    </row>
    <row r="238" spans="1:49" ht="24.95" customHeight="1" x14ac:dyDescent="0.25">
      <c r="A238" s="175">
        <v>14272</v>
      </c>
      <c r="B238" s="175" t="s">
        <v>86</v>
      </c>
      <c r="C238" s="175" t="s">
        <v>29</v>
      </c>
      <c r="D238" s="176">
        <v>1</v>
      </c>
      <c r="E238" s="176">
        <v>2025</v>
      </c>
      <c r="F238" s="176">
        <v>2025</v>
      </c>
      <c r="G238" s="175" t="s">
        <v>23</v>
      </c>
      <c r="H238" s="175" t="s">
        <v>86</v>
      </c>
      <c r="I238" s="175" t="s">
        <v>105</v>
      </c>
      <c r="J238" s="177" t="s">
        <v>2019</v>
      </c>
      <c r="K238" s="175" t="s">
        <v>21</v>
      </c>
      <c r="L238" s="175" t="s">
        <v>21</v>
      </c>
      <c r="M238" s="175" t="s">
        <v>21</v>
      </c>
      <c r="N238" s="175">
        <v>13</v>
      </c>
      <c r="O238" s="175" t="s">
        <v>382</v>
      </c>
      <c r="P238" s="175" t="s">
        <v>734</v>
      </c>
      <c r="Q238" s="175" t="s">
        <v>1201</v>
      </c>
      <c r="R238" s="175" t="s">
        <v>339</v>
      </c>
      <c r="S238" s="175" t="s">
        <v>22</v>
      </c>
      <c r="T238" s="175" t="s">
        <v>337</v>
      </c>
      <c r="U238" s="176">
        <v>18</v>
      </c>
      <c r="V238" s="176">
        <v>100</v>
      </c>
      <c r="W238" s="176" t="s">
        <v>21</v>
      </c>
      <c r="X238" s="179">
        <f t="shared" si="43"/>
        <v>100</v>
      </c>
      <c r="Y238" s="176">
        <v>4</v>
      </c>
      <c r="Z238" s="176" t="s">
        <v>20</v>
      </c>
      <c r="AA238" s="176" t="s">
        <v>18</v>
      </c>
      <c r="AB238" s="185" t="s">
        <v>18</v>
      </c>
      <c r="AC238" s="186" t="s">
        <v>2021</v>
      </c>
      <c r="AD238" s="181" t="s">
        <v>2022</v>
      </c>
      <c r="AE238" s="179" t="s">
        <v>18</v>
      </c>
      <c r="AF238" s="191"/>
      <c r="AG238" s="175" t="s">
        <v>1173</v>
      </c>
      <c r="AH238" s="179">
        <f t="shared" si="35"/>
        <v>25</v>
      </c>
      <c r="AI238" s="179">
        <v>2</v>
      </c>
      <c r="AJ238" s="183">
        <f t="shared" si="36"/>
        <v>6372</v>
      </c>
      <c r="AK238" s="179">
        <f t="shared" si="37"/>
        <v>25</v>
      </c>
      <c r="AL238" s="183">
        <v>0</v>
      </c>
      <c r="AM238" s="183">
        <f t="shared" si="44"/>
        <v>1800000</v>
      </c>
      <c r="AN238" s="183">
        <f t="shared" si="38"/>
        <v>0</v>
      </c>
      <c r="AO238" s="183">
        <f t="shared" si="39"/>
        <v>0</v>
      </c>
      <c r="AP238" s="183">
        <f t="shared" si="40"/>
        <v>11469600</v>
      </c>
      <c r="AR238" s="183">
        <f t="shared" si="41"/>
        <v>0</v>
      </c>
      <c r="AS238" s="183">
        <f t="shared" si="42"/>
        <v>13269600</v>
      </c>
      <c r="AT238" s="175" t="s">
        <v>1974</v>
      </c>
      <c r="AU238" s="175" t="s">
        <v>1975</v>
      </c>
      <c r="AV238" s="175" t="s">
        <v>1868</v>
      </c>
      <c r="AW238" s="175" t="s">
        <v>1017</v>
      </c>
    </row>
    <row r="239" spans="1:49" ht="24.95" customHeight="1" x14ac:dyDescent="0.25">
      <c r="A239" s="175">
        <v>14304</v>
      </c>
      <c r="B239" s="175" t="s">
        <v>98</v>
      </c>
      <c r="C239" s="175" t="s">
        <v>41</v>
      </c>
      <c r="D239" s="176">
        <v>1</v>
      </c>
      <c r="E239" s="176">
        <v>2025</v>
      </c>
      <c r="F239" s="176">
        <v>2025</v>
      </c>
      <c r="G239" s="175" t="s">
        <v>23</v>
      </c>
      <c r="H239" s="175" t="s">
        <v>98</v>
      </c>
      <c r="I239" s="175" t="s">
        <v>1175</v>
      </c>
      <c r="J239" s="177" t="s">
        <v>2023</v>
      </c>
      <c r="K239" s="175" t="s">
        <v>21</v>
      </c>
      <c r="L239" s="175" t="s">
        <v>21</v>
      </c>
      <c r="M239" s="175" t="s">
        <v>21</v>
      </c>
      <c r="N239" s="175">
        <v>14</v>
      </c>
      <c r="O239" s="175" t="s">
        <v>1722</v>
      </c>
      <c r="P239" s="175" t="s">
        <v>731</v>
      </c>
      <c r="Q239" s="175" t="s">
        <v>1201</v>
      </c>
      <c r="R239" s="175" t="s">
        <v>339</v>
      </c>
      <c r="S239" s="175" t="s">
        <v>22</v>
      </c>
      <c r="T239" s="175" t="s">
        <v>713</v>
      </c>
      <c r="U239" s="176">
        <v>20</v>
      </c>
      <c r="V239" s="176">
        <v>40</v>
      </c>
      <c r="W239" s="176" t="s">
        <v>21</v>
      </c>
      <c r="X239" s="179">
        <f t="shared" si="43"/>
        <v>40</v>
      </c>
      <c r="Y239" s="176">
        <v>3</v>
      </c>
      <c r="Z239" s="176" t="s">
        <v>20</v>
      </c>
      <c r="AA239" s="176" t="s">
        <v>18</v>
      </c>
      <c r="AB239" s="185" t="s">
        <v>18</v>
      </c>
      <c r="AC239" s="186" t="s">
        <v>2024</v>
      </c>
      <c r="AD239" s="181" t="s">
        <v>2025</v>
      </c>
      <c r="AE239" s="179" t="s">
        <v>18</v>
      </c>
      <c r="AF239" s="191"/>
      <c r="AG239" s="175" t="s">
        <v>1173</v>
      </c>
      <c r="AH239" s="179">
        <f t="shared" si="35"/>
        <v>14</v>
      </c>
      <c r="AI239" s="179">
        <v>1</v>
      </c>
      <c r="AJ239" s="183">
        <f t="shared" si="36"/>
        <v>5074</v>
      </c>
      <c r="AK239" s="179">
        <f t="shared" si="37"/>
        <v>13.333333333333334</v>
      </c>
      <c r="AL239" s="183">
        <v>0</v>
      </c>
      <c r="AM239" s="183">
        <f t="shared" si="44"/>
        <v>1120000</v>
      </c>
      <c r="AN239" s="183">
        <f t="shared" si="38"/>
        <v>0</v>
      </c>
      <c r="AO239" s="183">
        <f t="shared" si="39"/>
        <v>0</v>
      </c>
      <c r="AP239" s="183">
        <f t="shared" si="40"/>
        <v>4059200</v>
      </c>
      <c r="AR239" s="183">
        <f t="shared" si="41"/>
        <v>0</v>
      </c>
      <c r="AS239" s="183">
        <f t="shared" si="42"/>
        <v>5179200</v>
      </c>
      <c r="AT239" s="175" t="s">
        <v>1729</v>
      </c>
      <c r="AU239" s="175" t="s">
        <v>1730</v>
      </c>
      <c r="AV239" s="175" t="s">
        <v>2026</v>
      </c>
      <c r="AW239" s="175" t="s">
        <v>2027</v>
      </c>
    </row>
    <row r="240" spans="1:49" ht="24.95" customHeight="1" x14ac:dyDescent="0.25">
      <c r="A240" s="175">
        <v>14306</v>
      </c>
      <c r="B240" s="175" t="s">
        <v>98</v>
      </c>
      <c r="C240" s="175" t="s">
        <v>41</v>
      </c>
      <c r="D240" s="176">
        <v>1</v>
      </c>
      <c r="E240" s="176">
        <v>2025</v>
      </c>
      <c r="F240" s="176">
        <v>2025</v>
      </c>
      <c r="G240" s="175" t="s">
        <v>23</v>
      </c>
      <c r="H240" s="175" t="s">
        <v>98</v>
      </c>
      <c r="I240" s="175" t="s">
        <v>1175</v>
      </c>
      <c r="J240" s="177" t="s">
        <v>2023</v>
      </c>
      <c r="K240" s="175" t="s">
        <v>21</v>
      </c>
      <c r="L240" s="175" t="s">
        <v>21</v>
      </c>
      <c r="M240" s="175" t="s">
        <v>21</v>
      </c>
      <c r="N240" s="175">
        <v>14</v>
      </c>
      <c r="O240" s="175" t="s">
        <v>1722</v>
      </c>
      <c r="P240" s="175" t="s">
        <v>731</v>
      </c>
      <c r="Q240" s="175" t="s">
        <v>1201</v>
      </c>
      <c r="R240" s="175" t="s">
        <v>339</v>
      </c>
      <c r="S240" s="175" t="s">
        <v>22</v>
      </c>
      <c r="T240" s="175" t="s">
        <v>713</v>
      </c>
      <c r="U240" s="176">
        <v>20</v>
      </c>
      <c r="V240" s="176">
        <v>40</v>
      </c>
      <c r="W240" s="176" t="s">
        <v>21</v>
      </c>
      <c r="X240" s="179">
        <f t="shared" si="43"/>
        <v>40</v>
      </c>
      <c r="Y240" s="176">
        <v>3</v>
      </c>
      <c r="Z240" s="176" t="s">
        <v>20</v>
      </c>
      <c r="AA240" s="176" t="s">
        <v>18</v>
      </c>
      <c r="AB240" s="185" t="s">
        <v>18</v>
      </c>
      <c r="AC240" s="186" t="s">
        <v>2024</v>
      </c>
      <c r="AD240" s="181" t="s">
        <v>2028</v>
      </c>
      <c r="AE240" s="179" t="s">
        <v>18</v>
      </c>
      <c r="AF240" s="191"/>
      <c r="AG240" s="175" t="s">
        <v>1173</v>
      </c>
      <c r="AH240" s="179">
        <f t="shared" si="35"/>
        <v>14</v>
      </c>
      <c r="AI240" s="179">
        <v>1</v>
      </c>
      <c r="AJ240" s="183">
        <f t="shared" si="36"/>
        <v>5074</v>
      </c>
      <c r="AK240" s="179">
        <f t="shared" si="37"/>
        <v>13.333333333333334</v>
      </c>
      <c r="AL240" s="183">
        <v>0</v>
      </c>
      <c r="AM240" s="183">
        <f t="shared" si="44"/>
        <v>1120000</v>
      </c>
      <c r="AN240" s="183">
        <f t="shared" si="38"/>
        <v>0</v>
      </c>
      <c r="AO240" s="183">
        <f t="shared" si="39"/>
        <v>0</v>
      </c>
      <c r="AP240" s="183">
        <f t="shared" si="40"/>
        <v>4059200</v>
      </c>
      <c r="AR240" s="183">
        <f t="shared" si="41"/>
        <v>0</v>
      </c>
      <c r="AS240" s="183">
        <f t="shared" si="42"/>
        <v>5179200</v>
      </c>
      <c r="AT240" s="175" t="s">
        <v>1729</v>
      </c>
      <c r="AU240" s="175" t="s">
        <v>1730</v>
      </c>
      <c r="AV240" s="175" t="s">
        <v>2026</v>
      </c>
      <c r="AW240" s="175" t="s">
        <v>2027</v>
      </c>
    </row>
    <row r="241" spans="1:49" ht="24.95" customHeight="1" x14ac:dyDescent="0.25">
      <c r="A241" s="175">
        <v>14363</v>
      </c>
      <c r="B241" s="175" t="s">
        <v>83</v>
      </c>
      <c r="C241" s="175" t="s">
        <v>1022</v>
      </c>
      <c r="D241" s="176">
        <v>1</v>
      </c>
      <c r="E241" s="176">
        <v>2025</v>
      </c>
      <c r="F241" s="176">
        <v>2025</v>
      </c>
      <c r="G241" s="175" t="s">
        <v>23</v>
      </c>
      <c r="H241" s="175" t="s">
        <v>83</v>
      </c>
      <c r="I241" s="175" t="s">
        <v>102</v>
      </c>
      <c r="J241" s="177" t="s">
        <v>1847</v>
      </c>
      <c r="K241" s="175" t="s">
        <v>1848</v>
      </c>
      <c r="L241" s="175" t="s">
        <v>2029</v>
      </c>
      <c r="M241" s="175" t="s">
        <v>2030</v>
      </c>
      <c r="N241" s="175">
        <v>5</v>
      </c>
      <c r="O241" s="175" t="s">
        <v>395</v>
      </c>
      <c r="P241" s="175" t="s">
        <v>397</v>
      </c>
      <c r="Q241" s="175" t="s">
        <v>702</v>
      </c>
      <c r="R241" s="175" t="s">
        <v>339</v>
      </c>
      <c r="S241" s="175" t="s">
        <v>19</v>
      </c>
      <c r="T241" s="175" t="s">
        <v>337</v>
      </c>
      <c r="U241" s="176">
        <v>10</v>
      </c>
      <c r="V241" s="176">
        <v>36</v>
      </c>
      <c r="W241" s="176">
        <v>12</v>
      </c>
      <c r="X241" s="179">
        <f t="shared" si="43"/>
        <v>48</v>
      </c>
      <c r="Y241" s="176">
        <v>4</v>
      </c>
      <c r="Z241" s="176" t="s">
        <v>20</v>
      </c>
      <c r="AA241" s="176" t="s">
        <v>20</v>
      </c>
      <c r="AB241" s="185" t="s">
        <v>18</v>
      </c>
      <c r="AC241" s="186" t="s">
        <v>21</v>
      </c>
      <c r="AD241" s="181" t="s">
        <v>2031</v>
      </c>
      <c r="AE241" s="179" t="s">
        <v>18</v>
      </c>
      <c r="AF241" s="191"/>
      <c r="AG241" s="175" t="s">
        <v>1173</v>
      </c>
      <c r="AH241" s="179">
        <f t="shared" si="35"/>
        <v>12</v>
      </c>
      <c r="AI241" s="179">
        <f>VLOOKUP(K241,[1]TRAMO!$A:$B,2,0)</f>
        <v>1</v>
      </c>
      <c r="AJ241" s="183">
        <f t="shared" si="36"/>
        <v>5074</v>
      </c>
      <c r="AK241" s="179">
        <f t="shared" si="37"/>
        <v>12</v>
      </c>
      <c r="AL241" s="183">
        <v>0</v>
      </c>
      <c r="AM241" s="183">
        <f t="shared" si="44"/>
        <v>480000</v>
      </c>
      <c r="AN241" s="183">
        <f t="shared" si="38"/>
        <v>600000</v>
      </c>
      <c r="AO241" s="183">
        <f t="shared" si="39"/>
        <v>0</v>
      </c>
      <c r="AP241" s="183">
        <f t="shared" si="40"/>
        <v>2435520</v>
      </c>
      <c r="AR241" s="183">
        <f t="shared" si="41"/>
        <v>0</v>
      </c>
      <c r="AS241" s="183">
        <f t="shared" si="42"/>
        <v>3515520</v>
      </c>
      <c r="AT241" s="175" t="s">
        <v>1535</v>
      </c>
      <c r="AU241" s="175" t="s">
        <v>1536</v>
      </c>
      <c r="AV241" s="175" t="s">
        <v>2032</v>
      </c>
      <c r="AW241" s="175" t="s">
        <v>1023</v>
      </c>
    </row>
    <row r="242" spans="1:49" ht="24.95" customHeight="1" x14ac:dyDescent="0.25">
      <c r="A242" s="175">
        <v>14527</v>
      </c>
      <c r="B242" s="175" t="s">
        <v>83</v>
      </c>
      <c r="C242" s="175" t="s">
        <v>1022</v>
      </c>
      <c r="D242" s="176">
        <v>1</v>
      </c>
      <c r="E242" s="176">
        <v>2025</v>
      </c>
      <c r="F242" s="176">
        <v>2025</v>
      </c>
      <c r="G242" s="175" t="s">
        <v>23</v>
      </c>
      <c r="H242" s="175" t="s">
        <v>83</v>
      </c>
      <c r="I242" s="175" t="s">
        <v>102</v>
      </c>
      <c r="J242" s="177" t="s">
        <v>711</v>
      </c>
      <c r="K242" s="175" t="s">
        <v>712</v>
      </c>
      <c r="L242" s="175" t="s">
        <v>722</v>
      </c>
      <c r="M242" s="175" t="s">
        <v>723</v>
      </c>
      <c r="N242" s="175">
        <v>13</v>
      </c>
      <c r="O242" s="175" t="s">
        <v>382</v>
      </c>
      <c r="P242" s="175" t="s">
        <v>416</v>
      </c>
      <c r="Q242" s="175" t="s">
        <v>1201</v>
      </c>
      <c r="R242" s="175" t="s">
        <v>339</v>
      </c>
      <c r="S242" s="175" t="s">
        <v>19</v>
      </c>
      <c r="T242" s="175" t="s">
        <v>703</v>
      </c>
      <c r="U242" s="176">
        <v>14</v>
      </c>
      <c r="V242" s="176">
        <v>160</v>
      </c>
      <c r="W242" s="176">
        <v>15</v>
      </c>
      <c r="X242" s="179">
        <f t="shared" si="43"/>
        <v>175</v>
      </c>
      <c r="Y242" s="176">
        <v>4</v>
      </c>
      <c r="Z242" s="176" t="s">
        <v>20</v>
      </c>
      <c r="AA242" s="176" t="s">
        <v>18</v>
      </c>
      <c r="AB242" s="185" t="s">
        <v>18</v>
      </c>
      <c r="AC242" s="186" t="s">
        <v>21</v>
      </c>
      <c r="AD242" s="181" t="s">
        <v>2033</v>
      </c>
      <c r="AE242" s="179" t="s">
        <v>18</v>
      </c>
      <c r="AF242" s="191"/>
      <c r="AG242" s="175" t="s">
        <v>1173</v>
      </c>
      <c r="AH242" s="179">
        <f t="shared" si="35"/>
        <v>44</v>
      </c>
      <c r="AI242" s="179">
        <f>VLOOKUP(K242,[1]TRAMO!$A:$B,2,0)</f>
        <v>2</v>
      </c>
      <c r="AJ242" s="183">
        <f t="shared" si="36"/>
        <v>6372</v>
      </c>
      <c r="AK242" s="179">
        <f t="shared" si="37"/>
        <v>43.75</v>
      </c>
      <c r="AL242" s="183">
        <v>0</v>
      </c>
      <c r="AM242" s="183">
        <f t="shared" si="44"/>
        <v>2464000</v>
      </c>
      <c r="AN242" s="183">
        <f t="shared" si="38"/>
        <v>0</v>
      </c>
      <c r="AO242" s="183">
        <f t="shared" si="39"/>
        <v>0</v>
      </c>
      <c r="AP242" s="183">
        <f t="shared" si="40"/>
        <v>15611400</v>
      </c>
      <c r="AR242" s="183">
        <f t="shared" si="41"/>
        <v>0</v>
      </c>
      <c r="AS242" s="183">
        <f t="shared" si="42"/>
        <v>18075400</v>
      </c>
      <c r="AT242" s="175" t="s">
        <v>2034</v>
      </c>
      <c r="AU242" s="175" t="s">
        <v>2035</v>
      </c>
      <c r="AV242" s="175" t="s">
        <v>2036</v>
      </c>
      <c r="AW242" s="175" t="s">
        <v>2037</v>
      </c>
    </row>
    <row r="243" spans="1:49" ht="24.95" customHeight="1" x14ac:dyDescent="0.25">
      <c r="A243" s="175">
        <v>14526</v>
      </c>
      <c r="B243" s="175" t="s">
        <v>83</v>
      </c>
      <c r="C243" s="175" t="s">
        <v>1022</v>
      </c>
      <c r="D243" s="176">
        <v>1</v>
      </c>
      <c r="E243" s="176">
        <v>2025</v>
      </c>
      <c r="F243" s="176">
        <v>2025</v>
      </c>
      <c r="G243" s="175" t="s">
        <v>23</v>
      </c>
      <c r="H243" s="175" t="s">
        <v>83</v>
      </c>
      <c r="I243" s="175" t="s">
        <v>102</v>
      </c>
      <c r="J243" s="177" t="s">
        <v>2038</v>
      </c>
      <c r="K243" s="175" t="s">
        <v>21</v>
      </c>
      <c r="L243" s="175" t="s">
        <v>722</v>
      </c>
      <c r="M243" s="175" t="s">
        <v>723</v>
      </c>
      <c r="N243" s="175">
        <v>13</v>
      </c>
      <c r="O243" s="175" t="s">
        <v>382</v>
      </c>
      <c r="P243" s="175" t="s">
        <v>730</v>
      </c>
      <c r="Q243" s="175" t="s">
        <v>1201</v>
      </c>
      <c r="R243" s="175" t="s">
        <v>339</v>
      </c>
      <c r="S243" s="175" t="s">
        <v>19</v>
      </c>
      <c r="T243" s="175" t="s">
        <v>393</v>
      </c>
      <c r="U243" s="176">
        <v>17</v>
      </c>
      <c r="V243" s="176">
        <v>66</v>
      </c>
      <c r="W243" s="176">
        <v>15</v>
      </c>
      <c r="X243" s="179">
        <f t="shared" si="43"/>
        <v>81</v>
      </c>
      <c r="Y243" s="176">
        <v>4</v>
      </c>
      <c r="Z243" s="176" t="s">
        <v>20</v>
      </c>
      <c r="AA243" s="176" t="s">
        <v>18</v>
      </c>
      <c r="AB243" s="185" t="s">
        <v>18</v>
      </c>
      <c r="AC243" s="186" t="s">
        <v>2039</v>
      </c>
      <c r="AD243" s="181" t="s">
        <v>2040</v>
      </c>
      <c r="AE243" s="179" t="s">
        <v>18</v>
      </c>
      <c r="AF243" s="191"/>
      <c r="AG243" s="175" t="s">
        <v>1173</v>
      </c>
      <c r="AH243" s="179">
        <f t="shared" si="35"/>
        <v>21</v>
      </c>
      <c r="AI243" s="179">
        <v>2</v>
      </c>
      <c r="AJ243" s="183">
        <f t="shared" si="36"/>
        <v>6372</v>
      </c>
      <c r="AK243" s="179">
        <f t="shared" si="37"/>
        <v>20.25</v>
      </c>
      <c r="AL243" s="183">
        <v>0</v>
      </c>
      <c r="AM243" s="183">
        <f t="shared" si="44"/>
        <v>1428000</v>
      </c>
      <c r="AN243" s="183">
        <f t="shared" si="38"/>
        <v>0</v>
      </c>
      <c r="AO243" s="183">
        <f t="shared" si="39"/>
        <v>0</v>
      </c>
      <c r="AP243" s="183">
        <f t="shared" si="40"/>
        <v>8774244</v>
      </c>
      <c r="AR243" s="183">
        <f t="shared" si="41"/>
        <v>0</v>
      </c>
      <c r="AS243" s="183">
        <f t="shared" si="42"/>
        <v>10202244</v>
      </c>
      <c r="AT243" s="175" t="s">
        <v>2034</v>
      </c>
      <c r="AU243" s="175" t="s">
        <v>2035</v>
      </c>
      <c r="AV243" s="175" t="s">
        <v>2036</v>
      </c>
      <c r="AW243" s="175" t="s">
        <v>2037</v>
      </c>
    </row>
    <row r="244" spans="1:49" ht="24.95" customHeight="1" x14ac:dyDescent="0.25">
      <c r="A244" s="175">
        <v>14375</v>
      </c>
      <c r="B244" s="175" t="s">
        <v>83</v>
      </c>
      <c r="C244" s="175" t="s">
        <v>1022</v>
      </c>
      <c r="D244" s="176">
        <v>1</v>
      </c>
      <c r="E244" s="176">
        <v>2025</v>
      </c>
      <c r="F244" s="176">
        <v>2025</v>
      </c>
      <c r="G244" s="175" t="s">
        <v>23</v>
      </c>
      <c r="H244" s="175" t="s">
        <v>83</v>
      </c>
      <c r="I244" s="175" t="s">
        <v>102</v>
      </c>
      <c r="J244" s="177" t="s">
        <v>849</v>
      </c>
      <c r="K244" s="175" t="s">
        <v>848</v>
      </c>
      <c r="L244" s="175" t="s">
        <v>1011</v>
      </c>
      <c r="M244" s="175" t="s">
        <v>1012</v>
      </c>
      <c r="N244" s="175">
        <v>13</v>
      </c>
      <c r="O244" s="175" t="s">
        <v>382</v>
      </c>
      <c r="P244" s="175" t="s">
        <v>714</v>
      </c>
      <c r="Q244" s="175" t="s">
        <v>1201</v>
      </c>
      <c r="R244" s="175" t="s">
        <v>339</v>
      </c>
      <c r="S244" s="175" t="s">
        <v>19</v>
      </c>
      <c r="T244" s="175" t="s">
        <v>337</v>
      </c>
      <c r="U244" s="176">
        <v>20</v>
      </c>
      <c r="V244" s="176">
        <v>110</v>
      </c>
      <c r="W244" s="176">
        <v>12</v>
      </c>
      <c r="X244" s="179">
        <f t="shared" si="43"/>
        <v>122</v>
      </c>
      <c r="Y244" s="176">
        <v>5</v>
      </c>
      <c r="Z244" s="176" t="s">
        <v>20</v>
      </c>
      <c r="AA244" s="176" t="s">
        <v>18</v>
      </c>
      <c r="AB244" s="185" t="s">
        <v>18</v>
      </c>
      <c r="AC244" s="186" t="s">
        <v>21</v>
      </c>
      <c r="AD244" s="181" t="s">
        <v>2041</v>
      </c>
      <c r="AE244" s="179" t="s">
        <v>18</v>
      </c>
      <c r="AF244" s="191"/>
      <c r="AG244" s="175" t="s">
        <v>1173</v>
      </c>
      <c r="AH244" s="179">
        <f t="shared" si="35"/>
        <v>25</v>
      </c>
      <c r="AI244" s="179">
        <f>VLOOKUP(K244,[1]TRAMO!$A:$B,2,0)</f>
        <v>3</v>
      </c>
      <c r="AJ244" s="183">
        <f t="shared" si="36"/>
        <v>7434</v>
      </c>
      <c r="AK244" s="179">
        <f t="shared" si="37"/>
        <v>24.4</v>
      </c>
      <c r="AL244" s="183">
        <v>0</v>
      </c>
      <c r="AM244" s="183">
        <f t="shared" si="44"/>
        <v>2000000</v>
      </c>
      <c r="AN244" s="183">
        <f t="shared" si="38"/>
        <v>0</v>
      </c>
      <c r="AO244" s="183">
        <f t="shared" si="39"/>
        <v>0</v>
      </c>
      <c r="AP244" s="183">
        <f t="shared" si="40"/>
        <v>18138960</v>
      </c>
      <c r="AR244" s="183">
        <f t="shared" si="41"/>
        <v>0</v>
      </c>
      <c r="AS244" s="183">
        <f t="shared" si="42"/>
        <v>20138960</v>
      </c>
      <c r="AT244" s="175" t="s">
        <v>1535</v>
      </c>
      <c r="AU244" s="175" t="s">
        <v>1536</v>
      </c>
      <c r="AV244" s="175" t="s">
        <v>1537</v>
      </c>
      <c r="AW244" s="175" t="s">
        <v>1538</v>
      </c>
    </row>
    <row r="245" spans="1:49" ht="24.95" customHeight="1" x14ac:dyDescent="0.25">
      <c r="A245" s="175">
        <v>14300</v>
      </c>
      <c r="B245" s="175" t="s">
        <v>86</v>
      </c>
      <c r="C245" s="175" t="s">
        <v>29</v>
      </c>
      <c r="D245" s="176">
        <v>1</v>
      </c>
      <c r="E245" s="176">
        <v>2025</v>
      </c>
      <c r="F245" s="176">
        <v>2025</v>
      </c>
      <c r="G245" s="175" t="s">
        <v>23</v>
      </c>
      <c r="H245" s="175" t="s">
        <v>86</v>
      </c>
      <c r="I245" s="175" t="s">
        <v>105</v>
      </c>
      <c r="J245" s="177" t="s">
        <v>790</v>
      </c>
      <c r="K245" s="175" t="s">
        <v>789</v>
      </c>
      <c r="L245" s="175" t="s">
        <v>1955</v>
      </c>
      <c r="M245" s="175" t="s">
        <v>1956</v>
      </c>
      <c r="N245" s="175">
        <v>8</v>
      </c>
      <c r="O245" s="175" t="s">
        <v>709</v>
      </c>
      <c r="P245" s="175" t="s">
        <v>847</v>
      </c>
      <c r="Q245" s="175" t="s">
        <v>388</v>
      </c>
      <c r="R245" s="175" t="s">
        <v>339</v>
      </c>
      <c r="S245" s="175" t="s">
        <v>19</v>
      </c>
      <c r="T245" s="175" t="s">
        <v>337</v>
      </c>
      <c r="U245" s="176">
        <v>20</v>
      </c>
      <c r="V245" s="176">
        <v>160</v>
      </c>
      <c r="W245" s="176">
        <v>12</v>
      </c>
      <c r="X245" s="179">
        <f t="shared" si="43"/>
        <v>172</v>
      </c>
      <c r="Y245" s="176">
        <v>6</v>
      </c>
      <c r="Z245" s="176" t="s">
        <v>20</v>
      </c>
      <c r="AA245" s="176" t="s">
        <v>18</v>
      </c>
      <c r="AB245" s="185" t="s">
        <v>18</v>
      </c>
      <c r="AC245" s="186" t="s">
        <v>21</v>
      </c>
      <c r="AD245" s="181" t="s">
        <v>2042</v>
      </c>
      <c r="AE245" s="179" t="s">
        <v>18</v>
      </c>
      <c r="AF245" s="191"/>
      <c r="AG245" s="175" t="s">
        <v>1173</v>
      </c>
      <c r="AH245" s="179">
        <f t="shared" si="35"/>
        <v>29</v>
      </c>
      <c r="AI245" s="179">
        <f>VLOOKUP(K245,[1]TRAMO!$A:$B,2,0)</f>
        <v>2</v>
      </c>
      <c r="AJ245" s="183">
        <f t="shared" si="36"/>
        <v>6372</v>
      </c>
      <c r="AK245" s="179">
        <f t="shared" si="37"/>
        <v>28.666666666666668</v>
      </c>
      <c r="AL245" s="183">
        <v>0</v>
      </c>
      <c r="AM245" s="183">
        <f t="shared" si="44"/>
        <v>2320000</v>
      </c>
      <c r="AN245" s="183">
        <f t="shared" si="38"/>
        <v>0</v>
      </c>
      <c r="AO245" s="183">
        <f t="shared" si="39"/>
        <v>0</v>
      </c>
      <c r="AP245" s="183">
        <f t="shared" si="40"/>
        <v>21919680</v>
      </c>
      <c r="AR245" s="183">
        <f t="shared" si="41"/>
        <v>0</v>
      </c>
      <c r="AS245" s="183">
        <f t="shared" si="42"/>
        <v>24239680</v>
      </c>
      <c r="AT245" s="175" t="s">
        <v>2043</v>
      </c>
      <c r="AU245" s="175" t="s">
        <v>2044</v>
      </c>
      <c r="AV245" s="175" t="s">
        <v>2045</v>
      </c>
      <c r="AW245" s="175" t="s">
        <v>2046</v>
      </c>
    </row>
    <row r="246" spans="1:49" ht="24.95" customHeight="1" x14ac:dyDescent="0.25">
      <c r="A246" s="175">
        <v>14446</v>
      </c>
      <c r="B246" s="175" t="s">
        <v>98</v>
      </c>
      <c r="C246" s="175" t="s">
        <v>41</v>
      </c>
      <c r="D246" s="176">
        <v>1</v>
      </c>
      <c r="E246" s="176">
        <v>2025</v>
      </c>
      <c r="F246" s="176">
        <v>2025</v>
      </c>
      <c r="G246" s="175" t="s">
        <v>23</v>
      </c>
      <c r="H246" s="175" t="s">
        <v>98</v>
      </c>
      <c r="I246" s="175" t="s">
        <v>1175</v>
      </c>
      <c r="J246" s="177" t="s">
        <v>2047</v>
      </c>
      <c r="K246" s="175" t="s">
        <v>2048</v>
      </c>
      <c r="L246" s="175" t="s">
        <v>345</v>
      </c>
      <c r="M246" s="175" t="s">
        <v>346</v>
      </c>
      <c r="N246" s="175">
        <v>10</v>
      </c>
      <c r="O246" s="175" t="s">
        <v>706</v>
      </c>
      <c r="P246" s="175" t="s">
        <v>754</v>
      </c>
      <c r="Q246" s="175" t="s">
        <v>1201</v>
      </c>
      <c r="R246" s="175" t="s">
        <v>339</v>
      </c>
      <c r="S246" s="175" t="s">
        <v>19</v>
      </c>
      <c r="T246" s="175" t="s">
        <v>337</v>
      </c>
      <c r="U246" s="176">
        <v>10</v>
      </c>
      <c r="V246" s="176">
        <v>120</v>
      </c>
      <c r="W246" s="176">
        <v>12</v>
      </c>
      <c r="X246" s="179">
        <f t="shared" si="43"/>
        <v>132</v>
      </c>
      <c r="Y246" s="176">
        <v>4</v>
      </c>
      <c r="Z246" s="176" t="s">
        <v>20</v>
      </c>
      <c r="AA246" s="176" t="s">
        <v>18</v>
      </c>
      <c r="AB246" s="176" t="s">
        <v>20</v>
      </c>
      <c r="AC246" s="186" t="s">
        <v>21</v>
      </c>
      <c r="AD246" s="181" t="s">
        <v>2049</v>
      </c>
      <c r="AE246" s="179" t="s">
        <v>18</v>
      </c>
      <c r="AF246" s="191"/>
      <c r="AG246" s="175" t="s">
        <v>1173</v>
      </c>
      <c r="AH246" s="179">
        <f t="shared" si="35"/>
        <v>33</v>
      </c>
      <c r="AI246" s="179">
        <v>2</v>
      </c>
      <c r="AJ246" s="183">
        <f t="shared" si="36"/>
        <v>6372</v>
      </c>
      <c r="AK246" s="179">
        <f t="shared" si="37"/>
        <v>33</v>
      </c>
      <c r="AL246" s="183">
        <v>0</v>
      </c>
      <c r="AM246" s="183">
        <f t="shared" si="44"/>
        <v>1320000</v>
      </c>
      <c r="AN246" s="183">
        <f t="shared" si="38"/>
        <v>0</v>
      </c>
      <c r="AO246" s="183">
        <f t="shared" si="39"/>
        <v>2700000</v>
      </c>
      <c r="AP246" s="183">
        <f t="shared" si="40"/>
        <v>8411040</v>
      </c>
      <c r="AR246" s="183">
        <f t="shared" si="41"/>
        <v>0</v>
      </c>
      <c r="AS246" s="183">
        <f t="shared" si="42"/>
        <v>12431040</v>
      </c>
      <c r="AT246" s="175" t="s">
        <v>1524</v>
      </c>
      <c r="AU246" s="175" t="s">
        <v>1525</v>
      </c>
      <c r="AV246" s="175" t="s">
        <v>1581</v>
      </c>
      <c r="AW246" s="175" t="s">
        <v>1582</v>
      </c>
    </row>
    <row r="247" spans="1:49" ht="24.95" customHeight="1" x14ac:dyDescent="0.25">
      <c r="A247" s="175">
        <v>14362</v>
      </c>
      <c r="B247" s="175" t="s">
        <v>83</v>
      </c>
      <c r="C247" s="175" t="s">
        <v>1022</v>
      </c>
      <c r="D247" s="176">
        <v>1</v>
      </c>
      <c r="E247" s="176">
        <v>2025</v>
      </c>
      <c r="F247" s="176">
        <v>2025</v>
      </c>
      <c r="G247" s="175" t="s">
        <v>23</v>
      </c>
      <c r="H247" s="175" t="s">
        <v>83</v>
      </c>
      <c r="I247" s="175" t="s">
        <v>102</v>
      </c>
      <c r="J247" s="177" t="s">
        <v>2050</v>
      </c>
      <c r="K247" s="175" t="s">
        <v>2051</v>
      </c>
      <c r="L247" s="175" t="s">
        <v>345</v>
      </c>
      <c r="M247" s="175" t="s">
        <v>346</v>
      </c>
      <c r="N247" s="175">
        <v>13</v>
      </c>
      <c r="O247" s="175" t="s">
        <v>382</v>
      </c>
      <c r="P247" s="175" t="s">
        <v>416</v>
      </c>
      <c r="Q247" s="175" t="s">
        <v>702</v>
      </c>
      <c r="R247" s="175" t="s">
        <v>339</v>
      </c>
      <c r="S247" s="175" t="s">
        <v>19</v>
      </c>
      <c r="T247" s="175" t="s">
        <v>337</v>
      </c>
      <c r="U247" s="176">
        <v>12</v>
      </c>
      <c r="V247" s="176">
        <v>112</v>
      </c>
      <c r="W247" s="176">
        <v>12</v>
      </c>
      <c r="X247" s="179">
        <f t="shared" si="43"/>
        <v>124</v>
      </c>
      <c r="Y247" s="176">
        <v>4</v>
      </c>
      <c r="Z247" s="176" t="s">
        <v>20</v>
      </c>
      <c r="AA247" s="176" t="s">
        <v>20</v>
      </c>
      <c r="AB247" s="176" t="s">
        <v>20</v>
      </c>
      <c r="AC247" s="186" t="s">
        <v>21</v>
      </c>
      <c r="AD247" s="181" t="s">
        <v>2052</v>
      </c>
      <c r="AE247" s="179" t="s">
        <v>18</v>
      </c>
      <c r="AF247" s="191"/>
      <c r="AG247" s="175" t="s">
        <v>1173</v>
      </c>
      <c r="AH247" s="179">
        <f t="shared" si="35"/>
        <v>31</v>
      </c>
      <c r="AI247" s="179">
        <v>2</v>
      </c>
      <c r="AJ247" s="183">
        <f t="shared" si="36"/>
        <v>6372</v>
      </c>
      <c r="AK247" s="179">
        <f t="shared" si="37"/>
        <v>31</v>
      </c>
      <c r="AL247" s="183">
        <v>0</v>
      </c>
      <c r="AM247" s="183">
        <f t="shared" si="44"/>
        <v>1488000</v>
      </c>
      <c r="AN247" s="183">
        <f t="shared" si="38"/>
        <v>1860000</v>
      </c>
      <c r="AO247" s="183">
        <f t="shared" si="39"/>
        <v>3240000</v>
      </c>
      <c r="AP247" s="183">
        <f t="shared" si="40"/>
        <v>9481536</v>
      </c>
      <c r="AR247" s="183">
        <f t="shared" si="41"/>
        <v>0</v>
      </c>
      <c r="AS247" s="183">
        <f t="shared" si="42"/>
        <v>16069536</v>
      </c>
      <c r="AT247" s="175" t="s">
        <v>1535</v>
      </c>
      <c r="AU247" s="175" t="s">
        <v>1536</v>
      </c>
      <c r="AV247" s="175" t="s">
        <v>2032</v>
      </c>
      <c r="AW247" s="175" t="s">
        <v>1023</v>
      </c>
    </row>
    <row r="248" spans="1:49" ht="24.95" customHeight="1" x14ac:dyDescent="0.25">
      <c r="A248" s="175">
        <v>14421</v>
      </c>
      <c r="B248" s="175" t="s">
        <v>98</v>
      </c>
      <c r="C248" s="175" t="s">
        <v>41</v>
      </c>
      <c r="D248" s="176">
        <v>1</v>
      </c>
      <c r="E248" s="176">
        <v>2025</v>
      </c>
      <c r="F248" s="176">
        <v>2025</v>
      </c>
      <c r="G248" s="175" t="s">
        <v>23</v>
      </c>
      <c r="H248" s="175" t="s">
        <v>98</v>
      </c>
      <c r="I248" s="175" t="s">
        <v>1175</v>
      </c>
      <c r="J248" s="177" t="s">
        <v>999</v>
      </c>
      <c r="K248" s="175" t="s">
        <v>1000</v>
      </c>
      <c r="L248" s="175" t="s">
        <v>345</v>
      </c>
      <c r="M248" s="175" t="s">
        <v>346</v>
      </c>
      <c r="N248" s="175">
        <v>13</v>
      </c>
      <c r="O248" s="175" t="s">
        <v>382</v>
      </c>
      <c r="P248" s="175" t="s">
        <v>748</v>
      </c>
      <c r="Q248" s="175" t="s">
        <v>1201</v>
      </c>
      <c r="R248" s="175" t="s">
        <v>339</v>
      </c>
      <c r="S248" s="175" t="s">
        <v>19</v>
      </c>
      <c r="T248" s="175" t="s">
        <v>2053</v>
      </c>
      <c r="U248" s="176">
        <v>13</v>
      </c>
      <c r="V248" s="176">
        <v>80</v>
      </c>
      <c r="W248" s="176">
        <v>12</v>
      </c>
      <c r="X248" s="179">
        <f t="shared" si="43"/>
        <v>92</v>
      </c>
      <c r="Y248" s="176">
        <v>4</v>
      </c>
      <c r="Z248" s="176" t="s">
        <v>20</v>
      </c>
      <c r="AA248" s="176" t="s">
        <v>18</v>
      </c>
      <c r="AB248" s="176" t="s">
        <v>20</v>
      </c>
      <c r="AC248" s="186" t="s">
        <v>21</v>
      </c>
      <c r="AD248" s="181" t="s">
        <v>2054</v>
      </c>
      <c r="AE248" s="179" t="s">
        <v>18</v>
      </c>
      <c r="AF248" s="191"/>
      <c r="AG248" s="175" t="s">
        <v>1173</v>
      </c>
      <c r="AH248" s="179">
        <f t="shared" si="35"/>
        <v>23</v>
      </c>
      <c r="AI248" s="179">
        <f>VLOOKUP(K248,[1]TRAMO!$A:$B,2,0)</f>
        <v>2</v>
      </c>
      <c r="AJ248" s="183">
        <f t="shared" si="36"/>
        <v>6372</v>
      </c>
      <c r="AK248" s="179">
        <f t="shared" si="37"/>
        <v>23</v>
      </c>
      <c r="AL248" s="183">
        <v>0</v>
      </c>
      <c r="AM248" s="183">
        <f t="shared" si="44"/>
        <v>1196000</v>
      </c>
      <c r="AN248" s="183">
        <f t="shared" si="38"/>
        <v>0</v>
      </c>
      <c r="AO248" s="183">
        <f t="shared" si="39"/>
        <v>3510000</v>
      </c>
      <c r="AP248" s="183">
        <f t="shared" si="40"/>
        <v>7620912</v>
      </c>
      <c r="AR248" s="183">
        <f t="shared" si="41"/>
        <v>0</v>
      </c>
      <c r="AS248" s="183">
        <f t="shared" si="42"/>
        <v>12326912</v>
      </c>
      <c r="AT248" s="175" t="s">
        <v>1950</v>
      </c>
      <c r="AU248" s="175" t="s">
        <v>1951</v>
      </c>
      <c r="AV248" s="175" t="s">
        <v>2055</v>
      </c>
      <c r="AW248" s="175" t="s">
        <v>2056</v>
      </c>
    </row>
    <row r="249" spans="1:49" ht="24.95" customHeight="1" x14ac:dyDescent="0.25">
      <c r="A249" s="175">
        <v>14255</v>
      </c>
      <c r="B249" s="175" t="s">
        <v>86</v>
      </c>
      <c r="C249" s="175" t="s">
        <v>29</v>
      </c>
      <c r="D249" s="176">
        <v>1</v>
      </c>
      <c r="E249" s="176">
        <v>2025</v>
      </c>
      <c r="F249" s="176">
        <v>2025</v>
      </c>
      <c r="G249" s="175" t="s">
        <v>23</v>
      </c>
      <c r="H249" s="175" t="s">
        <v>86</v>
      </c>
      <c r="I249" s="175" t="s">
        <v>105</v>
      </c>
      <c r="J249" s="177" t="s">
        <v>786</v>
      </c>
      <c r="K249" s="175" t="s">
        <v>785</v>
      </c>
      <c r="L249" s="175" t="s">
        <v>345</v>
      </c>
      <c r="M249" s="175" t="s">
        <v>346</v>
      </c>
      <c r="N249" s="175">
        <v>4</v>
      </c>
      <c r="O249" s="175" t="s">
        <v>415</v>
      </c>
      <c r="P249" s="175" t="s">
        <v>884</v>
      </c>
      <c r="Q249" s="175" t="s">
        <v>1201</v>
      </c>
      <c r="R249" s="175" t="s">
        <v>339</v>
      </c>
      <c r="S249" s="175" t="s">
        <v>19</v>
      </c>
      <c r="T249" s="175" t="s">
        <v>1598</v>
      </c>
      <c r="U249" s="176">
        <v>20</v>
      </c>
      <c r="V249" s="176">
        <v>120</v>
      </c>
      <c r="W249" s="176">
        <v>12</v>
      </c>
      <c r="X249" s="179">
        <f t="shared" si="43"/>
        <v>132</v>
      </c>
      <c r="Y249" s="176">
        <v>4</v>
      </c>
      <c r="Z249" s="176" t="s">
        <v>20</v>
      </c>
      <c r="AA249" s="176" t="s">
        <v>18</v>
      </c>
      <c r="AB249" s="176" t="s">
        <v>20</v>
      </c>
      <c r="AC249" s="186" t="s">
        <v>21</v>
      </c>
      <c r="AD249" s="181" t="s">
        <v>2057</v>
      </c>
      <c r="AE249" s="179" t="s">
        <v>18</v>
      </c>
      <c r="AF249" s="191"/>
      <c r="AG249" s="175" t="s">
        <v>1173</v>
      </c>
      <c r="AH249" s="179">
        <f t="shared" si="35"/>
        <v>33</v>
      </c>
      <c r="AI249" s="179">
        <f>VLOOKUP(K249,[1]TRAMO!$A:$B,2,0)</f>
        <v>2</v>
      </c>
      <c r="AJ249" s="183">
        <f t="shared" si="36"/>
        <v>6372</v>
      </c>
      <c r="AK249" s="179">
        <f t="shared" si="37"/>
        <v>33</v>
      </c>
      <c r="AL249" s="183">
        <v>0</v>
      </c>
      <c r="AM249" s="183">
        <f t="shared" si="44"/>
        <v>2640000</v>
      </c>
      <c r="AN249" s="183">
        <f t="shared" si="38"/>
        <v>0</v>
      </c>
      <c r="AO249" s="183">
        <f t="shared" si="39"/>
        <v>5400000</v>
      </c>
      <c r="AP249" s="183">
        <f t="shared" si="40"/>
        <v>16822080</v>
      </c>
      <c r="AR249" s="183">
        <f t="shared" si="41"/>
        <v>0</v>
      </c>
      <c r="AS249" s="183">
        <f t="shared" si="42"/>
        <v>24862080</v>
      </c>
      <c r="AT249" s="175" t="s">
        <v>1600</v>
      </c>
      <c r="AU249" s="175" t="s">
        <v>1601</v>
      </c>
      <c r="AV249" s="175" t="s">
        <v>2058</v>
      </c>
      <c r="AW249" s="175" t="s">
        <v>1604</v>
      </c>
    </row>
    <row r="250" spans="1:49" ht="24.95" customHeight="1" x14ac:dyDescent="0.25">
      <c r="A250" s="175">
        <v>14297</v>
      </c>
      <c r="B250" s="175" t="s">
        <v>97</v>
      </c>
      <c r="C250" s="188" t="s">
        <v>1610</v>
      </c>
      <c r="D250" s="176">
        <v>1</v>
      </c>
      <c r="E250" s="176">
        <v>2025</v>
      </c>
      <c r="F250" s="176">
        <v>2025</v>
      </c>
      <c r="G250" s="175" t="s">
        <v>23</v>
      </c>
      <c r="H250" s="175" t="s">
        <v>97</v>
      </c>
      <c r="I250" s="175" t="s">
        <v>1611</v>
      </c>
      <c r="J250" s="177" t="s">
        <v>786</v>
      </c>
      <c r="K250" s="175" t="s">
        <v>785</v>
      </c>
      <c r="L250" s="175" t="s">
        <v>345</v>
      </c>
      <c r="M250" s="175" t="s">
        <v>346</v>
      </c>
      <c r="N250" s="175">
        <v>7</v>
      </c>
      <c r="O250" s="175" t="s">
        <v>428</v>
      </c>
      <c r="P250" s="175" t="s">
        <v>2059</v>
      </c>
      <c r="Q250" s="175" t="s">
        <v>388</v>
      </c>
      <c r="R250" s="175" t="s">
        <v>339</v>
      </c>
      <c r="S250" s="175" t="s">
        <v>19</v>
      </c>
      <c r="T250" s="175" t="s">
        <v>337</v>
      </c>
      <c r="U250" s="176">
        <v>12</v>
      </c>
      <c r="V250" s="176">
        <v>120</v>
      </c>
      <c r="W250" s="176">
        <v>12</v>
      </c>
      <c r="X250" s="179">
        <f t="shared" si="43"/>
        <v>132</v>
      </c>
      <c r="Y250" s="176">
        <v>4</v>
      </c>
      <c r="Z250" s="176" t="s">
        <v>20</v>
      </c>
      <c r="AA250" s="176" t="s">
        <v>18</v>
      </c>
      <c r="AB250" s="176" t="s">
        <v>20</v>
      </c>
      <c r="AC250" s="186" t="s">
        <v>21</v>
      </c>
      <c r="AD250" s="181" t="s">
        <v>2060</v>
      </c>
      <c r="AE250" s="179" t="s">
        <v>18</v>
      </c>
      <c r="AF250" s="191"/>
      <c r="AG250" s="175" t="s">
        <v>1173</v>
      </c>
      <c r="AH250" s="179">
        <f t="shared" si="35"/>
        <v>33</v>
      </c>
      <c r="AI250" s="179">
        <f>VLOOKUP(K250,[1]TRAMO!$A:$B,2,0)</f>
        <v>2</v>
      </c>
      <c r="AJ250" s="183">
        <f t="shared" si="36"/>
        <v>6372</v>
      </c>
      <c r="AK250" s="179">
        <f t="shared" si="37"/>
        <v>33</v>
      </c>
      <c r="AL250" s="183">
        <v>0</v>
      </c>
      <c r="AM250" s="183">
        <f t="shared" si="44"/>
        <v>1584000</v>
      </c>
      <c r="AN250" s="183">
        <f t="shared" si="38"/>
        <v>0</v>
      </c>
      <c r="AO250" s="183">
        <f t="shared" si="39"/>
        <v>3240000</v>
      </c>
      <c r="AP250" s="183">
        <f t="shared" si="40"/>
        <v>10093248</v>
      </c>
      <c r="AR250" s="183">
        <f t="shared" si="41"/>
        <v>0</v>
      </c>
      <c r="AS250" s="183">
        <f t="shared" si="42"/>
        <v>14917248</v>
      </c>
      <c r="AT250" s="175" t="s">
        <v>2061</v>
      </c>
      <c r="AU250" s="175" t="s">
        <v>2062</v>
      </c>
      <c r="AV250" s="175" t="s">
        <v>2063</v>
      </c>
      <c r="AW250" s="175" t="s">
        <v>2064</v>
      </c>
    </row>
    <row r="251" spans="1:49" ht="24.95" customHeight="1" x14ac:dyDescent="0.25">
      <c r="A251" s="175">
        <v>14417</v>
      </c>
      <c r="B251" s="175" t="s">
        <v>97</v>
      </c>
      <c r="C251" s="188" t="s">
        <v>1610</v>
      </c>
      <c r="D251" s="176">
        <v>1</v>
      </c>
      <c r="E251" s="176">
        <v>2025</v>
      </c>
      <c r="F251" s="176">
        <v>2025</v>
      </c>
      <c r="G251" s="175" t="s">
        <v>23</v>
      </c>
      <c r="H251" s="175" t="s">
        <v>97</v>
      </c>
      <c r="I251" s="175" t="s">
        <v>1611</v>
      </c>
      <c r="J251" s="177" t="s">
        <v>786</v>
      </c>
      <c r="K251" s="175" t="s">
        <v>785</v>
      </c>
      <c r="L251" s="175" t="s">
        <v>345</v>
      </c>
      <c r="M251" s="175" t="s">
        <v>346</v>
      </c>
      <c r="N251" s="175">
        <v>13</v>
      </c>
      <c r="O251" s="175" t="s">
        <v>382</v>
      </c>
      <c r="P251" s="175" t="s">
        <v>404</v>
      </c>
      <c r="Q251" s="175" t="s">
        <v>388</v>
      </c>
      <c r="R251" s="175" t="s">
        <v>339</v>
      </c>
      <c r="S251" s="175" t="s">
        <v>19</v>
      </c>
      <c r="T251" s="175" t="s">
        <v>337</v>
      </c>
      <c r="U251" s="176">
        <v>15</v>
      </c>
      <c r="V251" s="176">
        <v>120</v>
      </c>
      <c r="W251" s="176">
        <v>12</v>
      </c>
      <c r="X251" s="179">
        <f t="shared" si="43"/>
        <v>132</v>
      </c>
      <c r="Y251" s="176">
        <v>4</v>
      </c>
      <c r="Z251" s="176" t="s">
        <v>20</v>
      </c>
      <c r="AA251" s="176" t="s">
        <v>18</v>
      </c>
      <c r="AB251" s="176" t="s">
        <v>20</v>
      </c>
      <c r="AC251" s="186" t="s">
        <v>21</v>
      </c>
      <c r="AD251" s="181" t="s">
        <v>2065</v>
      </c>
      <c r="AE251" s="179" t="s">
        <v>18</v>
      </c>
      <c r="AF251" s="191"/>
      <c r="AG251" s="175" t="s">
        <v>1173</v>
      </c>
      <c r="AH251" s="179">
        <f t="shared" si="35"/>
        <v>33</v>
      </c>
      <c r="AI251" s="179">
        <f>VLOOKUP(K251,[1]TRAMO!$A:$B,2,0)</f>
        <v>2</v>
      </c>
      <c r="AJ251" s="183">
        <f t="shared" si="36"/>
        <v>6372</v>
      </c>
      <c r="AK251" s="179">
        <f t="shared" si="37"/>
        <v>33</v>
      </c>
      <c r="AL251" s="183">
        <v>0</v>
      </c>
      <c r="AM251" s="183">
        <f t="shared" si="44"/>
        <v>1980000</v>
      </c>
      <c r="AN251" s="183">
        <f t="shared" si="38"/>
        <v>0</v>
      </c>
      <c r="AO251" s="183">
        <f t="shared" si="39"/>
        <v>4050000</v>
      </c>
      <c r="AP251" s="183">
        <f t="shared" si="40"/>
        <v>12616560</v>
      </c>
      <c r="AR251" s="183">
        <f t="shared" si="41"/>
        <v>0</v>
      </c>
      <c r="AS251" s="183">
        <f t="shared" si="42"/>
        <v>18646560</v>
      </c>
      <c r="AT251" s="175" t="s">
        <v>1619</v>
      </c>
      <c r="AU251" s="175" t="s">
        <v>1615</v>
      </c>
      <c r="AV251" s="175" t="s">
        <v>1616</v>
      </c>
      <c r="AW251" s="175" t="s">
        <v>1617</v>
      </c>
    </row>
    <row r="252" spans="1:49" ht="24.95" customHeight="1" x14ac:dyDescent="0.25">
      <c r="A252" s="175">
        <v>14444</v>
      </c>
      <c r="B252" s="175" t="s">
        <v>98</v>
      </c>
      <c r="C252" s="175" t="s">
        <v>41</v>
      </c>
      <c r="D252" s="176">
        <v>1</v>
      </c>
      <c r="E252" s="176">
        <v>2025</v>
      </c>
      <c r="F252" s="176">
        <v>2025</v>
      </c>
      <c r="G252" s="175" t="s">
        <v>23</v>
      </c>
      <c r="H252" s="175" t="s">
        <v>98</v>
      </c>
      <c r="I252" s="175" t="s">
        <v>1175</v>
      </c>
      <c r="J252" s="177" t="s">
        <v>786</v>
      </c>
      <c r="K252" s="175" t="s">
        <v>785</v>
      </c>
      <c r="L252" s="175" t="s">
        <v>345</v>
      </c>
      <c r="M252" s="175" t="s">
        <v>346</v>
      </c>
      <c r="N252" s="175">
        <v>8</v>
      </c>
      <c r="O252" s="175" t="s">
        <v>709</v>
      </c>
      <c r="P252" s="175" t="s">
        <v>721</v>
      </c>
      <c r="Q252" s="175" t="s">
        <v>1201</v>
      </c>
      <c r="R252" s="175" t="s">
        <v>339</v>
      </c>
      <c r="S252" s="175" t="s">
        <v>19</v>
      </c>
      <c r="T252" s="175" t="s">
        <v>337</v>
      </c>
      <c r="U252" s="176">
        <v>10</v>
      </c>
      <c r="V252" s="176">
        <v>120</v>
      </c>
      <c r="W252" s="176">
        <v>12</v>
      </c>
      <c r="X252" s="179">
        <f t="shared" si="43"/>
        <v>132</v>
      </c>
      <c r="Y252" s="176">
        <v>4</v>
      </c>
      <c r="Z252" s="176" t="s">
        <v>20</v>
      </c>
      <c r="AA252" s="176" t="s">
        <v>18</v>
      </c>
      <c r="AB252" s="176" t="s">
        <v>20</v>
      </c>
      <c r="AC252" s="186" t="s">
        <v>21</v>
      </c>
      <c r="AD252" s="181" t="s">
        <v>2066</v>
      </c>
      <c r="AE252" s="179" t="s">
        <v>18</v>
      </c>
      <c r="AF252" s="191"/>
      <c r="AG252" s="175" t="s">
        <v>1173</v>
      </c>
      <c r="AH252" s="179">
        <f t="shared" si="35"/>
        <v>33</v>
      </c>
      <c r="AI252" s="179">
        <f>VLOOKUP(K252,[1]TRAMO!$A:$B,2,0)</f>
        <v>2</v>
      </c>
      <c r="AJ252" s="183">
        <f t="shared" si="36"/>
        <v>6372</v>
      </c>
      <c r="AK252" s="179">
        <f t="shared" si="37"/>
        <v>33</v>
      </c>
      <c r="AL252" s="183">
        <v>0</v>
      </c>
      <c r="AM252" s="183">
        <f t="shared" si="44"/>
        <v>1320000</v>
      </c>
      <c r="AN252" s="183">
        <f t="shared" si="38"/>
        <v>0</v>
      </c>
      <c r="AO252" s="183">
        <f t="shared" si="39"/>
        <v>2700000</v>
      </c>
      <c r="AP252" s="183">
        <f t="shared" si="40"/>
        <v>8411040</v>
      </c>
      <c r="AR252" s="183">
        <f t="shared" si="41"/>
        <v>0</v>
      </c>
      <c r="AS252" s="183">
        <f t="shared" si="42"/>
        <v>12431040</v>
      </c>
      <c r="AT252" s="175" t="s">
        <v>1524</v>
      </c>
      <c r="AU252" s="175" t="s">
        <v>1525</v>
      </c>
      <c r="AV252" s="175" t="s">
        <v>2067</v>
      </c>
      <c r="AW252" s="175" t="s">
        <v>1013</v>
      </c>
    </row>
    <row r="253" spans="1:49" ht="24.95" customHeight="1" x14ac:dyDescent="0.25">
      <c r="A253" s="175">
        <v>14325</v>
      </c>
      <c r="B253" s="175" t="s">
        <v>98</v>
      </c>
      <c r="C253" s="175" t="s">
        <v>41</v>
      </c>
      <c r="D253" s="176">
        <v>1</v>
      </c>
      <c r="E253" s="176">
        <v>2025</v>
      </c>
      <c r="F253" s="176">
        <v>2025</v>
      </c>
      <c r="G253" s="175" t="s">
        <v>23</v>
      </c>
      <c r="H253" s="175" t="s">
        <v>98</v>
      </c>
      <c r="I253" s="175" t="s">
        <v>1175</v>
      </c>
      <c r="J253" s="177" t="s">
        <v>747</v>
      </c>
      <c r="K253" s="175" t="s">
        <v>746</v>
      </c>
      <c r="L253" s="175" t="s">
        <v>345</v>
      </c>
      <c r="M253" s="175" t="s">
        <v>346</v>
      </c>
      <c r="N253" s="175">
        <v>13</v>
      </c>
      <c r="O253" s="175" t="s">
        <v>382</v>
      </c>
      <c r="P253" s="175" t="s">
        <v>416</v>
      </c>
      <c r="Q253" s="175" t="s">
        <v>1201</v>
      </c>
      <c r="R253" s="175" t="s">
        <v>339</v>
      </c>
      <c r="S253" s="175" t="s">
        <v>19</v>
      </c>
      <c r="T253" s="175" t="s">
        <v>337</v>
      </c>
      <c r="U253" s="176">
        <v>10</v>
      </c>
      <c r="V253" s="176">
        <v>240</v>
      </c>
      <c r="W253" s="176">
        <v>12</v>
      </c>
      <c r="X253" s="179">
        <f t="shared" si="43"/>
        <v>252</v>
      </c>
      <c r="Y253" s="176">
        <v>4</v>
      </c>
      <c r="Z253" s="176" t="s">
        <v>20</v>
      </c>
      <c r="AA253" s="176" t="s">
        <v>18</v>
      </c>
      <c r="AB253" s="176" t="s">
        <v>20</v>
      </c>
      <c r="AC253" s="186" t="s">
        <v>21</v>
      </c>
      <c r="AD253" s="181" t="s">
        <v>2068</v>
      </c>
      <c r="AE253" s="179" t="s">
        <v>18</v>
      </c>
      <c r="AF253" s="191"/>
      <c r="AG253" s="175" t="s">
        <v>1173</v>
      </c>
      <c r="AH253" s="179">
        <f t="shared" si="35"/>
        <v>63</v>
      </c>
      <c r="AI253" s="179">
        <f>VLOOKUP(K253,[1]TRAMO!$A:$B,2,0)</f>
        <v>2</v>
      </c>
      <c r="AJ253" s="183">
        <f t="shared" si="36"/>
        <v>6372</v>
      </c>
      <c r="AK253" s="179">
        <f t="shared" si="37"/>
        <v>63</v>
      </c>
      <c r="AL253" s="183">
        <v>0</v>
      </c>
      <c r="AM253" s="183">
        <f t="shared" si="44"/>
        <v>2520000</v>
      </c>
      <c r="AN253" s="183">
        <f t="shared" si="38"/>
        <v>0</v>
      </c>
      <c r="AO253" s="183">
        <f t="shared" si="39"/>
        <v>2700000</v>
      </c>
      <c r="AP253" s="183">
        <f t="shared" si="40"/>
        <v>16057440</v>
      </c>
      <c r="AR253" s="183">
        <f t="shared" si="41"/>
        <v>0</v>
      </c>
      <c r="AS253" s="183">
        <f t="shared" si="42"/>
        <v>21277440</v>
      </c>
      <c r="AT253" s="175" t="s">
        <v>1950</v>
      </c>
      <c r="AU253" s="175" t="s">
        <v>1951</v>
      </c>
      <c r="AV253" s="175" t="s">
        <v>2069</v>
      </c>
      <c r="AW253" s="175" t="s">
        <v>2070</v>
      </c>
    </row>
    <row r="254" spans="1:49" ht="24.95" customHeight="1" x14ac:dyDescent="0.25">
      <c r="A254" s="175">
        <v>14225</v>
      </c>
      <c r="B254" s="175" t="s">
        <v>86</v>
      </c>
      <c r="C254" s="175" t="s">
        <v>29</v>
      </c>
      <c r="D254" s="176">
        <v>1</v>
      </c>
      <c r="E254" s="176">
        <v>2025</v>
      </c>
      <c r="F254" s="176">
        <v>2025</v>
      </c>
      <c r="G254" s="175" t="s">
        <v>23</v>
      </c>
      <c r="H254" s="175" t="s">
        <v>86</v>
      </c>
      <c r="I254" s="175" t="s">
        <v>105</v>
      </c>
      <c r="J254" s="177" t="s">
        <v>718</v>
      </c>
      <c r="K254" s="175" t="s">
        <v>719</v>
      </c>
      <c r="L254" s="175" t="s">
        <v>345</v>
      </c>
      <c r="M254" s="175" t="s">
        <v>346</v>
      </c>
      <c r="N254" s="175">
        <v>13</v>
      </c>
      <c r="O254" s="175" t="s">
        <v>382</v>
      </c>
      <c r="P254" s="175" t="s">
        <v>416</v>
      </c>
      <c r="Q254" s="175" t="s">
        <v>817</v>
      </c>
      <c r="R254" s="175" t="s">
        <v>339</v>
      </c>
      <c r="S254" s="175" t="s">
        <v>19</v>
      </c>
      <c r="T254" s="175" t="s">
        <v>337</v>
      </c>
      <c r="U254" s="176">
        <v>10</v>
      </c>
      <c r="V254" s="176">
        <v>90</v>
      </c>
      <c r="W254" s="176">
        <v>12</v>
      </c>
      <c r="X254" s="179">
        <f t="shared" si="43"/>
        <v>102</v>
      </c>
      <c r="Y254" s="176">
        <v>4</v>
      </c>
      <c r="Z254" s="176" t="s">
        <v>20</v>
      </c>
      <c r="AA254" s="176" t="s">
        <v>20</v>
      </c>
      <c r="AB254" s="185" t="s">
        <v>18</v>
      </c>
      <c r="AC254" s="186" t="s">
        <v>21</v>
      </c>
      <c r="AD254" s="181" t="s">
        <v>2071</v>
      </c>
      <c r="AE254" s="179" t="s">
        <v>18</v>
      </c>
      <c r="AF254" s="191"/>
      <c r="AG254" s="175" t="s">
        <v>1173</v>
      </c>
      <c r="AH254" s="179">
        <f t="shared" si="35"/>
        <v>26</v>
      </c>
      <c r="AI254" s="179">
        <f>VLOOKUP(K254,[1]TRAMO!$A:$B,2,0)</f>
        <v>2</v>
      </c>
      <c r="AJ254" s="183">
        <f t="shared" si="36"/>
        <v>6372</v>
      </c>
      <c r="AK254" s="179">
        <f t="shared" si="37"/>
        <v>25.5</v>
      </c>
      <c r="AL254" s="183">
        <v>0</v>
      </c>
      <c r="AM254" s="183">
        <f t="shared" si="44"/>
        <v>1040000</v>
      </c>
      <c r="AN254" s="183">
        <f t="shared" si="38"/>
        <v>1300000</v>
      </c>
      <c r="AO254" s="183">
        <f t="shared" si="39"/>
        <v>0</v>
      </c>
      <c r="AP254" s="183">
        <f t="shared" si="40"/>
        <v>6499440</v>
      </c>
      <c r="AR254" s="183">
        <f t="shared" si="41"/>
        <v>0</v>
      </c>
      <c r="AS254" s="183">
        <f t="shared" si="42"/>
        <v>8839440</v>
      </c>
      <c r="AT254" s="175" t="s">
        <v>2072</v>
      </c>
      <c r="AU254" s="175" t="s">
        <v>2073</v>
      </c>
      <c r="AV254" s="175" t="s">
        <v>2074</v>
      </c>
      <c r="AW254" s="175" t="s">
        <v>2075</v>
      </c>
    </row>
    <row r="255" spans="1:49" ht="24.95" customHeight="1" x14ac:dyDescent="0.25">
      <c r="A255" s="175">
        <v>14247</v>
      </c>
      <c r="B255" s="175" t="s">
        <v>86</v>
      </c>
      <c r="C255" s="175" t="s">
        <v>29</v>
      </c>
      <c r="D255" s="176">
        <v>1</v>
      </c>
      <c r="E255" s="176">
        <v>2025</v>
      </c>
      <c r="F255" s="176">
        <v>2025</v>
      </c>
      <c r="G255" s="175" t="s">
        <v>23</v>
      </c>
      <c r="H255" s="175" t="s">
        <v>86</v>
      </c>
      <c r="I255" s="175" t="s">
        <v>105</v>
      </c>
      <c r="J255" s="177" t="s">
        <v>718</v>
      </c>
      <c r="K255" s="175" t="s">
        <v>719</v>
      </c>
      <c r="L255" s="175" t="s">
        <v>345</v>
      </c>
      <c r="M255" s="175" t="s">
        <v>346</v>
      </c>
      <c r="N255" s="175">
        <v>13</v>
      </c>
      <c r="O255" s="175" t="s">
        <v>382</v>
      </c>
      <c r="P255" s="175" t="s">
        <v>416</v>
      </c>
      <c r="Q255" s="175" t="s">
        <v>1201</v>
      </c>
      <c r="R255" s="175" t="s">
        <v>339</v>
      </c>
      <c r="S255" s="175" t="s">
        <v>19</v>
      </c>
      <c r="T255" s="175" t="s">
        <v>784</v>
      </c>
      <c r="U255" s="176">
        <v>15</v>
      </c>
      <c r="V255" s="176">
        <v>90</v>
      </c>
      <c r="W255" s="176">
        <v>12</v>
      </c>
      <c r="X255" s="179">
        <f t="shared" si="43"/>
        <v>102</v>
      </c>
      <c r="Y255" s="176">
        <v>4</v>
      </c>
      <c r="Z255" s="176" t="s">
        <v>20</v>
      </c>
      <c r="AA255" s="176" t="s">
        <v>18</v>
      </c>
      <c r="AB255" s="176" t="s">
        <v>20</v>
      </c>
      <c r="AC255" s="186" t="s">
        <v>21</v>
      </c>
      <c r="AD255" s="181" t="s">
        <v>2076</v>
      </c>
      <c r="AE255" s="179" t="s">
        <v>18</v>
      </c>
      <c r="AF255" s="191"/>
      <c r="AG255" s="175" t="s">
        <v>1173</v>
      </c>
      <c r="AH255" s="179">
        <f t="shared" si="35"/>
        <v>26</v>
      </c>
      <c r="AI255" s="179">
        <f>VLOOKUP(K255,[1]TRAMO!$A:$B,2,0)</f>
        <v>2</v>
      </c>
      <c r="AJ255" s="183">
        <f t="shared" si="36"/>
        <v>6372</v>
      </c>
      <c r="AK255" s="179">
        <f t="shared" si="37"/>
        <v>25.5</v>
      </c>
      <c r="AL255" s="183">
        <v>0</v>
      </c>
      <c r="AM255" s="183">
        <f t="shared" si="44"/>
        <v>1560000</v>
      </c>
      <c r="AN255" s="183">
        <f t="shared" si="38"/>
        <v>0</v>
      </c>
      <c r="AO255" s="183">
        <f t="shared" si="39"/>
        <v>4050000</v>
      </c>
      <c r="AP255" s="183">
        <f t="shared" si="40"/>
        <v>9749160</v>
      </c>
      <c r="AR255" s="183">
        <f t="shared" si="41"/>
        <v>0</v>
      </c>
      <c r="AS255" s="183">
        <f t="shared" si="42"/>
        <v>15359160</v>
      </c>
      <c r="AT255" s="175" t="s">
        <v>2077</v>
      </c>
      <c r="AU255" s="175" t="s">
        <v>1975</v>
      </c>
      <c r="AV255" s="175" t="s">
        <v>2078</v>
      </c>
      <c r="AW255" s="175" t="s">
        <v>1037</v>
      </c>
    </row>
    <row r="256" spans="1:49" ht="24.95" customHeight="1" x14ac:dyDescent="0.25">
      <c r="A256" s="175">
        <v>14316</v>
      </c>
      <c r="B256" s="175" t="s">
        <v>96</v>
      </c>
      <c r="C256" s="175" t="s">
        <v>39</v>
      </c>
      <c r="D256" s="176">
        <v>4</v>
      </c>
      <c r="E256" s="176">
        <v>2025</v>
      </c>
      <c r="F256" s="176">
        <v>2025</v>
      </c>
      <c r="G256" s="175" t="s">
        <v>23</v>
      </c>
      <c r="H256" s="175" t="s">
        <v>96</v>
      </c>
      <c r="I256" s="175" t="s">
        <v>1042</v>
      </c>
      <c r="J256" s="177" t="s">
        <v>718</v>
      </c>
      <c r="K256" s="175" t="s">
        <v>719</v>
      </c>
      <c r="L256" s="175" t="s">
        <v>345</v>
      </c>
      <c r="M256" s="175" t="s">
        <v>346</v>
      </c>
      <c r="N256" s="175">
        <v>13</v>
      </c>
      <c r="O256" s="175" t="s">
        <v>382</v>
      </c>
      <c r="P256" s="175" t="s">
        <v>416</v>
      </c>
      <c r="Q256" s="175" t="s">
        <v>1201</v>
      </c>
      <c r="R256" s="175" t="s">
        <v>339</v>
      </c>
      <c r="S256" s="175" t="s">
        <v>19</v>
      </c>
      <c r="T256" s="175" t="s">
        <v>337</v>
      </c>
      <c r="U256" s="176">
        <v>15</v>
      </c>
      <c r="V256" s="176">
        <v>90</v>
      </c>
      <c r="W256" s="176">
        <v>12</v>
      </c>
      <c r="X256" s="179">
        <f t="shared" si="43"/>
        <v>102</v>
      </c>
      <c r="Y256" s="176">
        <v>5</v>
      </c>
      <c r="Z256" s="176" t="s">
        <v>20</v>
      </c>
      <c r="AA256" s="176" t="s">
        <v>18</v>
      </c>
      <c r="AB256" s="176" t="s">
        <v>20</v>
      </c>
      <c r="AC256" s="186" t="s">
        <v>21</v>
      </c>
      <c r="AD256" s="181" t="s">
        <v>2079</v>
      </c>
      <c r="AE256" s="179" t="s">
        <v>18</v>
      </c>
      <c r="AF256" s="191"/>
      <c r="AG256" s="175" t="s">
        <v>1173</v>
      </c>
      <c r="AH256" s="179">
        <f t="shared" si="35"/>
        <v>21</v>
      </c>
      <c r="AI256" s="179">
        <f>VLOOKUP(K256,[1]TRAMO!$A:$B,2,0)</f>
        <v>2</v>
      </c>
      <c r="AJ256" s="183">
        <f t="shared" si="36"/>
        <v>6372</v>
      </c>
      <c r="AK256" s="179">
        <f t="shared" si="37"/>
        <v>20.399999999999999</v>
      </c>
      <c r="AL256" s="183">
        <v>0</v>
      </c>
      <c r="AM256" s="183">
        <f t="shared" si="44"/>
        <v>1260000</v>
      </c>
      <c r="AN256" s="183">
        <f t="shared" si="38"/>
        <v>0</v>
      </c>
      <c r="AO256" s="183">
        <f t="shared" si="39"/>
        <v>4050000</v>
      </c>
      <c r="AP256" s="183">
        <f t="shared" si="40"/>
        <v>9749160</v>
      </c>
      <c r="AR256" s="183">
        <f t="shared" si="41"/>
        <v>0</v>
      </c>
      <c r="AS256" s="183">
        <f t="shared" si="42"/>
        <v>15059160</v>
      </c>
      <c r="AT256" s="175" t="s">
        <v>1750</v>
      </c>
      <c r="AU256" s="175" t="s">
        <v>1751</v>
      </c>
      <c r="AV256" s="175" t="s">
        <v>2080</v>
      </c>
      <c r="AW256" s="175" t="s">
        <v>2081</v>
      </c>
    </row>
    <row r="257" spans="1:49" ht="24.95" customHeight="1" x14ac:dyDescent="0.25">
      <c r="A257" s="175">
        <v>14366</v>
      </c>
      <c r="B257" s="175" t="s">
        <v>83</v>
      </c>
      <c r="C257" s="175" t="s">
        <v>1022</v>
      </c>
      <c r="D257" s="176">
        <v>1</v>
      </c>
      <c r="E257" s="176">
        <v>2025</v>
      </c>
      <c r="F257" s="176">
        <v>2025</v>
      </c>
      <c r="G257" s="175" t="s">
        <v>23</v>
      </c>
      <c r="H257" s="175" t="s">
        <v>83</v>
      </c>
      <c r="I257" s="175" t="s">
        <v>102</v>
      </c>
      <c r="J257" s="177" t="s">
        <v>718</v>
      </c>
      <c r="K257" s="175" t="s">
        <v>719</v>
      </c>
      <c r="L257" s="175" t="s">
        <v>345</v>
      </c>
      <c r="M257" s="175" t="s">
        <v>346</v>
      </c>
      <c r="N257" s="175">
        <v>10</v>
      </c>
      <c r="O257" s="175" t="s">
        <v>706</v>
      </c>
      <c r="P257" s="175" t="s">
        <v>754</v>
      </c>
      <c r="Q257" s="175" t="s">
        <v>702</v>
      </c>
      <c r="R257" s="175" t="s">
        <v>339</v>
      </c>
      <c r="S257" s="175" t="s">
        <v>19</v>
      </c>
      <c r="T257" s="175" t="s">
        <v>337</v>
      </c>
      <c r="U257" s="176">
        <v>10</v>
      </c>
      <c r="V257" s="176">
        <v>90</v>
      </c>
      <c r="W257" s="176">
        <v>12</v>
      </c>
      <c r="X257" s="179">
        <f t="shared" si="43"/>
        <v>102</v>
      </c>
      <c r="Y257" s="176">
        <v>4</v>
      </c>
      <c r="Z257" s="176" t="s">
        <v>20</v>
      </c>
      <c r="AA257" s="176" t="s">
        <v>20</v>
      </c>
      <c r="AB257" s="176" t="s">
        <v>20</v>
      </c>
      <c r="AC257" s="186" t="s">
        <v>21</v>
      </c>
      <c r="AD257" s="181" t="s">
        <v>2082</v>
      </c>
      <c r="AE257" s="179" t="s">
        <v>18</v>
      </c>
      <c r="AF257" s="191"/>
      <c r="AG257" s="175" t="s">
        <v>1173</v>
      </c>
      <c r="AH257" s="179">
        <f t="shared" si="35"/>
        <v>26</v>
      </c>
      <c r="AI257" s="179">
        <f>VLOOKUP(K257,[1]TRAMO!$A:$B,2,0)</f>
        <v>2</v>
      </c>
      <c r="AJ257" s="183">
        <f t="shared" si="36"/>
        <v>6372</v>
      </c>
      <c r="AK257" s="179">
        <f t="shared" si="37"/>
        <v>25.5</v>
      </c>
      <c r="AL257" s="183">
        <v>0</v>
      </c>
      <c r="AM257" s="183">
        <f t="shared" si="44"/>
        <v>1040000</v>
      </c>
      <c r="AN257" s="183">
        <f t="shared" si="38"/>
        <v>1300000</v>
      </c>
      <c r="AO257" s="183">
        <f t="shared" si="39"/>
        <v>2700000</v>
      </c>
      <c r="AP257" s="183">
        <f t="shared" si="40"/>
        <v>6499440</v>
      </c>
      <c r="AR257" s="183">
        <f t="shared" si="41"/>
        <v>0</v>
      </c>
      <c r="AS257" s="183">
        <f t="shared" si="42"/>
        <v>11539440</v>
      </c>
      <c r="AT257" s="175" t="s">
        <v>1535</v>
      </c>
      <c r="AU257" s="175" t="s">
        <v>1536</v>
      </c>
      <c r="AV257" s="175" t="s">
        <v>2032</v>
      </c>
      <c r="AW257" s="175" t="s">
        <v>1023</v>
      </c>
    </row>
    <row r="258" spans="1:49" ht="24.95" customHeight="1" x14ac:dyDescent="0.25">
      <c r="A258" s="175">
        <v>14463</v>
      </c>
      <c r="B258" s="175" t="s">
        <v>96</v>
      </c>
      <c r="C258" s="175" t="s">
        <v>39</v>
      </c>
      <c r="D258" s="176">
        <v>4</v>
      </c>
      <c r="E258" s="176">
        <v>2025</v>
      </c>
      <c r="F258" s="176">
        <v>2025</v>
      </c>
      <c r="G258" s="175" t="s">
        <v>23</v>
      </c>
      <c r="H258" s="175" t="s">
        <v>96</v>
      </c>
      <c r="I258" s="175" t="s">
        <v>1042</v>
      </c>
      <c r="J258" s="177" t="s">
        <v>718</v>
      </c>
      <c r="K258" s="175" t="s">
        <v>719</v>
      </c>
      <c r="L258" s="175" t="s">
        <v>345</v>
      </c>
      <c r="M258" s="175" t="s">
        <v>346</v>
      </c>
      <c r="N258" s="175">
        <v>8</v>
      </c>
      <c r="O258" s="175" t="s">
        <v>709</v>
      </c>
      <c r="P258" s="175" t="s">
        <v>2083</v>
      </c>
      <c r="Q258" s="175" t="s">
        <v>1201</v>
      </c>
      <c r="R258" s="175" t="s">
        <v>339</v>
      </c>
      <c r="S258" s="175" t="s">
        <v>19</v>
      </c>
      <c r="T258" s="175" t="s">
        <v>337</v>
      </c>
      <c r="U258" s="176">
        <v>15</v>
      </c>
      <c r="V258" s="176">
        <v>90</v>
      </c>
      <c r="W258" s="176">
        <v>12</v>
      </c>
      <c r="X258" s="179">
        <f t="shared" si="43"/>
        <v>102</v>
      </c>
      <c r="Y258" s="176">
        <v>5</v>
      </c>
      <c r="Z258" s="176" t="s">
        <v>20</v>
      </c>
      <c r="AA258" s="176" t="s">
        <v>18</v>
      </c>
      <c r="AB258" s="176" t="s">
        <v>20</v>
      </c>
      <c r="AC258" s="186" t="s">
        <v>21</v>
      </c>
      <c r="AD258" s="181" t="s">
        <v>2084</v>
      </c>
      <c r="AE258" s="179" t="s">
        <v>18</v>
      </c>
      <c r="AF258" s="191"/>
      <c r="AG258" s="175" t="s">
        <v>1173</v>
      </c>
      <c r="AH258" s="179">
        <f t="shared" ref="AH258:AH321" si="45">ROUNDUP(AK258,0)</f>
        <v>21</v>
      </c>
      <c r="AI258" s="179">
        <f>VLOOKUP(K258,[1]TRAMO!$A:$B,2,0)</f>
        <v>2</v>
      </c>
      <c r="AJ258" s="183">
        <f t="shared" ref="AJ258:AJ321" si="46">IF(AI258=1,5074,IF(AI258=2,6372,IF(AI258=3,7434,"ERROR")))</f>
        <v>6372</v>
      </c>
      <c r="AK258" s="179">
        <f t="shared" ref="AK258:AK321" si="47">+(X258/Y258)</f>
        <v>20.399999999999999</v>
      </c>
      <c r="AL258" s="183">
        <v>0</v>
      </c>
      <c r="AM258" s="183">
        <f t="shared" si="44"/>
        <v>1260000</v>
      </c>
      <c r="AN258" s="183">
        <f t="shared" ref="AN258:AN321" si="48">IF(AA258="SI",5000*AH258*U258,0)</f>
        <v>0</v>
      </c>
      <c r="AO258" s="183">
        <f t="shared" ref="AO258:AO321" si="49">IF(AB258="SI",270000*U258,0)</f>
        <v>4050000</v>
      </c>
      <c r="AP258" s="183">
        <f t="shared" ref="AP258:AP321" si="50">+(AJ258*X258*U258)</f>
        <v>9749160</v>
      </c>
      <c r="AR258" s="183">
        <f t="shared" ref="AR258:AR321" si="51">+(AL258*U258)</f>
        <v>0</v>
      </c>
      <c r="AS258" s="183">
        <f t="shared" ref="AS258:AS321" si="52">+(AM258+AN258+AO258+AP258+AR258)</f>
        <v>15059160</v>
      </c>
      <c r="AT258" s="175" t="s">
        <v>1718</v>
      </c>
      <c r="AU258" s="175" t="s">
        <v>1719</v>
      </c>
      <c r="AV258" s="175" t="s">
        <v>2085</v>
      </c>
      <c r="AW258" s="175" t="s">
        <v>1721</v>
      </c>
    </row>
    <row r="259" spans="1:49" ht="24.95" customHeight="1" x14ac:dyDescent="0.25">
      <c r="A259" s="192">
        <v>14256</v>
      </c>
      <c r="B259" s="192" t="s">
        <v>86</v>
      </c>
      <c r="C259" s="175" t="s">
        <v>29</v>
      </c>
      <c r="D259" s="176">
        <v>1</v>
      </c>
      <c r="E259" s="176">
        <v>2025</v>
      </c>
      <c r="F259" s="176">
        <v>2025</v>
      </c>
      <c r="G259" s="175" t="s">
        <v>23</v>
      </c>
      <c r="H259" s="192" t="s">
        <v>86</v>
      </c>
      <c r="I259" s="192" t="s">
        <v>105</v>
      </c>
      <c r="J259" s="177" t="s">
        <v>792</v>
      </c>
      <c r="K259" s="192" t="s">
        <v>791</v>
      </c>
      <c r="L259" s="192" t="s">
        <v>345</v>
      </c>
      <c r="M259" s="192" t="s">
        <v>346</v>
      </c>
      <c r="N259" s="175">
        <v>13</v>
      </c>
      <c r="O259" s="192" t="s">
        <v>382</v>
      </c>
      <c r="P259" s="192" t="s">
        <v>416</v>
      </c>
      <c r="Q259" s="192" t="s">
        <v>1201</v>
      </c>
      <c r="R259" s="192" t="s">
        <v>339</v>
      </c>
      <c r="S259" s="192" t="s">
        <v>19</v>
      </c>
      <c r="T259" s="192" t="s">
        <v>393</v>
      </c>
      <c r="U259" s="193">
        <v>18</v>
      </c>
      <c r="V259" s="193">
        <v>100</v>
      </c>
      <c r="W259" s="193">
        <v>12</v>
      </c>
      <c r="X259" s="179">
        <f t="shared" si="43"/>
        <v>112</v>
      </c>
      <c r="Y259" s="193">
        <v>4</v>
      </c>
      <c r="Z259" s="193" t="s">
        <v>20</v>
      </c>
      <c r="AA259" s="193" t="s">
        <v>18</v>
      </c>
      <c r="AB259" s="193" t="s">
        <v>20</v>
      </c>
      <c r="AC259" s="186" t="s">
        <v>21</v>
      </c>
      <c r="AD259" s="181" t="s">
        <v>2086</v>
      </c>
      <c r="AE259" s="179" t="s">
        <v>18</v>
      </c>
      <c r="AF259" s="191"/>
      <c r="AG259" s="192" t="s">
        <v>1173</v>
      </c>
      <c r="AH259" s="179">
        <f t="shared" si="45"/>
        <v>28</v>
      </c>
      <c r="AI259" s="179">
        <f>VLOOKUP(K259,[1]TRAMO!$A:$B,2,0)</f>
        <v>1</v>
      </c>
      <c r="AJ259" s="183">
        <f t="shared" si="46"/>
        <v>5074</v>
      </c>
      <c r="AK259" s="179">
        <f t="shared" si="47"/>
        <v>28</v>
      </c>
      <c r="AL259" s="183">
        <v>0</v>
      </c>
      <c r="AM259" s="183">
        <f t="shared" si="44"/>
        <v>2016000</v>
      </c>
      <c r="AN259" s="183">
        <f t="shared" si="48"/>
        <v>0</v>
      </c>
      <c r="AO259" s="183">
        <f t="shared" si="49"/>
        <v>4860000</v>
      </c>
      <c r="AP259" s="183">
        <f t="shared" si="50"/>
        <v>10229184</v>
      </c>
      <c r="AR259" s="183">
        <f t="shared" si="51"/>
        <v>0</v>
      </c>
      <c r="AS259" s="183">
        <f t="shared" si="52"/>
        <v>17105184</v>
      </c>
      <c r="AT259" s="192" t="s">
        <v>2077</v>
      </c>
      <c r="AU259" s="192" t="s">
        <v>1975</v>
      </c>
      <c r="AV259" s="192" t="s">
        <v>2078</v>
      </c>
      <c r="AW259" s="192" t="s">
        <v>2087</v>
      </c>
    </row>
    <row r="260" spans="1:49" ht="24.95" customHeight="1" x14ac:dyDescent="0.25">
      <c r="A260" s="175">
        <v>14237</v>
      </c>
      <c r="B260" s="175" t="s">
        <v>86</v>
      </c>
      <c r="C260" s="175" t="s">
        <v>29</v>
      </c>
      <c r="D260" s="176">
        <v>1</v>
      </c>
      <c r="E260" s="176">
        <v>2025</v>
      </c>
      <c r="F260" s="176">
        <v>2025</v>
      </c>
      <c r="G260" s="175" t="s">
        <v>23</v>
      </c>
      <c r="H260" s="175" t="s">
        <v>86</v>
      </c>
      <c r="I260" s="175" t="s">
        <v>105</v>
      </c>
      <c r="J260" s="177" t="s">
        <v>700</v>
      </c>
      <c r="K260" s="175" t="s">
        <v>701</v>
      </c>
      <c r="L260" s="175" t="s">
        <v>345</v>
      </c>
      <c r="M260" s="175" t="s">
        <v>346</v>
      </c>
      <c r="N260" s="175">
        <v>13</v>
      </c>
      <c r="O260" s="175" t="s">
        <v>382</v>
      </c>
      <c r="P260" s="175" t="s">
        <v>748</v>
      </c>
      <c r="Q260" s="175" t="s">
        <v>1201</v>
      </c>
      <c r="R260" s="175" t="s">
        <v>339</v>
      </c>
      <c r="S260" s="175" t="s">
        <v>19</v>
      </c>
      <c r="T260" s="175" t="s">
        <v>365</v>
      </c>
      <c r="U260" s="176">
        <v>12</v>
      </c>
      <c r="V260" s="176">
        <v>150</v>
      </c>
      <c r="W260" s="176">
        <v>12</v>
      </c>
      <c r="X260" s="179">
        <f t="shared" si="43"/>
        <v>162</v>
      </c>
      <c r="Y260" s="176">
        <v>4</v>
      </c>
      <c r="Z260" s="176" t="s">
        <v>20</v>
      </c>
      <c r="AA260" s="176" t="s">
        <v>18</v>
      </c>
      <c r="AB260" s="176" t="s">
        <v>20</v>
      </c>
      <c r="AC260" s="186" t="s">
        <v>21</v>
      </c>
      <c r="AD260" s="181" t="s">
        <v>2088</v>
      </c>
      <c r="AE260" s="179" t="s">
        <v>18</v>
      </c>
      <c r="AF260" s="191"/>
      <c r="AG260" s="175" t="s">
        <v>1173</v>
      </c>
      <c r="AH260" s="179">
        <f t="shared" si="45"/>
        <v>41</v>
      </c>
      <c r="AI260" s="179">
        <f>VLOOKUP(K260,[1]TRAMO!$A:$B,2,0)</f>
        <v>2</v>
      </c>
      <c r="AJ260" s="183">
        <f t="shared" si="46"/>
        <v>6372</v>
      </c>
      <c r="AK260" s="179">
        <f t="shared" si="47"/>
        <v>40.5</v>
      </c>
      <c r="AL260" s="183">
        <v>0</v>
      </c>
      <c r="AM260" s="183">
        <f t="shared" si="44"/>
        <v>1968000</v>
      </c>
      <c r="AN260" s="183">
        <f t="shared" si="48"/>
        <v>0</v>
      </c>
      <c r="AO260" s="183">
        <f t="shared" si="49"/>
        <v>3240000</v>
      </c>
      <c r="AP260" s="183">
        <f t="shared" si="50"/>
        <v>12387168</v>
      </c>
      <c r="AR260" s="183">
        <f t="shared" si="51"/>
        <v>0</v>
      </c>
      <c r="AS260" s="183">
        <f t="shared" si="52"/>
        <v>17595168</v>
      </c>
      <c r="AT260" s="175" t="s">
        <v>1632</v>
      </c>
      <c r="AU260" s="175" t="s">
        <v>1633</v>
      </c>
      <c r="AV260" s="175" t="s">
        <v>1634</v>
      </c>
      <c r="AW260" s="175" t="s">
        <v>1635</v>
      </c>
    </row>
    <row r="261" spans="1:49" ht="24.95" customHeight="1" x14ac:dyDescent="0.25">
      <c r="A261" s="175">
        <v>14222</v>
      </c>
      <c r="B261" s="175" t="s">
        <v>83</v>
      </c>
      <c r="C261" s="175" t="s">
        <v>1022</v>
      </c>
      <c r="D261" s="176">
        <v>1</v>
      </c>
      <c r="E261" s="176">
        <v>2025</v>
      </c>
      <c r="F261" s="176">
        <v>2025</v>
      </c>
      <c r="G261" s="175" t="s">
        <v>23</v>
      </c>
      <c r="H261" s="175" t="s">
        <v>83</v>
      </c>
      <c r="I261" s="175" t="s">
        <v>102</v>
      </c>
      <c r="J261" s="177" t="s">
        <v>711</v>
      </c>
      <c r="K261" s="175" t="s">
        <v>712</v>
      </c>
      <c r="L261" s="175" t="s">
        <v>345</v>
      </c>
      <c r="M261" s="175" t="s">
        <v>346</v>
      </c>
      <c r="N261" s="175">
        <v>15</v>
      </c>
      <c r="O261" s="175" t="s">
        <v>810</v>
      </c>
      <c r="P261" s="175" t="s">
        <v>809</v>
      </c>
      <c r="Q261" s="175" t="s">
        <v>702</v>
      </c>
      <c r="R261" s="175" t="s">
        <v>339</v>
      </c>
      <c r="S261" s="175" t="s">
        <v>19</v>
      </c>
      <c r="T261" s="175" t="s">
        <v>337</v>
      </c>
      <c r="U261" s="176">
        <v>10</v>
      </c>
      <c r="V261" s="176">
        <v>160</v>
      </c>
      <c r="W261" s="176">
        <v>12</v>
      </c>
      <c r="X261" s="179">
        <f t="shared" si="43"/>
        <v>172</v>
      </c>
      <c r="Y261" s="176">
        <v>4</v>
      </c>
      <c r="Z261" s="176" t="s">
        <v>20</v>
      </c>
      <c r="AA261" s="176" t="s">
        <v>20</v>
      </c>
      <c r="AB261" s="176" t="s">
        <v>20</v>
      </c>
      <c r="AC261" s="186" t="s">
        <v>21</v>
      </c>
      <c r="AD261" s="181" t="s">
        <v>2089</v>
      </c>
      <c r="AE261" s="179" t="s">
        <v>18</v>
      </c>
      <c r="AF261" s="191"/>
      <c r="AG261" s="175" t="s">
        <v>1173</v>
      </c>
      <c r="AH261" s="179">
        <f t="shared" si="45"/>
        <v>43</v>
      </c>
      <c r="AI261" s="179">
        <f>VLOOKUP(K261,[1]TRAMO!$A:$B,2,0)</f>
        <v>2</v>
      </c>
      <c r="AJ261" s="183">
        <f t="shared" si="46"/>
        <v>6372</v>
      </c>
      <c r="AK261" s="179">
        <f t="shared" si="47"/>
        <v>43</v>
      </c>
      <c r="AL261" s="183">
        <v>0</v>
      </c>
      <c r="AM261" s="183">
        <f t="shared" si="44"/>
        <v>1720000</v>
      </c>
      <c r="AN261" s="183">
        <f t="shared" si="48"/>
        <v>2150000</v>
      </c>
      <c r="AO261" s="183">
        <f t="shared" si="49"/>
        <v>2700000</v>
      </c>
      <c r="AP261" s="183">
        <f t="shared" si="50"/>
        <v>10959840</v>
      </c>
      <c r="AR261" s="183">
        <f t="shared" si="51"/>
        <v>0</v>
      </c>
      <c r="AS261" s="183">
        <f t="shared" si="52"/>
        <v>17529840</v>
      </c>
      <c r="AT261" s="175" t="s">
        <v>2090</v>
      </c>
      <c r="AU261" s="175" t="s">
        <v>1951</v>
      </c>
      <c r="AV261" s="175" t="s">
        <v>2091</v>
      </c>
      <c r="AW261" s="175" t="s">
        <v>2070</v>
      </c>
    </row>
    <row r="262" spans="1:49" ht="24.95" customHeight="1" x14ac:dyDescent="0.25">
      <c r="A262" s="175">
        <v>14435</v>
      </c>
      <c r="B262" s="175" t="s">
        <v>98</v>
      </c>
      <c r="C262" s="175" t="s">
        <v>41</v>
      </c>
      <c r="D262" s="176">
        <v>1</v>
      </c>
      <c r="E262" s="176">
        <v>2025</v>
      </c>
      <c r="F262" s="176">
        <v>2025</v>
      </c>
      <c r="G262" s="175" t="s">
        <v>23</v>
      </c>
      <c r="H262" s="175" t="s">
        <v>98</v>
      </c>
      <c r="I262" s="175" t="s">
        <v>1175</v>
      </c>
      <c r="J262" s="177" t="s">
        <v>711</v>
      </c>
      <c r="K262" s="175" t="s">
        <v>712</v>
      </c>
      <c r="L262" s="175" t="s">
        <v>345</v>
      </c>
      <c r="M262" s="175" t="s">
        <v>346</v>
      </c>
      <c r="N262" s="175">
        <v>10</v>
      </c>
      <c r="O262" s="175" t="s">
        <v>706</v>
      </c>
      <c r="P262" s="175" t="s">
        <v>707</v>
      </c>
      <c r="Q262" s="175" t="s">
        <v>1201</v>
      </c>
      <c r="R262" s="175" t="s">
        <v>339</v>
      </c>
      <c r="S262" s="175" t="s">
        <v>19</v>
      </c>
      <c r="T262" s="175" t="s">
        <v>337</v>
      </c>
      <c r="U262" s="176">
        <v>10</v>
      </c>
      <c r="V262" s="176">
        <v>160</v>
      </c>
      <c r="W262" s="176">
        <v>12</v>
      </c>
      <c r="X262" s="179">
        <f t="shared" si="43"/>
        <v>172</v>
      </c>
      <c r="Y262" s="176">
        <v>4</v>
      </c>
      <c r="Z262" s="176" t="s">
        <v>20</v>
      </c>
      <c r="AA262" s="176" t="s">
        <v>18</v>
      </c>
      <c r="AB262" s="176" t="s">
        <v>20</v>
      </c>
      <c r="AC262" s="186" t="s">
        <v>21</v>
      </c>
      <c r="AD262" s="181" t="s">
        <v>2092</v>
      </c>
      <c r="AE262" s="179" t="s">
        <v>18</v>
      </c>
      <c r="AF262" s="191"/>
      <c r="AG262" s="175" t="s">
        <v>1173</v>
      </c>
      <c r="AH262" s="179">
        <f t="shared" si="45"/>
        <v>43</v>
      </c>
      <c r="AI262" s="179">
        <f>VLOOKUP(K262,[1]TRAMO!$A:$B,2,0)</f>
        <v>2</v>
      </c>
      <c r="AJ262" s="183">
        <f t="shared" si="46"/>
        <v>6372</v>
      </c>
      <c r="AK262" s="179">
        <f t="shared" si="47"/>
        <v>43</v>
      </c>
      <c r="AL262" s="183">
        <v>0</v>
      </c>
      <c r="AM262" s="183">
        <f t="shared" si="44"/>
        <v>1720000</v>
      </c>
      <c r="AN262" s="183">
        <f t="shared" si="48"/>
        <v>0</v>
      </c>
      <c r="AO262" s="183">
        <f t="shared" si="49"/>
        <v>2700000</v>
      </c>
      <c r="AP262" s="183">
        <f t="shared" si="50"/>
        <v>10959840</v>
      </c>
      <c r="AR262" s="183">
        <f t="shared" si="51"/>
        <v>0</v>
      </c>
      <c r="AS262" s="183">
        <f t="shared" si="52"/>
        <v>15379840</v>
      </c>
      <c r="AT262" s="175" t="s">
        <v>1524</v>
      </c>
      <c r="AU262" s="175" t="s">
        <v>1525</v>
      </c>
      <c r="AV262" s="175" t="s">
        <v>2093</v>
      </c>
      <c r="AW262" s="175" t="s">
        <v>2094</v>
      </c>
    </row>
    <row r="263" spans="1:49" ht="24.95" customHeight="1" x14ac:dyDescent="0.25">
      <c r="A263" s="175">
        <v>14393</v>
      </c>
      <c r="B263" s="175" t="s">
        <v>98</v>
      </c>
      <c r="C263" s="175" t="s">
        <v>41</v>
      </c>
      <c r="D263" s="176">
        <v>1</v>
      </c>
      <c r="E263" s="176">
        <v>2025</v>
      </c>
      <c r="F263" s="176">
        <v>2025</v>
      </c>
      <c r="G263" s="175" t="s">
        <v>23</v>
      </c>
      <c r="H263" s="175" t="s">
        <v>98</v>
      </c>
      <c r="I263" s="175" t="s">
        <v>1175</v>
      </c>
      <c r="J263" s="177" t="s">
        <v>2095</v>
      </c>
      <c r="K263" s="175" t="s">
        <v>2096</v>
      </c>
      <c r="L263" s="175" t="s">
        <v>345</v>
      </c>
      <c r="M263" s="175" t="s">
        <v>346</v>
      </c>
      <c r="N263" s="175">
        <v>9</v>
      </c>
      <c r="O263" s="175" t="s">
        <v>424</v>
      </c>
      <c r="P263" s="175" t="s">
        <v>842</v>
      </c>
      <c r="Q263" s="175" t="s">
        <v>1201</v>
      </c>
      <c r="R263" s="175" t="s">
        <v>339</v>
      </c>
      <c r="S263" s="175" t="s">
        <v>19</v>
      </c>
      <c r="T263" s="175" t="s">
        <v>337</v>
      </c>
      <c r="U263" s="176">
        <v>15</v>
      </c>
      <c r="V263" s="176">
        <v>160</v>
      </c>
      <c r="W263" s="176">
        <v>12</v>
      </c>
      <c r="X263" s="179">
        <f t="shared" si="43"/>
        <v>172</v>
      </c>
      <c r="Y263" s="176">
        <v>4</v>
      </c>
      <c r="Z263" s="176" t="s">
        <v>20</v>
      </c>
      <c r="AA263" s="176" t="s">
        <v>18</v>
      </c>
      <c r="AB263" s="176" t="s">
        <v>20</v>
      </c>
      <c r="AC263" s="186" t="s">
        <v>21</v>
      </c>
      <c r="AD263" s="181" t="s">
        <v>1570</v>
      </c>
      <c r="AE263" s="179" t="s">
        <v>18</v>
      </c>
      <c r="AF263" s="191"/>
      <c r="AG263" s="175" t="s">
        <v>1173</v>
      </c>
      <c r="AH263" s="179">
        <f t="shared" si="45"/>
        <v>43</v>
      </c>
      <c r="AI263" s="179">
        <f>VLOOKUP(K263,[1]TRAMO!$A:$B,2,0)</f>
        <v>3</v>
      </c>
      <c r="AJ263" s="183">
        <f t="shared" si="46"/>
        <v>7434</v>
      </c>
      <c r="AK263" s="179">
        <f t="shared" si="47"/>
        <v>43</v>
      </c>
      <c r="AL263" s="183">
        <v>0</v>
      </c>
      <c r="AM263" s="183">
        <f t="shared" si="44"/>
        <v>2580000</v>
      </c>
      <c r="AN263" s="183">
        <f t="shared" si="48"/>
        <v>0</v>
      </c>
      <c r="AO263" s="183">
        <f t="shared" si="49"/>
        <v>4050000</v>
      </c>
      <c r="AP263" s="183">
        <f t="shared" si="50"/>
        <v>19179720</v>
      </c>
      <c r="AR263" s="183">
        <f t="shared" si="51"/>
        <v>0</v>
      </c>
      <c r="AS263" s="183">
        <f t="shared" si="52"/>
        <v>25809720</v>
      </c>
      <c r="AT263" s="175" t="s">
        <v>1571</v>
      </c>
      <c r="AU263" s="175" t="s">
        <v>1572</v>
      </c>
      <c r="AV263" s="175" t="s">
        <v>1573</v>
      </c>
      <c r="AW263" s="175" t="s">
        <v>843</v>
      </c>
    </row>
    <row r="264" spans="1:49" ht="24.95" customHeight="1" x14ac:dyDescent="0.25">
      <c r="A264" s="175">
        <v>14301</v>
      </c>
      <c r="B264" s="175" t="s">
        <v>96</v>
      </c>
      <c r="C264" s="175" t="s">
        <v>39</v>
      </c>
      <c r="D264" s="176">
        <v>4</v>
      </c>
      <c r="E264" s="176">
        <v>2025</v>
      </c>
      <c r="F264" s="176">
        <v>2025</v>
      </c>
      <c r="G264" s="175" t="s">
        <v>23</v>
      </c>
      <c r="H264" s="175" t="s">
        <v>96</v>
      </c>
      <c r="I264" s="175" t="s">
        <v>1042</v>
      </c>
      <c r="J264" s="177" t="s">
        <v>827</v>
      </c>
      <c r="K264" s="175" t="s">
        <v>826</v>
      </c>
      <c r="L264" s="175" t="s">
        <v>345</v>
      </c>
      <c r="M264" s="175" t="s">
        <v>346</v>
      </c>
      <c r="N264" s="175">
        <v>5</v>
      </c>
      <c r="O264" s="175" t="s">
        <v>395</v>
      </c>
      <c r="P264" s="175" t="s">
        <v>2097</v>
      </c>
      <c r="Q264" s="175" t="s">
        <v>385</v>
      </c>
      <c r="R264" s="175" t="s">
        <v>339</v>
      </c>
      <c r="S264" s="175" t="s">
        <v>19</v>
      </c>
      <c r="T264" s="175" t="s">
        <v>337</v>
      </c>
      <c r="U264" s="176">
        <v>15</v>
      </c>
      <c r="V264" s="176">
        <v>110</v>
      </c>
      <c r="W264" s="176">
        <v>12</v>
      </c>
      <c r="X264" s="179">
        <f t="shared" ref="X264:X327" si="53">(SUM(V264:W264))*1</f>
        <v>122</v>
      </c>
      <c r="Y264" s="176">
        <v>5</v>
      </c>
      <c r="Z264" s="176" t="s">
        <v>20</v>
      </c>
      <c r="AA264" s="176" t="s">
        <v>18</v>
      </c>
      <c r="AB264" s="176" t="s">
        <v>20</v>
      </c>
      <c r="AC264" s="186" t="s">
        <v>21</v>
      </c>
      <c r="AD264" s="181" t="s">
        <v>2098</v>
      </c>
      <c r="AE264" s="179" t="s">
        <v>18</v>
      </c>
      <c r="AF264" s="191"/>
      <c r="AG264" s="175" t="s">
        <v>1173</v>
      </c>
      <c r="AH264" s="179">
        <f t="shared" si="45"/>
        <v>25</v>
      </c>
      <c r="AI264" s="179">
        <f>VLOOKUP(K264,[1]TRAMO!$A:$B,2,0)</f>
        <v>2</v>
      </c>
      <c r="AJ264" s="183">
        <f t="shared" si="46"/>
        <v>6372</v>
      </c>
      <c r="AK264" s="179">
        <f t="shared" si="47"/>
        <v>24.4</v>
      </c>
      <c r="AL264" s="183">
        <v>0</v>
      </c>
      <c r="AM264" s="183">
        <f t="shared" si="44"/>
        <v>1500000</v>
      </c>
      <c r="AN264" s="183">
        <f t="shared" si="48"/>
        <v>0</v>
      </c>
      <c r="AO264" s="183">
        <f t="shared" si="49"/>
        <v>4050000</v>
      </c>
      <c r="AP264" s="183">
        <f t="shared" si="50"/>
        <v>11660760</v>
      </c>
      <c r="AR264" s="183">
        <f t="shared" si="51"/>
        <v>0</v>
      </c>
      <c r="AS264" s="183">
        <f t="shared" si="52"/>
        <v>17210760</v>
      </c>
      <c r="AT264" s="175" t="s">
        <v>1818</v>
      </c>
      <c r="AU264" s="175" t="s">
        <v>1751</v>
      </c>
      <c r="AV264" s="175" t="s">
        <v>1788</v>
      </c>
      <c r="AW264" s="175" t="s">
        <v>1789</v>
      </c>
    </row>
    <row r="265" spans="1:49" ht="24.95" customHeight="1" x14ac:dyDescent="0.25">
      <c r="A265" s="175">
        <v>14303</v>
      </c>
      <c r="B265" s="175" t="s">
        <v>96</v>
      </c>
      <c r="C265" s="175" t="s">
        <v>39</v>
      </c>
      <c r="D265" s="176">
        <v>4</v>
      </c>
      <c r="E265" s="176">
        <v>2025</v>
      </c>
      <c r="F265" s="176">
        <v>2025</v>
      </c>
      <c r="G265" s="175" t="s">
        <v>23</v>
      </c>
      <c r="H265" s="175" t="s">
        <v>96</v>
      </c>
      <c r="I265" s="175" t="s">
        <v>1042</v>
      </c>
      <c r="J265" s="177" t="s">
        <v>827</v>
      </c>
      <c r="K265" s="175" t="s">
        <v>826</v>
      </c>
      <c r="L265" s="175" t="s">
        <v>345</v>
      </c>
      <c r="M265" s="175" t="s">
        <v>346</v>
      </c>
      <c r="N265" s="175">
        <v>14</v>
      </c>
      <c r="O265" s="175" t="s">
        <v>1722</v>
      </c>
      <c r="P265" s="175" t="s">
        <v>859</v>
      </c>
      <c r="Q265" s="175" t="s">
        <v>385</v>
      </c>
      <c r="R265" s="175" t="s">
        <v>339</v>
      </c>
      <c r="S265" s="175" t="s">
        <v>19</v>
      </c>
      <c r="T265" s="175" t="s">
        <v>337</v>
      </c>
      <c r="U265" s="176">
        <v>20</v>
      </c>
      <c r="V265" s="176">
        <v>110</v>
      </c>
      <c r="W265" s="176">
        <v>12</v>
      </c>
      <c r="X265" s="179">
        <f t="shared" si="53"/>
        <v>122</v>
      </c>
      <c r="Y265" s="176">
        <v>5</v>
      </c>
      <c r="Z265" s="176" t="s">
        <v>20</v>
      </c>
      <c r="AA265" s="176" t="s">
        <v>18</v>
      </c>
      <c r="AB265" s="176" t="s">
        <v>20</v>
      </c>
      <c r="AC265" s="186" t="s">
        <v>21</v>
      </c>
      <c r="AD265" s="181" t="s">
        <v>2099</v>
      </c>
      <c r="AE265" s="179" t="s">
        <v>18</v>
      </c>
      <c r="AF265" s="191"/>
      <c r="AG265" s="175" t="s">
        <v>1173</v>
      </c>
      <c r="AH265" s="179">
        <f t="shared" si="45"/>
        <v>25</v>
      </c>
      <c r="AI265" s="179">
        <f>VLOOKUP(K265,[1]TRAMO!$A:$B,2,0)</f>
        <v>2</v>
      </c>
      <c r="AJ265" s="183">
        <f t="shared" si="46"/>
        <v>6372</v>
      </c>
      <c r="AK265" s="179">
        <f t="shared" si="47"/>
        <v>24.4</v>
      </c>
      <c r="AL265" s="183">
        <v>0</v>
      </c>
      <c r="AM265" s="183">
        <f t="shared" si="44"/>
        <v>2000000</v>
      </c>
      <c r="AN265" s="183">
        <f t="shared" si="48"/>
        <v>0</v>
      </c>
      <c r="AO265" s="183">
        <f t="shared" si="49"/>
        <v>5400000</v>
      </c>
      <c r="AP265" s="183">
        <f t="shared" si="50"/>
        <v>15547680</v>
      </c>
      <c r="AR265" s="183">
        <f t="shared" si="51"/>
        <v>0</v>
      </c>
      <c r="AS265" s="183">
        <f t="shared" si="52"/>
        <v>22947680</v>
      </c>
      <c r="AT265" s="175" t="s">
        <v>1818</v>
      </c>
      <c r="AU265" s="175" t="s">
        <v>1751</v>
      </c>
      <c r="AV265" s="175" t="s">
        <v>1788</v>
      </c>
      <c r="AW265" s="175" t="s">
        <v>1789</v>
      </c>
    </row>
    <row r="266" spans="1:49" ht="24.95" customHeight="1" x14ac:dyDescent="0.25">
      <c r="A266" s="175">
        <v>14438</v>
      </c>
      <c r="B266" s="175" t="s">
        <v>98</v>
      </c>
      <c r="C266" s="175" t="s">
        <v>41</v>
      </c>
      <c r="D266" s="176">
        <v>1</v>
      </c>
      <c r="E266" s="176">
        <v>2025</v>
      </c>
      <c r="F266" s="176">
        <v>2025</v>
      </c>
      <c r="G266" s="175" t="s">
        <v>23</v>
      </c>
      <c r="H266" s="175" t="s">
        <v>98</v>
      </c>
      <c r="I266" s="175" t="s">
        <v>1175</v>
      </c>
      <c r="J266" s="177" t="s">
        <v>780</v>
      </c>
      <c r="K266" s="175" t="s">
        <v>779</v>
      </c>
      <c r="L266" s="175" t="s">
        <v>345</v>
      </c>
      <c r="M266" s="175" t="s">
        <v>346</v>
      </c>
      <c r="N266" s="175">
        <v>10</v>
      </c>
      <c r="O266" s="175" t="s">
        <v>706</v>
      </c>
      <c r="P266" s="175" t="s">
        <v>707</v>
      </c>
      <c r="Q266" s="175" t="s">
        <v>1201</v>
      </c>
      <c r="R266" s="175" t="s">
        <v>339</v>
      </c>
      <c r="S266" s="175" t="s">
        <v>19</v>
      </c>
      <c r="T266" s="175" t="s">
        <v>337</v>
      </c>
      <c r="U266" s="176">
        <v>10</v>
      </c>
      <c r="V266" s="176">
        <v>180</v>
      </c>
      <c r="W266" s="176">
        <v>12</v>
      </c>
      <c r="X266" s="179">
        <f t="shared" si="53"/>
        <v>192</v>
      </c>
      <c r="Y266" s="176">
        <v>4</v>
      </c>
      <c r="Z266" s="176" t="s">
        <v>20</v>
      </c>
      <c r="AA266" s="176" t="s">
        <v>18</v>
      </c>
      <c r="AB266" s="176" t="s">
        <v>20</v>
      </c>
      <c r="AC266" s="186" t="s">
        <v>21</v>
      </c>
      <c r="AD266" s="181" t="s">
        <v>2100</v>
      </c>
      <c r="AE266" s="179" t="s">
        <v>18</v>
      </c>
      <c r="AF266" s="191"/>
      <c r="AG266" s="175" t="s">
        <v>1173</v>
      </c>
      <c r="AH266" s="179">
        <f t="shared" si="45"/>
        <v>48</v>
      </c>
      <c r="AI266" s="179">
        <f>VLOOKUP(K266,[1]TRAMO!$A:$B,2,0)</f>
        <v>2</v>
      </c>
      <c r="AJ266" s="183">
        <f t="shared" si="46"/>
        <v>6372</v>
      </c>
      <c r="AK266" s="179">
        <f t="shared" si="47"/>
        <v>48</v>
      </c>
      <c r="AL266" s="183">
        <v>0</v>
      </c>
      <c r="AM266" s="183">
        <f t="shared" si="44"/>
        <v>1920000</v>
      </c>
      <c r="AN266" s="183">
        <f t="shared" si="48"/>
        <v>0</v>
      </c>
      <c r="AO266" s="183">
        <f t="shared" si="49"/>
        <v>2700000</v>
      </c>
      <c r="AP266" s="183">
        <f t="shared" si="50"/>
        <v>12234240</v>
      </c>
      <c r="AR266" s="183">
        <f t="shared" si="51"/>
        <v>0</v>
      </c>
      <c r="AS266" s="183">
        <f t="shared" si="52"/>
        <v>16854240</v>
      </c>
      <c r="AT266" s="175" t="s">
        <v>1524</v>
      </c>
      <c r="AU266" s="175" t="s">
        <v>1525</v>
      </c>
      <c r="AV266" s="175" t="s">
        <v>2093</v>
      </c>
      <c r="AW266" s="175" t="s">
        <v>2094</v>
      </c>
    </row>
    <row r="267" spans="1:49" ht="24.95" customHeight="1" x14ac:dyDescent="0.25">
      <c r="A267" s="175">
        <v>14305</v>
      </c>
      <c r="B267" s="175" t="s">
        <v>96</v>
      </c>
      <c r="C267" s="175" t="s">
        <v>39</v>
      </c>
      <c r="D267" s="176">
        <v>4</v>
      </c>
      <c r="E267" s="176">
        <v>2025</v>
      </c>
      <c r="F267" s="176">
        <v>2025</v>
      </c>
      <c r="G267" s="175" t="s">
        <v>23</v>
      </c>
      <c r="H267" s="175" t="s">
        <v>96</v>
      </c>
      <c r="I267" s="175" t="s">
        <v>1042</v>
      </c>
      <c r="J267" s="177" t="s">
        <v>2101</v>
      </c>
      <c r="K267" s="175" t="s">
        <v>2102</v>
      </c>
      <c r="L267" s="175" t="s">
        <v>345</v>
      </c>
      <c r="M267" s="175" t="s">
        <v>346</v>
      </c>
      <c r="N267" s="175">
        <v>1</v>
      </c>
      <c r="O267" s="175" t="s">
        <v>773</v>
      </c>
      <c r="P267" s="175" t="s">
        <v>876</v>
      </c>
      <c r="Q267" s="175" t="s">
        <v>385</v>
      </c>
      <c r="R267" s="175" t="s">
        <v>339</v>
      </c>
      <c r="S267" s="175" t="s">
        <v>19</v>
      </c>
      <c r="T267" s="175" t="s">
        <v>337</v>
      </c>
      <c r="U267" s="176">
        <v>10</v>
      </c>
      <c r="V267" s="176">
        <v>100</v>
      </c>
      <c r="W267" s="176">
        <v>12</v>
      </c>
      <c r="X267" s="179">
        <f t="shared" si="53"/>
        <v>112</v>
      </c>
      <c r="Y267" s="176">
        <v>5</v>
      </c>
      <c r="Z267" s="176" t="s">
        <v>20</v>
      </c>
      <c r="AA267" s="176" t="s">
        <v>18</v>
      </c>
      <c r="AB267" s="176" t="s">
        <v>20</v>
      </c>
      <c r="AC267" s="186" t="s">
        <v>21</v>
      </c>
      <c r="AD267" s="181" t="s">
        <v>2103</v>
      </c>
      <c r="AE267" s="179" t="s">
        <v>18</v>
      </c>
      <c r="AF267" s="191"/>
      <c r="AG267" s="175" t="s">
        <v>1173</v>
      </c>
      <c r="AH267" s="179">
        <f t="shared" si="45"/>
        <v>23</v>
      </c>
      <c r="AI267" s="179">
        <v>2</v>
      </c>
      <c r="AJ267" s="183">
        <f t="shared" si="46"/>
        <v>6372</v>
      </c>
      <c r="AK267" s="179">
        <f t="shared" si="47"/>
        <v>22.4</v>
      </c>
      <c r="AL267" s="183">
        <v>0</v>
      </c>
      <c r="AM267" s="183">
        <f t="shared" si="44"/>
        <v>920000</v>
      </c>
      <c r="AN267" s="183">
        <f t="shared" si="48"/>
        <v>0</v>
      </c>
      <c r="AO267" s="183">
        <f t="shared" si="49"/>
        <v>2700000</v>
      </c>
      <c r="AP267" s="183">
        <f t="shared" si="50"/>
        <v>7136640</v>
      </c>
      <c r="AR267" s="183">
        <f t="shared" si="51"/>
        <v>0</v>
      </c>
      <c r="AS267" s="183">
        <f t="shared" si="52"/>
        <v>10756640</v>
      </c>
      <c r="AT267" s="175" t="s">
        <v>1750</v>
      </c>
      <c r="AU267" s="175" t="s">
        <v>1751</v>
      </c>
      <c r="AV267" s="175" t="s">
        <v>1788</v>
      </c>
      <c r="AW267" s="175" t="s">
        <v>1789</v>
      </c>
    </row>
    <row r="268" spans="1:49" ht="24.95" customHeight="1" x14ac:dyDescent="0.25">
      <c r="A268" s="175">
        <v>14307</v>
      </c>
      <c r="B268" s="175" t="s">
        <v>96</v>
      </c>
      <c r="C268" s="175" t="s">
        <v>39</v>
      </c>
      <c r="D268" s="176">
        <v>4</v>
      </c>
      <c r="E268" s="176">
        <v>2025</v>
      </c>
      <c r="F268" s="176">
        <v>2025</v>
      </c>
      <c r="G268" s="175" t="s">
        <v>23</v>
      </c>
      <c r="H268" s="175" t="s">
        <v>96</v>
      </c>
      <c r="I268" s="175" t="s">
        <v>1042</v>
      </c>
      <c r="J268" s="177" t="s">
        <v>2101</v>
      </c>
      <c r="K268" s="175" t="s">
        <v>2102</v>
      </c>
      <c r="L268" s="175" t="s">
        <v>345</v>
      </c>
      <c r="M268" s="175" t="s">
        <v>346</v>
      </c>
      <c r="N268" s="175">
        <v>13</v>
      </c>
      <c r="O268" s="175" t="s">
        <v>382</v>
      </c>
      <c r="P268" s="175" t="s">
        <v>748</v>
      </c>
      <c r="Q268" s="175" t="s">
        <v>385</v>
      </c>
      <c r="R268" s="175" t="s">
        <v>339</v>
      </c>
      <c r="S268" s="175" t="s">
        <v>19</v>
      </c>
      <c r="T268" s="175" t="s">
        <v>337</v>
      </c>
      <c r="U268" s="176">
        <v>10</v>
      </c>
      <c r="V268" s="176">
        <v>100</v>
      </c>
      <c r="W268" s="176">
        <v>12</v>
      </c>
      <c r="X268" s="179">
        <f t="shared" si="53"/>
        <v>112</v>
      </c>
      <c r="Y268" s="176">
        <v>5</v>
      </c>
      <c r="Z268" s="176" t="s">
        <v>20</v>
      </c>
      <c r="AA268" s="176" t="s">
        <v>18</v>
      </c>
      <c r="AB268" s="176" t="s">
        <v>20</v>
      </c>
      <c r="AC268" s="186" t="s">
        <v>21</v>
      </c>
      <c r="AD268" s="181" t="s">
        <v>2104</v>
      </c>
      <c r="AE268" s="179" t="s">
        <v>18</v>
      </c>
      <c r="AF268" s="191"/>
      <c r="AG268" s="175" t="s">
        <v>1173</v>
      </c>
      <c r="AH268" s="179">
        <f t="shared" si="45"/>
        <v>23</v>
      </c>
      <c r="AI268" s="179">
        <v>2</v>
      </c>
      <c r="AJ268" s="183">
        <f t="shared" si="46"/>
        <v>6372</v>
      </c>
      <c r="AK268" s="179">
        <f t="shared" si="47"/>
        <v>22.4</v>
      </c>
      <c r="AL268" s="183">
        <v>0</v>
      </c>
      <c r="AM268" s="183">
        <f t="shared" ref="AM268:AM331" si="54">IF(Z268="SI",4000*U268*AH268,0)</f>
        <v>920000</v>
      </c>
      <c r="AN268" s="183">
        <f t="shared" si="48"/>
        <v>0</v>
      </c>
      <c r="AO268" s="183">
        <f t="shared" si="49"/>
        <v>2700000</v>
      </c>
      <c r="AP268" s="183">
        <f t="shared" si="50"/>
        <v>7136640</v>
      </c>
      <c r="AR268" s="183">
        <f t="shared" si="51"/>
        <v>0</v>
      </c>
      <c r="AS268" s="183">
        <f t="shared" si="52"/>
        <v>10756640</v>
      </c>
      <c r="AT268" s="175" t="s">
        <v>1750</v>
      </c>
      <c r="AU268" s="175" t="s">
        <v>1751</v>
      </c>
      <c r="AV268" s="175" t="s">
        <v>1788</v>
      </c>
      <c r="AW268" s="175" t="s">
        <v>1789</v>
      </c>
    </row>
    <row r="269" spans="1:49" ht="24.95" customHeight="1" x14ac:dyDescent="0.25">
      <c r="A269" s="175">
        <v>14244</v>
      </c>
      <c r="B269" s="175" t="s">
        <v>86</v>
      </c>
      <c r="C269" s="175" t="s">
        <v>29</v>
      </c>
      <c r="D269" s="176">
        <v>1</v>
      </c>
      <c r="E269" s="176">
        <v>2025</v>
      </c>
      <c r="F269" s="176">
        <v>2025</v>
      </c>
      <c r="G269" s="175" t="s">
        <v>23</v>
      </c>
      <c r="H269" s="175" t="s">
        <v>86</v>
      </c>
      <c r="I269" s="175" t="s">
        <v>105</v>
      </c>
      <c r="J269" s="177" t="s">
        <v>854</v>
      </c>
      <c r="K269" s="175" t="s">
        <v>853</v>
      </c>
      <c r="L269" s="175" t="s">
        <v>345</v>
      </c>
      <c r="M269" s="175" t="s">
        <v>346</v>
      </c>
      <c r="N269" s="175">
        <v>4</v>
      </c>
      <c r="O269" s="175" t="s">
        <v>415</v>
      </c>
      <c r="P269" s="175" t="s">
        <v>884</v>
      </c>
      <c r="Q269" s="175" t="s">
        <v>1201</v>
      </c>
      <c r="R269" s="175" t="s">
        <v>339</v>
      </c>
      <c r="S269" s="175" t="s">
        <v>19</v>
      </c>
      <c r="T269" s="175" t="s">
        <v>1598</v>
      </c>
      <c r="U269" s="176">
        <v>20</v>
      </c>
      <c r="V269" s="176">
        <v>150</v>
      </c>
      <c r="W269" s="176">
        <v>12</v>
      </c>
      <c r="X269" s="179">
        <f t="shared" si="53"/>
        <v>162</v>
      </c>
      <c r="Y269" s="176">
        <v>4</v>
      </c>
      <c r="Z269" s="176" t="s">
        <v>20</v>
      </c>
      <c r="AA269" s="176" t="s">
        <v>18</v>
      </c>
      <c r="AB269" s="176" t="s">
        <v>20</v>
      </c>
      <c r="AC269" s="186" t="s">
        <v>21</v>
      </c>
      <c r="AD269" s="181" t="s">
        <v>2105</v>
      </c>
      <c r="AE269" s="179" t="s">
        <v>18</v>
      </c>
      <c r="AF269" s="191"/>
      <c r="AG269" s="175" t="s">
        <v>1173</v>
      </c>
      <c r="AH269" s="179">
        <f t="shared" si="45"/>
        <v>41</v>
      </c>
      <c r="AI269" s="179">
        <f>VLOOKUP(K269,[1]TRAMO!$A:$B,2,0)</f>
        <v>3</v>
      </c>
      <c r="AJ269" s="183">
        <f t="shared" si="46"/>
        <v>7434</v>
      </c>
      <c r="AK269" s="179">
        <f t="shared" si="47"/>
        <v>40.5</v>
      </c>
      <c r="AL269" s="183">
        <v>0</v>
      </c>
      <c r="AM269" s="183">
        <f t="shared" si="54"/>
        <v>3280000</v>
      </c>
      <c r="AN269" s="183">
        <f t="shared" si="48"/>
        <v>0</v>
      </c>
      <c r="AO269" s="183">
        <f t="shared" si="49"/>
        <v>5400000</v>
      </c>
      <c r="AP269" s="183">
        <f t="shared" si="50"/>
        <v>24086160</v>
      </c>
      <c r="AR269" s="183">
        <f t="shared" si="51"/>
        <v>0</v>
      </c>
      <c r="AS269" s="183">
        <f t="shared" si="52"/>
        <v>32766160</v>
      </c>
      <c r="AT269" s="175" t="s">
        <v>1600</v>
      </c>
      <c r="AU269" s="175" t="s">
        <v>1601</v>
      </c>
      <c r="AV269" s="175" t="s">
        <v>1602</v>
      </c>
      <c r="AW269" s="175" t="s">
        <v>1604</v>
      </c>
    </row>
    <row r="270" spans="1:49" ht="24.95" customHeight="1" x14ac:dyDescent="0.25">
      <c r="A270" s="175">
        <v>14268</v>
      </c>
      <c r="B270" s="175" t="s">
        <v>86</v>
      </c>
      <c r="C270" s="175" t="s">
        <v>29</v>
      </c>
      <c r="D270" s="176">
        <v>1</v>
      </c>
      <c r="E270" s="176">
        <v>2025</v>
      </c>
      <c r="F270" s="176">
        <v>2025</v>
      </c>
      <c r="G270" s="175" t="s">
        <v>23</v>
      </c>
      <c r="H270" s="175" t="s">
        <v>86</v>
      </c>
      <c r="I270" s="175" t="s">
        <v>105</v>
      </c>
      <c r="J270" s="177" t="s">
        <v>854</v>
      </c>
      <c r="K270" s="175" t="s">
        <v>853</v>
      </c>
      <c r="L270" s="175" t="s">
        <v>345</v>
      </c>
      <c r="M270" s="175" t="s">
        <v>346</v>
      </c>
      <c r="N270" s="175">
        <v>4</v>
      </c>
      <c r="O270" s="175" t="s">
        <v>415</v>
      </c>
      <c r="P270" s="175" t="s">
        <v>884</v>
      </c>
      <c r="Q270" s="175" t="s">
        <v>1201</v>
      </c>
      <c r="R270" s="175" t="s">
        <v>339</v>
      </c>
      <c r="S270" s="175" t="s">
        <v>19</v>
      </c>
      <c r="T270" s="175" t="s">
        <v>1598</v>
      </c>
      <c r="U270" s="176">
        <v>20</v>
      </c>
      <c r="V270" s="176">
        <v>150</v>
      </c>
      <c r="W270" s="176">
        <v>12</v>
      </c>
      <c r="X270" s="179">
        <f t="shared" si="53"/>
        <v>162</v>
      </c>
      <c r="Y270" s="176">
        <v>4</v>
      </c>
      <c r="Z270" s="176" t="s">
        <v>20</v>
      </c>
      <c r="AA270" s="176" t="s">
        <v>18</v>
      </c>
      <c r="AB270" s="176" t="s">
        <v>20</v>
      </c>
      <c r="AC270" s="186" t="s">
        <v>21</v>
      </c>
      <c r="AD270" s="181" t="s">
        <v>2106</v>
      </c>
      <c r="AE270" s="179" t="s">
        <v>18</v>
      </c>
      <c r="AF270" s="191"/>
      <c r="AG270" s="175" t="s">
        <v>1173</v>
      </c>
      <c r="AH270" s="179">
        <f t="shared" si="45"/>
        <v>41</v>
      </c>
      <c r="AI270" s="179">
        <f>VLOOKUP(K270,[1]TRAMO!$A:$B,2,0)</f>
        <v>3</v>
      </c>
      <c r="AJ270" s="183">
        <f t="shared" si="46"/>
        <v>7434</v>
      </c>
      <c r="AK270" s="179">
        <f t="shared" si="47"/>
        <v>40.5</v>
      </c>
      <c r="AL270" s="183">
        <v>0</v>
      </c>
      <c r="AM270" s="183">
        <f t="shared" si="54"/>
        <v>3280000</v>
      </c>
      <c r="AN270" s="183">
        <f t="shared" si="48"/>
        <v>0</v>
      </c>
      <c r="AO270" s="183">
        <f t="shared" si="49"/>
        <v>5400000</v>
      </c>
      <c r="AP270" s="183">
        <f t="shared" si="50"/>
        <v>24086160</v>
      </c>
      <c r="AR270" s="183">
        <f t="shared" si="51"/>
        <v>0</v>
      </c>
      <c r="AS270" s="183">
        <f t="shared" si="52"/>
        <v>32766160</v>
      </c>
      <c r="AT270" s="175" t="s">
        <v>1600</v>
      </c>
      <c r="AU270" s="175" t="s">
        <v>1601</v>
      </c>
      <c r="AV270" s="175" t="s">
        <v>1602</v>
      </c>
      <c r="AW270" s="175" t="s">
        <v>1604</v>
      </c>
    </row>
    <row r="271" spans="1:49" ht="24.95" customHeight="1" x14ac:dyDescent="0.25">
      <c r="A271" s="175">
        <v>14227</v>
      </c>
      <c r="B271" s="175" t="s">
        <v>86</v>
      </c>
      <c r="C271" s="175" t="s">
        <v>29</v>
      </c>
      <c r="D271" s="176">
        <v>1</v>
      </c>
      <c r="E271" s="176">
        <v>2025</v>
      </c>
      <c r="F271" s="176">
        <v>2025</v>
      </c>
      <c r="G271" s="175" t="s">
        <v>23</v>
      </c>
      <c r="H271" s="175" t="s">
        <v>86</v>
      </c>
      <c r="I271" s="175" t="s">
        <v>105</v>
      </c>
      <c r="J271" s="177" t="s">
        <v>2107</v>
      </c>
      <c r="K271" s="175" t="s">
        <v>2108</v>
      </c>
      <c r="L271" s="175" t="s">
        <v>345</v>
      </c>
      <c r="M271" s="175" t="s">
        <v>346</v>
      </c>
      <c r="N271" s="175">
        <v>14</v>
      </c>
      <c r="O271" s="175" t="s">
        <v>1722</v>
      </c>
      <c r="P271" s="175" t="s">
        <v>828</v>
      </c>
      <c r="Q271" s="175" t="s">
        <v>817</v>
      </c>
      <c r="R271" s="175" t="s">
        <v>339</v>
      </c>
      <c r="S271" s="175" t="s">
        <v>19</v>
      </c>
      <c r="T271" s="175" t="s">
        <v>337</v>
      </c>
      <c r="U271" s="176">
        <v>10</v>
      </c>
      <c r="V271" s="176">
        <v>70</v>
      </c>
      <c r="W271" s="176">
        <v>12</v>
      </c>
      <c r="X271" s="179">
        <f t="shared" si="53"/>
        <v>82</v>
      </c>
      <c r="Y271" s="176">
        <v>4</v>
      </c>
      <c r="Z271" s="176" t="s">
        <v>20</v>
      </c>
      <c r="AA271" s="176" t="s">
        <v>20</v>
      </c>
      <c r="AB271" s="185" t="s">
        <v>18</v>
      </c>
      <c r="AC271" s="186" t="s">
        <v>21</v>
      </c>
      <c r="AD271" s="181" t="s">
        <v>2109</v>
      </c>
      <c r="AE271" s="179" t="s">
        <v>18</v>
      </c>
      <c r="AF271" s="191"/>
      <c r="AG271" s="175" t="s">
        <v>1173</v>
      </c>
      <c r="AH271" s="179">
        <f t="shared" si="45"/>
        <v>21</v>
      </c>
      <c r="AI271" s="179">
        <v>2</v>
      </c>
      <c r="AJ271" s="183">
        <f t="shared" si="46"/>
        <v>6372</v>
      </c>
      <c r="AK271" s="179">
        <f t="shared" si="47"/>
        <v>20.5</v>
      </c>
      <c r="AL271" s="183">
        <v>0</v>
      </c>
      <c r="AM271" s="183">
        <f t="shared" si="54"/>
        <v>840000</v>
      </c>
      <c r="AN271" s="183">
        <f t="shared" si="48"/>
        <v>1050000</v>
      </c>
      <c r="AO271" s="183">
        <f t="shared" si="49"/>
        <v>0</v>
      </c>
      <c r="AP271" s="183">
        <f t="shared" si="50"/>
        <v>5225040</v>
      </c>
      <c r="AR271" s="183">
        <f t="shared" si="51"/>
        <v>0</v>
      </c>
      <c r="AS271" s="183">
        <f t="shared" si="52"/>
        <v>7115040</v>
      </c>
      <c r="AT271" s="175" t="s">
        <v>2072</v>
      </c>
      <c r="AU271" s="175" t="s">
        <v>2073</v>
      </c>
      <c r="AV271" s="175" t="s">
        <v>2074</v>
      </c>
      <c r="AW271" s="175" t="s">
        <v>2110</v>
      </c>
    </row>
    <row r="272" spans="1:49" ht="24.95" customHeight="1" x14ac:dyDescent="0.25">
      <c r="A272" s="175">
        <v>14273</v>
      </c>
      <c r="B272" s="175" t="s">
        <v>98</v>
      </c>
      <c r="C272" s="175" t="s">
        <v>41</v>
      </c>
      <c r="D272" s="176">
        <v>1</v>
      </c>
      <c r="E272" s="176">
        <v>2025</v>
      </c>
      <c r="F272" s="176">
        <v>2025</v>
      </c>
      <c r="G272" s="175" t="s">
        <v>23</v>
      </c>
      <c r="H272" s="175" t="s">
        <v>98</v>
      </c>
      <c r="I272" s="175" t="s">
        <v>1175</v>
      </c>
      <c r="J272" s="177" t="s">
        <v>772</v>
      </c>
      <c r="K272" s="175" t="s">
        <v>771</v>
      </c>
      <c r="L272" s="175" t="s">
        <v>345</v>
      </c>
      <c r="M272" s="175" t="s">
        <v>346</v>
      </c>
      <c r="N272" s="175">
        <v>13</v>
      </c>
      <c r="O272" s="175" t="s">
        <v>382</v>
      </c>
      <c r="P272" s="175" t="s">
        <v>416</v>
      </c>
      <c r="Q272" s="175" t="s">
        <v>702</v>
      </c>
      <c r="R272" s="175" t="s">
        <v>339</v>
      </c>
      <c r="S272" s="175" t="s">
        <v>19</v>
      </c>
      <c r="T272" s="175" t="s">
        <v>347</v>
      </c>
      <c r="U272" s="176">
        <v>11</v>
      </c>
      <c r="V272" s="176">
        <v>100</v>
      </c>
      <c r="W272" s="176">
        <v>12</v>
      </c>
      <c r="X272" s="179">
        <f t="shared" si="53"/>
        <v>112</v>
      </c>
      <c r="Y272" s="176">
        <v>3</v>
      </c>
      <c r="Z272" s="176" t="s">
        <v>20</v>
      </c>
      <c r="AA272" s="176" t="s">
        <v>18</v>
      </c>
      <c r="AB272" s="176" t="s">
        <v>20</v>
      </c>
      <c r="AC272" s="186" t="s">
        <v>21</v>
      </c>
      <c r="AD272" s="181" t="s">
        <v>2111</v>
      </c>
      <c r="AE272" s="179" t="s">
        <v>18</v>
      </c>
      <c r="AF272" s="191"/>
      <c r="AG272" s="175" t="s">
        <v>1173</v>
      </c>
      <c r="AH272" s="179">
        <f t="shared" si="45"/>
        <v>38</v>
      </c>
      <c r="AI272" s="179">
        <f>VLOOKUP(K272,[1]TRAMO!$A:$B,2,0)</f>
        <v>2</v>
      </c>
      <c r="AJ272" s="183">
        <f t="shared" si="46"/>
        <v>6372</v>
      </c>
      <c r="AK272" s="179">
        <f t="shared" si="47"/>
        <v>37.333333333333336</v>
      </c>
      <c r="AL272" s="183">
        <v>0</v>
      </c>
      <c r="AM272" s="183">
        <f t="shared" si="54"/>
        <v>1672000</v>
      </c>
      <c r="AN272" s="183">
        <f t="shared" si="48"/>
        <v>0</v>
      </c>
      <c r="AO272" s="183">
        <f t="shared" si="49"/>
        <v>2970000</v>
      </c>
      <c r="AP272" s="183">
        <f t="shared" si="50"/>
        <v>7850304</v>
      </c>
      <c r="AR272" s="183">
        <f t="shared" si="51"/>
        <v>0</v>
      </c>
      <c r="AS272" s="183">
        <f t="shared" si="52"/>
        <v>12492304</v>
      </c>
      <c r="AT272" s="175" t="s">
        <v>1729</v>
      </c>
      <c r="AU272" s="175" t="s">
        <v>1730</v>
      </c>
      <c r="AV272" s="175" t="s">
        <v>2112</v>
      </c>
      <c r="AW272" s="175" t="s">
        <v>2113</v>
      </c>
    </row>
    <row r="273" spans="1:49" ht="24.95" customHeight="1" x14ac:dyDescent="0.25">
      <c r="A273" s="175">
        <v>14308</v>
      </c>
      <c r="B273" s="175" t="s">
        <v>96</v>
      </c>
      <c r="C273" s="175" t="s">
        <v>39</v>
      </c>
      <c r="D273" s="176">
        <v>4</v>
      </c>
      <c r="E273" s="176">
        <v>2025</v>
      </c>
      <c r="F273" s="176">
        <v>2025</v>
      </c>
      <c r="G273" s="175" t="s">
        <v>23</v>
      </c>
      <c r="H273" s="175" t="s">
        <v>96</v>
      </c>
      <c r="I273" s="175" t="s">
        <v>1042</v>
      </c>
      <c r="J273" s="177" t="s">
        <v>772</v>
      </c>
      <c r="K273" s="175" t="s">
        <v>771</v>
      </c>
      <c r="L273" s="175" t="s">
        <v>345</v>
      </c>
      <c r="M273" s="175" t="s">
        <v>346</v>
      </c>
      <c r="N273" s="175">
        <v>5</v>
      </c>
      <c r="O273" s="175" t="s">
        <v>395</v>
      </c>
      <c r="P273" s="175" t="s">
        <v>2114</v>
      </c>
      <c r="Q273" s="175" t="s">
        <v>385</v>
      </c>
      <c r="R273" s="175" t="s">
        <v>339</v>
      </c>
      <c r="S273" s="175" t="s">
        <v>19</v>
      </c>
      <c r="T273" s="175" t="s">
        <v>337</v>
      </c>
      <c r="U273" s="176">
        <v>14</v>
      </c>
      <c r="V273" s="176">
        <v>100</v>
      </c>
      <c r="W273" s="176">
        <v>12</v>
      </c>
      <c r="X273" s="179">
        <f t="shared" si="53"/>
        <v>112</v>
      </c>
      <c r="Y273" s="176">
        <v>5</v>
      </c>
      <c r="Z273" s="176" t="s">
        <v>20</v>
      </c>
      <c r="AA273" s="176" t="s">
        <v>18</v>
      </c>
      <c r="AB273" s="176" t="s">
        <v>20</v>
      </c>
      <c r="AC273" s="186" t="s">
        <v>21</v>
      </c>
      <c r="AD273" s="181" t="s">
        <v>2115</v>
      </c>
      <c r="AE273" s="179" t="s">
        <v>18</v>
      </c>
      <c r="AF273" s="191"/>
      <c r="AG273" s="175" t="s">
        <v>1173</v>
      </c>
      <c r="AH273" s="179">
        <f t="shared" si="45"/>
        <v>23</v>
      </c>
      <c r="AI273" s="179">
        <f>VLOOKUP(K273,[1]TRAMO!$A:$B,2,0)</f>
        <v>2</v>
      </c>
      <c r="AJ273" s="183">
        <f t="shared" si="46"/>
        <v>6372</v>
      </c>
      <c r="AK273" s="179">
        <f t="shared" si="47"/>
        <v>22.4</v>
      </c>
      <c r="AL273" s="183">
        <v>0</v>
      </c>
      <c r="AM273" s="183">
        <f t="shared" si="54"/>
        <v>1288000</v>
      </c>
      <c r="AN273" s="183">
        <f t="shared" si="48"/>
        <v>0</v>
      </c>
      <c r="AO273" s="183">
        <f t="shared" si="49"/>
        <v>3780000</v>
      </c>
      <c r="AP273" s="183">
        <f t="shared" si="50"/>
        <v>9991296</v>
      </c>
      <c r="AR273" s="183">
        <f t="shared" si="51"/>
        <v>0</v>
      </c>
      <c r="AS273" s="183">
        <f t="shared" si="52"/>
        <v>15059296</v>
      </c>
      <c r="AT273" s="175" t="s">
        <v>1818</v>
      </c>
      <c r="AU273" s="175" t="s">
        <v>1751</v>
      </c>
      <c r="AV273" s="175" t="s">
        <v>1788</v>
      </c>
      <c r="AW273" s="175" t="s">
        <v>1043</v>
      </c>
    </row>
    <row r="274" spans="1:49" ht="24.95" customHeight="1" x14ac:dyDescent="0.25">
      <c r="A274" s="175">
        <v>14309</v>
      </c>
      <c r="B274" s="175" t="s">
        <v>96</v>
      </c>
      <c r="C274" s="175" t="s">
        <v>39</v>
      </c>
      <c r="D274" s="176">
        <v>4</v>
      </c>
      <c r="E274" s="176">
        <v>2025</v>
      </c>
      <c r="F274" s="176">
        <v>2025</v>
      </c>
      <c r="G274" s="175" t="s">
        <v>23</v>
      </c>
      <c r="H274" s="175" t="s">
        <v>96</v>
      </c>
      <c r="I274" s="175" t="s">
        <v>1042</v>
      </c>
      <c r="J274" s="177" t="s">
        <v>772</v>
      </c>
      <c r="K274" s="175" t="s">
        <v>771</v>
      </c>
      <c r="L274" s="175" t="s">
        <v>345</v>
      </c>
      <c r="M274" s="175" t="s">
        <v>346</v>
      </c>
      <c r="N274" s="175">
        <v>10</v>
      </c>
      <c r="O274" s="175" t="s">
        <v>706</v>
      </c>
      <c r="P274" s="175" t="s">
        <v>1014</v>
      </c>
      <c r="Q274" s="175" t="s">
        <v>385</v>
      </c>
      <c r="R274" s="175" t="s">
        <v>339</v>
      </c>
      <c r="S274" s="175" t="s">
        <v>19</v>
      </c>
      <c r="T274" s="175" t="s">
        <v>337</v>
      </c>
      <c r="U274" s="176">
        <v>12</v>
      </c>
      <c r="V274" s="176">
        <v>100</v>
      </c>
      <c r="W274" s="176">
        <v>12</v>
      </c>
      <c r="X274" s="179">
        <f t="shared" si="53"/>
        <v>112</v>
      </c>
      <c r="Y274" s="176">
        <v>5</v>
      </c>
      <c r="Z274" s="176" t="s">
        <v>20</v>
      </c>
      <c r="AA274" s="176" t="s">
        <v>18</v>
      </c>
      <c r="AB274" s="176" t="s">
        <v>20</v>
      </c>
      <c r="AC274" s="186" t="s">
        <v>21</v>
      </c>
      <c r="AD274" s="181" t="s">
        <v>2116</v>
      </c>
      <c r="AE274" s="179" t="s">
        <v>18</v>
      </c>
      <c r="AF274" s="191"/>
      <c r="AG274" s="175" t="s">
        <v>1173</v>
      </c>
      <c r="AH274" s="179">
        <f t="shared" si="45"/>
        <v>23</v>
      </c>
      <c r="AI274" s="179">
        <f>VLOOKUP(K274,[1]TRAMO!$A:$B,2,0)</f>
        <v>2</v>
      </c>
      <c r="AJ274" s="183">
        <f t="shared" si="46"/>
        <v>6372</v>
      </c>
      <c r="AK274" s="179">
        <f t="shared" si="47"/>
        <v>22.4</v>
      </c>
      <c r="AL274" s="183">
        <v>0</v>
      </c>
      <c r="AM274" s="183">
        <f t="shared" si="54"/>
        <v>1104000</v>
      </c>
      <c r="AN274" s="183">
        <f t="shared" si="48"/>
        <v>0</v>
      </c>
      <c r="AO274" s="183">
        <f t="shared" si="49"/>
        <v>3240000</v>
      </c>
      <c r="AP274" s="183">
        <f t="shared" si="50"/>
        <v>8563968</v>
      </c>
      <c r="AR274" s="183">
        <f t="shared" si="51"/>
        <v>0</v>
      </c>
      <c r="AS274" s="183">
        <f t="shared" si="52"/>
        <v>12907968</v>
      </c>
      <c r="AT274" s="175" t="s">
        <v>1750</v>
      </c>
      <c r="AU274" s="175" t="s">
        <v>2117</v>
      </c>
      <c r="AV274" s="175" t="s">
        <v>1788</v>
      </c>
      <c r="AW274" s="175" t="s">
        <v>1789</v>
      </c>
    </row>
    <row r="275" spans="1:49" ht="24.95" customHeight="1" x14ac:dyDescent="0.25">
      <c r="A275" s="175">
        <v>14523</v>
      </c>
      <c r="B275" s="175" t="s">
        <v>83</v>
      </c>
      <c r="C275" s="175" t="s">
        <v>1022</v>
      </c>
      <c r="D275" s="176">
        <v>1</v>
      </c>
      <c r="E275" s="176">
        <v>2025</v>
      </c>
      <c r="F275" s="176">
        <v>2025</v>
      </c>
      <c r="G275" s="175" t="s">
        <v>23</v>
      </c>
      <c r="H275" s="175" t="s">
        <v>83</v>
      </c>
      <c r="I275" s="175" t="s">
        <v>102</v>
      </c>
      <c r="J275" s="177" t="s">
        <v>772</v>
      </c>
      <c r="K275" s="175" t="s">
        <v>771</v>
      </c>
      <c r="L275" s="175" t="s">
        <v>345</v>
      </c>
      <c r="M275" s="175" t="s">
        <v>346</v>
      </c>
      <c r="N275" s="175">
        <v>12</v>
      </c>
      <c r="O275" s="175" t="s">
        <v>426</v>
      </c>
      <c r="P275" s="175" t="s">
        <v>2118</v>
      </c>
      <c r="Q275" s="175" t="s">
        <v>385</v>
      </c>
      <c r="R275" s="175" t="s">
        <v>339</v>
      </c>
      <c r="S275" s="175" t="s">
        <v>19</v>
      </c>
      <c r="T275" s="175" t="s">
        <v>337</v>
      </c>
      <c r="U275" s="176">
        <v>20</v>
      </c>
      <c r="V275" s="176">
        <v>100</v>
      </c>
      <c r="W275" s="176">
        <v>12</v>
      </c>
      <c r="X275" s="179">
        <f t="shared" si="53"/>
        <v>112</v>
      </c>
      <c r="Y275" s="176">
        <v>4</v>
      </c>
      <c r="Z275" s="176" t="s">
        <v>20</v>
      </c>
      <c r="AA275" s="176" t="s">
        <v>20</v>
      </c>
      <c r="AB275" s="176" t="s">
        <v>20</v>
      </c>
      <c r="AC275" s="186" t="s">
        <v>21</v>
      </c>
      <c r="AD275" s="181" t="s">
        <v>2119</v>
      </c>
      <c r="AE275" s="179" t="s">
        <v>18</v>
      </c>
      <c r="AF275" s="191"/>
      <c r="AG275" s="175" t="s">
        <v>1173</v>
      </c>
      <c r="AH275" s="179">
        <f t="shared" si="45"/>
        <v>28</v>
      </c>
      <c r="AI275" s="179">
        <f>VLOOKUP(K275,[1]TRAMO!$A:$B,2,0)</f>
        <v>2</v>
      </c>
      <c r="AJ275" s="183">
        <f t="shared" si="46"/>
        <v>6372</v>
      </c>
      <c r="AK275" s="179">
        <f t="shared" si="47"/>
        <v>28</v>
      </c>
      <c r="AL275" s="183">
        <v>0</v>
      </c>
      <c r="AM275" s="183">
        <f t="shared" si="54"/>
        <v>2240000</v>
      </c>
      <c r="AN275" s="183">
        <f t="shared" si="48"/>
        <v>2800000</v>
      </c>
      <c r="AO275" s="183">
        <f t="shared" si="49"/>
        <v>5400000</v>
      </c>
      <c r="AP275" s="183">
        <f t="shared" si="50"/>
        <v>14273280</v>
      </c>
      <c r="AR275" s="183">
        <f t="shared" si="51"/>
        <v>0</v>
      </c>
      <c r="AS275" s="183">
        <f t="shared" si="52"/>
        <v>24713280</v>
      </c>
      <c r="AT275" s="175" t="s">
        <v>2034</v>
      </c>
      <c r="AU275" s="175" t="s">
        <v>2035</v>
      </c>
      <c r="AV275" s="175" t="s">
        <v>2120</v>
      </c>
      <c r="AW275" s="175" t="s">
        <v>1789</v>
      </c>
    </row>
    <row r="276" spans="1:49" ht="24.95" customHeight="1" x14ac:dyDescent="0.25">
      <c r="A276" s="175">
        <v>14524</v>
      </c>
      <c r="B276" s="175" t="s">
        <v>83</v>
      </c>
      <c r="C276" s="175" t="s">
        <v>1022</v>
      </c>
      <c r="D276" s="176">
        <v>1</v>
      </c>
      <c r="E276" s="176">
        <v>2025</v>
      </c>
      <c r="F276" s="176">
        <v>2025</v>
      </c>
      <c r="G276" s="175" t="s">
        <v>23</v>
      </c>
      <c r="H276" s="175" t="s">
        <v>83</v>
      </c>
      <c r="I276" s="175" t="s">
        <v>102</v>
      </c>
      <c r="J276" s="177" t="s">
        <v>772</v>
      </c>
      <c r="K276" s="175" t="s">
        <v>771</v>
      </c>
      <c r="L276" s="175" t="s">
        <v>345</v>
      </c>
      <c r="M276" s="175" t="s">
        <v>346</v>
      </c>
      <c r="N276" s="175">
        <v>8</v>
      </c>
      <c r="O276" s="175" t="s">
        <v>709</v>
      </c>
      <c r="P276" s="175" t="s">
        <v>877</v>
      </c>
      <c r="Q276" s="175" t="s">
        <v>385</v>
      </c>
      <c r="R276" s="175" t="s">
        <v>339</v>
      </c>
      <c r="S276" s="175" t="s">
        <v>19</v>
      </c>
      <c r="T276" s="175" t="s">
        <v>337</v>
      </c>
      <c r="U276" s="176">
        <v>20</v>
      </c>
      <c r="V276" s="176">
        <v>100</v>
      </c>
      <c r="W276" s="176">
        <v>12</v>
      </c>
      <c r="X276" s="179">
        <f t="shared" si="53"/>
        <v>112</v>
      </c>
      <c r="Y276" s="176">
        <v>4</v>
      </c>
      <c r="Z276" s="176" t="s">
        <v>20</v>
      </c>
      <c r="AA276" s="176" t="s">
        <v>20</v>
      </c>
      <c r="AB276" s="176" t="s">
        <v>20</v>
      </c>
      <c r="AC276" s="186" t="s">
        <v>21</v>
      </c>
      <c r="AD276" s="181" t="s">
        <v>2121</v>
      </c>
      <c r="AE276" s="179" t="s">
        <v>18</v>
      </c>
      <c r="AF276" s="191"/>
      <c r="AG276" s="175" t="s">
        <v>1173</v>
      </c>
      <c r="AH276" s="179">
        <f t="shared" si="45"/>
        <v>28</v>
      </c>
      <c r="AI276" s="179">
        <f>VLOOKUP(K276,[1]TRAMO!$A:$B,2,0)</f>
        <v>2</v>
      </c>
      <c r="AJ276" s="183">
        <f t="shared" si="46"/>
        <v>6372</v>
      </c>
      <c r="AK276" s="179">
        <f t="shared" si="47"/>
        <v>28</v>
      </c>
      <c r="AL276" s="183">
        <v>0</v>
      </c>
      <c r="AM276" s="183">
        <f t="shared" si="54"/>
        <v>2240000</v>
      </c>
      <c r="AN276" s="183">
        <f t="shared" si="48"/>
        <v>2800000</v>
      </c>
      <c r="AO276" s="183">
        <f t="shared" si="49"/>
        <v>5400000</v>
      </c>
      <c r="AP276" s="183">
        <f t="shared" si="50"/>
        <v>14273280</v>
      </c>
      <c r="AR276" s="183">
        <f t="shared" si="51"/>
        <v>0</v>
      </c>
      <c r="AS276" s="183">
        <f t="shared" si="52"/>
        <v>24713280</v>
      </c>
      <c r="AT276" s="175" t="s">
        <v>2034</v>
      </c>
      <c r="AU276" s="175" t="s">
        <v>2035</v>
      </c>
      <c r="AV276" s="175" t="s">
        <v>2120</v>
      </c>
      <c r="AW276" s="175" t="s">
        <v>1789</v>
      </c>
    </row>
    <row r="277" spans="1:49" ht="24.95" customHeight="1" x14ac:dyDescent="0.25">
      <c r="A277" s="175">
        <v>14226</v>
      </c>
      <c r="B277" s="175" t="s">
        <v>86</v>
      </c>
      <c r="C277" s="175" t="s">
        <v>29</v>
      </c>
      <c r="D277" s="176">
        <v>1</v>
      </c>
      <c r="E277" s="176">
        <v>2025</v>
      </c>
      <c r="F277" s="176">
        <v>2025</v>
      </c>
      <c r="G277" s="175" t="s">
        <v>23</v>
      </c>
      <c r="H277" s="175" t="s">
        <v>86</v>
      </c>
      <c r="I277" s="175" t="s">
        <v>105</v>
      </c>
      <c r="J277" s="177" t="s">
        <v>783</v>
      </c>
      <c r="K277" s="175" t="s">
        <v>782</v>
      </c>
      <c r="L277" s="175" t="s">
        <v>345</v>
      </c>
      <c r="M277" s="175" t="s">
        <v>346</v>
      </c>
      <c r="N277" s="175">
        <v>9</v>
      </c>
      <c r="O277" s="175" t="s">
        <v>424</v>
      </c>
      <c r="P277" s="175" t="s">
        <v>425</v>
      </c>
      <c r="Q277" s="175" t="s">
        <v>817</v>
      </c>
      <c r="R277" s="175" t="s">
        <v>339</v>
      </c>
      <c r="S277" s="175" t="s">
        <v>19</v>
      </c>
      <c r="T277" s="175" t="s">
        <v>337</v>
      </c>
      <c r="U277" s="176">
        <v>10</v>
      </c>
      <c r="V277" s="176">
        <v>115</v>
      </c>
      <c r="W277" s="176">
        <v>12</v>
      </c>
      <c r="X277" s="179">
        <f t="shared" si="53"/>
        <v>127</v>
      </c>
      <c r="Y277" s="176">
        <v>4</v>
      </c>
      <c r="Z277" s="176" t="s">
        <v>20</v>
      </c>
      <c r="AA277" s="176" t="s">
        <v>20</v>
      </c>
      <c r="AB277" s="185" t="s">
        <v>18</v>
      </c>
      <c r="AC277" s="186" t="s">
        <v>21</v>
      </c>
      <c r="AD277" s="181" t="s">
        <v>2122</v>
      </c>
      <c r="AE277" s="179" t="s">
        <v>18</v>
      </c>
      <c r="AF277" s="191"/>
      <c r="AG277" s="175" t="s">
        <v>1173</v>
      </c>
      <c r="AH277" s="179">
        <f t="shared" si="45"/>
        <v>32</v>
      </c>
      <c r="AI277" s="179">
        <f>VLOOKUP(K277,[1]TRAMO!$A:$B,2,0)</f>
        <v>2</v>
      </c>
      <c r="AJ277" s="183">
        <f t="shared" si="46"/>
        <v>6372</v>
      </c>
      <c r="AK277" s="179">
        <f t="shared" si="47"/>
        <v>31.75</v>
      </c>
      <c r="AL277" s="183">
        <v>0</v>
      </c>
      <c r="AM277" s="183">
        <f t="shared" si="54"/>
        <v>1280000</v>
      </c>
      <c r="AN277" s="183">
        <f t="shared" si="48"/>
        <v>1600000</v>
      </c>
      <c r="AO277" s="183">
        <f t="shared" si="49"/>
        <v>0</v>
      </c>
      <c r="AP277" s="183">
        <f t="shared" si="50"/>
        <v>8092440</v>
      </c>
      <c r="AR277" s="183">
        <f t="shared" si="51"/>
        <v>0</v>
      </c>
      <c r="AS277" s="183">
        <f t="shared" si="52"/>
        <v>10972440</v>
      </c>
      <c r="AT277" s="175" t="s">
        <v>2072</v>
      </c>
      <c r="AU277" s="175" t="s">
        <v>2073</v>
      </c>
      <c r="AV277" s="175" t="s">
        <v>2074</v>
      </c>
      <c r="AW277" s="175" t="s">
        <v>2110</v>
      </c>
    </row>
    <row r="278" spans="1:49" ht="24.95" customHeight="1" x14ac:dyDescent="0.25">
      <c r="A278" s="175">
        <v>14364</v>
      </c>
      <c r="B278" s="175" t="s">
        <v>83</v>
      </c>
      <c r="C278" s="175" t="s">
        <v>1022</v>
      </c>
      <c r="D278" s="176">
        <v>1</v>
      </c>
      <c r="E278" s="176">
        <v>2025</v>
      </c>
      <c r="F278" s="176">
        <v>2025</v>
      </c>
      <c r="G278" s="175" t="s">
        <v>23</v>
      </c>
      <c r="H278" s="175" t="s">
        <v>83</v>
      </c>
      <c r="I278" s="175" t="s">
        <v>102</v>
      </c>
      <c r="J278" s="177" t="s">
        <v>804</v>
      </c>
      <c r="K278" s="175" t="s">
        <v>803</v>
      </c>
      <c r="L278" s="175" t="s">
        <v>345</v>
      </c>
      <c r="M278" s="175" t="s">
        <v>346</v>
      </c>
      <c r="N278" s="175">
        <v>7</v>
      </c>
      <c r="O278" s="175" t="s">
        <v>428</v>
      </c>
      <c r="P278" s="175" t="s">
        <v>419</v>
      </c>
      <c r="Q278" s="175" t="s">
        <v>702</v>
      </c>
      <c r="R278" s="175" t="s">
        <v>339</v>
      </c>
      <c r="S278" s="175" t="s">
        <v>19</v>
      </c>
      <c r="T278" s="175" t="s">
        <v>337</v>
      </c>
      <c r="U278" s="176">
        <v>10</v>
      </c>
      <c r="V278" s="176">
        <v>172</v>
      </c>
      <c r="W278" s="176">
        <v>12</v>
      </c>
      <c r="X278" s="179">
        <f t="shared" si="53"/>
        <v>184</v>
      </c>
      <c r="Y278" s="176">
        <v>4</v>
      </c>
      <c r="Z278" s="176" t="s">
        <v>20</v>
      </c>
      <c r="AA278" s="176" t="s">
        <v>20</v>
      </c>
      <c r="AB278" s="176" t="s">
        <v>20</v>
      </c>
      <c r="AC278" s="186" t="s">
        <v>21</v>
      </c>
      <c r="AD278" s="181" t="s">
        <v>2123</v>
      </c>
      <c r="AE278" s="179" t="s">
        <v>18</v>
      </c>
      <c r="AF278" s="191"/>
      <c r="AG278" s="175" t="s">
        <v>1173</v>
      </c>
      <c r="AH278" s="179">
        <f t="shared" si="45"/>
        <v>46</v>
      </c>
      <c r="AI278" s="179">
        <f>VLOOKUP(K278,[1]TRAMO!$A:$B,2,0)</f>
        <v>2</v>
      </c>
      <c r="AJ278" s="183">
        <f t="shared" si="46"/>
        <v>6372</v>
      </c>
      <c r="AK278" s="179">
        <f t="shared" si="47"/>
        <v>46</v>
      </c>
      <c r="AL278" s="183">
        <v>0</v>
      </c>
      <c r="AM278" s="183">
        <f t="shared" si="54"/>
        <v>1840000</v>
      </c>
      <c r="AN278" s="183">
        <f t="shared" si="48"/>
        <v>2300000</v>
      </c>
      <c r="AO278" s="183">
        <f t="shared" si="49"/>
        <v>2700000</v>
      </c>
      <c r="AP278" s="183">
        <f t="shared" si="50"/>
        <v>11724480</v>
      </c>
      <c r="AR278" s="183">
        <f t="shared" si="51"/>
        <v>0</v>
      </c>
      <c r="AS278" s="183">
        <f t="shared" si="52"/>
        <v>18564480</v>
      </c>
      <c r="AT278" s="175" t="s">
        <v>1535</v>
      </c>
      <c r="AU278" s="175" t="s">
        <v>1536</v>
      </c>
      <c r="AV278" s="175" t="s">
        <v>2032</v>
      </c>
      <c r="AW278" s="175" t="s">
        <v>1023</v>
      </c>
    </row>
    <row r="279" spans="1:49" ht="24.95" customHeight="1" x14ac:dyDescent="0.25">
      <c r="A279" s="175">
        <v>14394</v>
      </c>
      <c r="B279" s="175" t="s">
        <v>98</v>
      </c>
      <c r="C279" s="175" t="s">
        <v>41</v>
      </c>
      <c r="D279" s="176">
        <v>1</v>
      </c>
      <c r="E279" s="176">
        <v>2025</v>
      </c>
      <c r="F279" s="176">
        <v>2025</v>
      </c>
      <c r="G279" s="175" t="s">
        <v>23</v>
      </c>
      <c r="H279" s="175" t="s">
        <v>98</v>
      </c>
      <c r="I279" s="175" t="s">
        <v>1175</v>
      </c>
      <c r="J279" s="177" t="s">
        <v>400</v>
      </c>
      <c r="K279" s="175" t="s">
        <v>401</v>
      </c>
      <c r="L279" s="175" t="s">
        <v>345</v>
      </c>
      <c r="M279" s="175" t="s">
        <v>346</v>
      </c>
      <c r="N279" s="175">
        <v>9</v>
      </c>
      <c r="O279" s="175" t="s">
        <v>424</v>
      </c>
      <c r="P279" s="175" t="s">
        <v>842</v>
      </c>
      <c r="Q279" s="175" t="s">
        <v>1201</v>
      </c>
      <c r="R279" s="175" t="s">
        <v>339</v>
      </c>
      <c r="S279" s="175" t="s">
        <v>19</v>
      </c>
      <c r="T279" s="175" t="s">
        <v>337</v>
      </c>
      <c r="U279" s="176">
        <v>15</v>
      </c>
      <c r="V279" s="176">
        <v>195</v>
      </c>
      <c r="W279" s="176">
        <v>12</v>
      </c>
      <c r="X279" s="179">
        <f t="shared" si="53"/>
        <v>207</v>
      </c>
      <c r="Y279" s="176">
        <v>4</v>
      </c>
      <c r="Z279" s="176" t="s">
        <v>20</v>
      </c>
      <c r="AA279" s="176" t="s">
        <v>18</v>
      </c>
      <c r="AB279" s="176" t="s">
        <v>20</v>
      </c>
      <c r="AC279" s="186" t="s">
        <v>21</v>
      </c>
      <c r="AD279" s="181" t="s">
        <v>1570</v>
      </c>
      <c r="AE279" s="179" t="s">
        <v>18</v>
      </c>
      <c r="AF279" s="191"/>
      <c r="AG279" s="175" t="s">
        <v>1173</v>
      </c>
      <c r="AH279" s="179">
        <f t="shared" si="45"/>
        <v>52</v>
      </c>
      <c r="AI279" s="179">
        <f>VLOOKUP(K279,[1]TRAMO!$A:$B,2,0)</f>
        <v>2</v>
      </c>
      <c r="AJ279" s="183">
        <f t="shared" si="46"/>
        <v>6372</v>
      </c>
      <c r="AK279" s="179">
        <f t="shared" si="47"/>
        <v>51.75</v>
      </c>
      <c r="AL279" s="183">
        <v>0</v>
      </c>
      <c r="AM279" s="183">
        <f t="shared" si="54"/>
        <v>3120000</v>
      </c>
      <c r="AN279" s="183">
        <f t="shared" si="48"/>
        <v>0</v>
      </c>
      <c r="AO279" s="183">
        <f t="shared" si="49"/>
        <v>4050000</v>
      </c>
      <c r="AP279" s="183">
        <f t="shared" si="50"/>
        <v>19785060</v>
      </c>
      <c r="AR279" s="183">
        <f t="shared" si="51"/>
        <v>0</v>
      </c>
      <c r="AS279" s="183">
        <f t="shared" si="52"/>
        <v>26955060</v>
      </c>
      <c r="AT279" s="175" t="s">
        <v>1571</v>
      </c>
      <c r="AU279" s="175" t="s">
        <v>1572</v>
      </c>
      <c r="AV279" s="175" t="s">
        <v>1573</v>
      </c>
      <c r="AW279" s="175" t="s">
        <v>843</v>
      </c>
    </row>
    <row r="280" spans="1:49" ht="24.95" customHeight="1" x14ac:dyDescent="0.25">
      <c r="A280" s="175">
        <v>14293</v>
      </c>
      <c r="B280" s="175" t="s">
        <v>96</v>
      </c>
      <c r="C280" s="175" t="s">
        <v>39</v>
      </c>
      <c r="D280" s="176">
        <v>4</v>
      </c>
      <c r="E280" s="176">
        <v>2025</v>
      </c>
      <c r="F280" s="176">
        <v>2025</v>
      </c>
      <c r="G280" s="175" t="s">
        <v>23</v>
      </c>
      <c r="H280" s="175" t="s">
        <v>96</v>
      </c>
      <c r="I280" s="175" t="s">
        <v>1042</v>
      </c>
      <c r="J280" s="177" t="s">
        <v>2124</v>
      </c>
      <c r="K280" s="175" t="s">
        <v>2125</v>
      </c>
      <c r="L280" s="175" t="s">
        <v>345</v>
      </c>
      <c r="M280" s="175" t="s">
        <v>346</v>
      </c>
      <c r="N280" s="175">
        <v>13</v>
      </c>
      <c r="O280" s="175" t="s">
        <v>382</v>
      </c>
      <c r="P280" s="175" t="s">
        <v>717</v>
      </c>
      <c r="Q280" s="175" t="s">
        <v>1201</v>
      </c>
      <c r="R280" s="175" t="s">
        <v>339</v>
      </c>
      <c r="S280" s="175" t="s">
        <v>19</v>
      </c>
      <c r="T280" s="175" t="s">
        <v>337</v>
      </c>
      <c r="U280" s="176">
        <v>15</v>
      </c>
      <c r="V280" s="176">
        <v>140</v>
      </c>
      <c r="W280" s="176">
        <v>12</v>
      </c>
      <c r="X280" s="179">
        <f t="shared" si="53"/>
        <v>152</v>
      </c>
      <c r="Y280" s="176">
        <v>5</v>
      </c>
      <c r="Z280" s="176" t="s">
        <v>20</v>
      </c>
      <c r="AA280" s="176" t="s">
        <v>18</v>
      </c>
      <c r="AB280" s="176" t="s">
        <v>20</v>
      </c>
      <c r="AC280" s="186" t="s">
        <v>21</v>
      </c>
      <c r="AD280" s="181" t="s">
        <v>2126</v>
      </c>
      <c r="AE280" s="179" t="s">
        <v>18</v>
      </c>
      <c r="AF280" s="191"/>
      <c r="AG280" s="175" t="s">
        <v>1173</v>
      </c>
      <c r="AH280" s="179">
        <f t="shared" si="45"/>
        <v>31</v>
      </c>
      <c r="AI280" s="179">
        <v>1</v>
      </c>
      <c r="AJ280" s="183">
        <f t="shared" si="46"/>
        <v>5074</v>
      </c>
      <c r="AK280" s="179">
        <f t="shared" si="47"/>
        <v>30.4</v>
      </c>
      <c r="AL280" s="183">
        <v>0</v>
      </c>
      <c r="AM280" s="183">
        <f t="shared" si="54"/>
        <v>1860000</v>
      </c>
      <c r="AN280" s="183">
        <f t="shared" si="48"/>
        <v>0</v>
      </c>
      <c r="AO280" s="183">
        <f t="shared" si="49"/>
        <v>4050000</v>
      </c>
      <c r="AP280" s="183">
        <f t="shared" si="50"/>
        <v>11568720</v>
      </c>
      <c r="AR280" s="183">
        <f t="shared" si="51"/>
        <v>0</v>
      </c>
      <c r="AS280" s="183">
        <f t="shared" si="52"/>
        <v>17478720</v>
      </c>
      <c r="AT280" s="175" t="s">
        <v>1818</v>
      </c>
      <c r="AU280" s="175" t="s">
        <v>1751</v>
      </c>
      <c r="AV280" s="175" t="s">
        <v>2080</v>
      </c>
      <c r="AW280" s="175" t="s">
        <v>2081</v>
      </c>
    </row>
    <row r="281" spans="1:49" ht="24.95" customHeight="1" x14ac:dyDescent="0.25">
      <c r="A281" s="175">
        <v>14429</v>
      </c>
      <c r="B281" s="175" t="s">
        <v>98</v>
      </c>
      <c r="C281" s="175" t="s">
        <v>41</v>
      </c>
      <c r="D281" s="176">
        <v>1</v>
      </c>
      <c r="E281" s="176">
        <v>2025</v>
      </c>
      <c r="F281" s="176">
        <v>2025</v>
      </c>
      <c r="G281" s="175" t="s">
        <v>23</v>
      </c>
      <c r="H281" s="175" t="s">
        <v>98</v>
      </c>
      <c r="I281" s="175" t="s">
        <v>1175</v>
      </c>
      <c r="J281" s="177" t="s">
        <v>888</v>
      </c>
      <c r="K281" s="175" t="s">
        <v>887</v>
      </c>
      <c r="L281" s="175" t="s">
        <v>345</v>
      </c>
      <c r="M281" s="175" t="s">
        <v>346</v>
      </c>
      <c r="N281" s="175">
        <v>6</v>
      </c>
      <c r="O281" s="175" t="s">
        <v>796</v>
      </c>
      <c r="P281" s="175" t="s">
        <v>2127</v>
      </c>
      <c r="Q281" s="175" t="s">
        <v>1201</v>
      </c>
      <c r="R281" s="175" t="s">
        <v>339</v>
      </c>
      <c r="S281" s="175" t="s">
        <v>19</v>
      </c>
      <c r="T281" s="175" t="s">
        <v>337</v>
      </c>
      <c r="U281" s="176">
        <v>10</v>
      </c>
      <c r="V281" s="176">
        <v>120</v>
      </c>
      <c r="W281" s="176">
        <v>12</v>
      </c>
      <c r="X281" s="179">
        <f t="shared" si="53"/>
        <v>132</v>
      </c>
      <c r="Y281" s="176">
        <v>4</v>
      </c>
      <c r="Z281" s="176" t="s">
        <v>20</v>
      </c>
      <c r="AA281" s="176" t="s">
        <v>18</v>
      </c>
      <c r="AB281" s="176" t="s">
        <v>20</v>
      </c>
      <c r="AC281" s="186" t="s">
        <v>21</v>
      </c>
      <c r="AD281" s="181" t="s">
        <v>2128</v>
      </c>
      <c r="AE281" s="179" t="s">
        <v>18</v>
      </c>
      <c r="AF281" s="191"/>
      <c r="AG281" s="175" t="s">
        <v>1173</v>
      </c>
      <c r="AH281" s="179">
        <f t="shared" si="45"/>
        <v>33</v>
      </c>
      <c r="AI281" s="179">
        <f>VLOOKUP(K281,[1]TRAMO!$A:$B,2,0)</f>
        <v>1</v>
      </c>
      <c r="AJ281" s="183">
        <f t="shared" si="46"/>
        <v>5074</v>
      </c>
      <c r="AK281" s="179">
        <f t="shared" si="47"/>
        <v>33</v>
      </c>
      <c r="AL281" s="183">
        <v>0</v>
      </c>
      <c r="AM281" s="183">
        <f t="shared" si="54"/>
        <v>1320000</v>
      </c>
      <c r="AN281" s="183">
        <f t="shared" si="48"/>
        <v>0</v>
      </c>
      <c r="AO281" s="183">
        <f t="shared" si="49"/>
        <v>2700000</v>
      </c>
      <c r="AP281" s="183">
        <f t="shared" si="50"/>
        <v>6697680</v>
      </c>
      <c r="AR281" s="183">
        <f t="shared" si="51"/>
        <v>0</v>
      </c>
      <c r="AS281" s="183">
        <f t="shared" si="52"/>
        <v>10717680</v>
      </c>
      <c r="AT281" s="175" t="s">
        <v>1524</v>
      </c>
      <c r="AU281" s="175" t="s">
        <v>1525</v>
      </c>
      <c r="AV281" s="175" t="s">
        <v>2129</v>
      </c>
      <c r="AW281" s="175" t="s">
        <v>2130</v>
      </c>
    </row>
    <row r="282" spans="1:49" ht="24.95" customHeight="1" x14ac:dyDescent="0.25">
      <c r="A282" s="175">
        <v>14442</v>
      </c>
      <c r="B282" s="175" t="s">
        <v>96</v>
      </c>
      <c r="C282" s="175" t="s">
        <v>39</v>
      </c>
      <c r="D282" s="176">
        <v>4</v>
      </c>
      <c r="E282" s="176">
        <v>2025</v>
      </c>
      <c r="F282" s="176">
        <v>2025</v>
      </c>
      <c r="G282" s="175" t="s">
        <v>23</v>
      </c>
      <c r="H282" s="175" t="s">
        <v>96</v>
      </c>
      <c r="I282" s="175" t="s">
        <v>1042</v>
      </c>
      <c r="J282" s="177" t="s">
        <v>413</v>
      </c>
      <c r="K282" s="175" t="s">
        <v>414</v>
      </c>
      <c r="L282" s="175" t="s">
        <v>345</v>
      </c>
      <c r="M282" s="175" t="s">
        <v>346</v>
      </c>
      <c r="N282" s="175">
        <v>4</v>
      </c>
      <c r="O282" s="175" t="s">
        <v>415</v>
      </c>
      <c r="P282" s="175" t="s">
        <v>813</v>
      </c>
      <c r="Q282" s="175" t="s">
        <v>1201</v>
      </c>
      <c r="R282" s="175" t="s">
        <v>339</v>
      </c>
      <c r="S282" s="175" t="s">
        <v>19</v>
      </c>
      <c r="T282" s="175" t="s">
        <v>337</v>
      </c>
      <c r="U282" s="176">
        <v>15</v>
      </c>
      <c r="V282" s="176">
        <v>100</v>
      </c>
      <c r="W282" s="176">
        <v>12</v>
      </c>
      <c r="X282" s="179">
        <f t="shared" si="53"/>
        <v>112</v>
      </c>
      <c r="Y282" s="176">
        <v>5</v>
      </c>
      <c r="Z282" s="176" t="s">
        <v>20</v>
      </c>
      <c r="AA282" s="176" t="s">
        <v>18</v>
      </c>
      <c r="AB282" s="176" t="s">
        <v>20</v>
      </c>
      <c r="AC282" s="186" t="s">
        <v>21</v>
      </c>
      <c r="AD282" s="181" t="s">
        <v>2131</v>
      </c>
      <c r="AE282" s="179" t="s">
        <v>18</v>
      </c>
      <c r="AF282" s="191"/>
      <c r="AG282" s="175" t="s">
        <v>1173</v>
      </c>
      <c r="AH282" s="179">
        <f t="shared" si="45"/>
        <v>23</v>
      </c>
      <c r="AI282" s="179">
        <f>VLOOKUP(K282,[1]TRAMO!$A:$B,2,0)</f>
        <v>1</v>
      </c>
      <c r="AJ282" s="183">
        <f t="shared" si="46"/>
        <v>5074</v>
      </c>
      <c r="AK282" s="179">
        <f t="shared" si="47"/>
        <v>22.4</v>
      </c>
      <c r="AL282" s="183">
        <v>0</v>
      </c>
      <c r="AM282" s="183">
        <f t="shared" si="54"/>
        <v>1380000</v>
      </c>
      <c r="AN282" s="183">
        <f t="shared" si="48"/>
        <v>0</v>
      </c>
      <c r="AO282" s="183">
        <f t="shared" si="49"/>
        <v>4050000</v>
      </c>
      <c r="AP282" s="183">
        <f t="shared" si="50"/>
        <v>8524320</v>
      </c>
      <c r="AR282" s="183">
        <f t="shared" si="51"/>
        <v>0</v>
      </c>
      <c r="AS282" s="183">
        <f t="shared" si="52"/>
        <v>13954320</v>
      </c>
      <c r="AT282" s="175" t="s">
        <v>1718</v>
      </c>
      <c r="AU282" s="175" t="s">
        <v>1719</v>
      </c>
      <c r="AV282" s="175" t="s">
        <v>1720</v>
      </c>
      <c r="AW282" s="175" t="s">
        <v>1721</v>
      </c>
    </row>
    <row r="283" spans="1:49" ht="24.95" customHeight="1" x14ac:dyDescent="0.25">
      <c r="A283" s="175">
        <v>14454</v>
      </c>
      <c r="B283" s="175" t="s">
        <v>96</v>
      </c>
      <c r="C283" s="175" t="s">
        <v>39</v>
      </c>
      <c r="D283" s="176">
        <v>4</v>
      </c>
      <c r="E283" s="176">
        <v>2025</v>
      </c>
      <c r="F283" s="176">
        <v>2025</v>
      </c>
      <c r="G283" s="175" t="s">
        <v>23</v>
      </c>
      <c r="H283" s="175" t="s">
        <v>96</v>
      </c>
      <c r="I283" s="175" t="s">
        <v>1042</v>
      </c>
      <c r="J283" s="177" t="s">
        <v>413</v>
      </c>
      <c r="K283" s="175" t="s">
        <v>414</v>
      </c>
      <c r="L283" s="175" t="s">
        <v>345</v>
      </c>
      <c r="M283" s="175" t="s">
        <v>346</v>
      </c>
      <c r="N283" s="175">
        <v>7</v>
      </c>
      <c r="O283" s="175" t="s">
        <v>428</v>
      </c>
      <c r="P283" s="175" t="s">
        <v>1908</v>
      </c>
      <c r="Q283" s="175" t="s">
        <v>1201</v>
      </c>
      <c r="R283" s="175" t="s">
        <v>339</v>
      </c>
      <c r="S283" s="175" t="s">
        <v>19</v>
      </c>
      <c r="T283" s="175" t="s">
        <v>337</v>
      </c>
      <c r="U283" s="176">
        <v>10</v>
      </c>
      <c r="V283" s="176">
        <v>100</v>
      </c>
      <c r="W283" s="176">
        <v>12</v>
      </c>
      <c r="X283" s="179">
        <f t="shared" si="53"/>
        <v>112</v>
      </c>
      <c r="Y283" s="176">
        <v>5</v>
      </c>
      <c r="Z283" s="176" t="s">
        <v>20</v>
      </c>
      <c r="AA283" s="176" t="s">
        <v>18</v>
      </c>
      <c r="AB283" s="176" t="s">
        <v>20</v>
      </c>
      <c r="AC283" s="186" t="s">
        <v>21</v>
      </c>
      <c r="AD283" s="181" t="s">
        <v>2132</v>
      </c>
      <c r="AE283" s="179" t="s">
        <v>18</v>
      </c>
      <c r="AF283" s="191"/>
      <c r="AG283" s="175" t="s">
        <v>1173</v>
      </c>
      <c r="AH283" s="179">
        <f t="shared" si="45"/>
        <v>23</v>
      </c>
      <c r="AI283" s="179">
        <f>VLOOKUP(K283,[1]TRAMO!$A:$B,2,0)</f>
        <v>1</v>
      </c>
      <c r="AJ283" s="183">
        <f t="shared" si="46"/>
        <v>5074</v>
      </c>
      <c r="AK283" s="179">
        <f t="shared" si="47"/>
        <v>22.4</v>
      </c>
      <c r="AL283" s="183">
        <v>0</v>
      </c>
      <c r="AM283" s="183">
        <f t="shared" si="54"/>
        <v>920000</v>
      </c>
      <c r="AN283" s="183">
        <f t="shared" si="48"/>
        <v>0</v>
      </c>
      <c r="AO283" s="183">
        <f t="shared" si="49"/>
        <v>2700000</v>
      </c>
      <c r="AP283" s="183">
        <f t="shared" si="50"/>
        <v>5682880</v>
      </c>
      <c r="AR283" s="183">
        <f t="shared" si="51"/>
        <v>0</v>
      </c>
      <c r="AS283" s="183">
        <f t="shared" si="52"/>
        <v>9302880</v>
      </c>
      <c r="AT283" s="175" t="s">
        <v>1718</v>
      </c>
      <c r="AU283" s="175" t="s">
        <v>1719</v>
      </c>
      <c r="AV283" s="175" t="s">
        <v>1720</v>
      </c>
      <c r="AW283" s="175" t="s">
        <v>1721</v>
      </c>
    </row>
    <row r="284" spans="1:49" ht="24.95" customHeight="1" x14ac:dyDescent="0.25">
      <c r="A284" s="175">
        <v>14450</v>
      </c>
      <c r="B284" s="175" t="s">
        <v>98</v>
      </c>
      <c r="C284" s="175" t="s">
        <v>41</v>
      </c>
      <c r="D284" s="176">
        <v>1</v>
      </c>
      <c r="E284" s="176">
        <v>2025</v>
      </c>
      <c r="F284" s="176">
        <v>2025</v>
      </c>
      <c r="G284" s="175" t="s">
        <v>23</v>
      </c>
      <c r="H284" s="175" t="s">
        <v>98</v>
      </c>
      <c r="I284" s="175" t="s">
        <v>1175</v>
      </c>
      <c r="J284" s="177" t="s">
        <v>410</v>
      </c>
      <c r="K284" s="175" t="s">
        <v>411</v>
      </c>
      <c r="L284" s="175" t="s">
        <v>345</v>
      </c>
      <c r="M284" s="175" t="s">
        <v>346</v>
      </c>
      <c r="N284" s="175">
        <v>8</v>
      </c>
      <c r="O284" s="175" t="s">
        <v>709</v>
      </c>
      <c r="P284" s="175" t="s">
        <v>1539</v>
      </c>
      <c r="Q284" s="175" t="s">
        <v>1201</v>
      </c>
      <c r="R284" s="175" t="s">
        <v>339</v>
      </c>
      <c r="S284" s="175" t="s">
        <v>19</v>
      </c>
      <c r="T284" s="175" t="s">
        <v>337</v>
      </c>
      <c r="U284" s="176">
        <v>10</v>
      </c>
      <c r="V284" s="176">
        <v>260</v>
      </c>
      <c r="W284" s="176">
        <v>12</v>
      </c>
      <c r="X284" s="179">
        <f t="shared" si="53"/>
        <v>272</v>
      </c>
      <c r="Y284" s="176">
        <v>4</v>
      </c>
      <c r="Z284" s="176" t="s">
        <v>20</v>
      </c>
      <c r="AA284" s="176" t="s">
        <v>18</v>
      </c>
      <c r="AB284" s="176" t="s">
        <v>20</v>
      </c>
      <c r="AC284" s="186" t="s">
        <v>21</v>
      </c>
      <c r="AD284" s="181" t="s">
        <v>2133</v>
      </c>
      <c r="AE284" s="179" t="s">
        <v>18</v>
      </c>
      <c r="AF284" s="191"/>
      <c r="AG284" s="175" t="s">
        <v>1173</v>
      </c>
      <c r="AH284" s="179">
        <f t="shared" si="45"/>
        <v>68</v>
      </c>
      <c r="AI284" s="179">
        <f>VLOOKUP(K284,[1]TRAMO!$A:$B,2,0)</f>
        <v>3</v>
      </c>
      <c r="AJ284" s="183">
        <f t="shared" si="46"/>
        <v>7434</v>
      </c>
      <c r="AK284" s="179">
        <f t="shared" si="47"/>
        <v>68</v>
      </c>
      <c r="AL284" s="183">
        <v>0</v>
      </c>
      <c r="AM284" s="183">
        <f t="shared" si="54"/>
        <v>2720000</v>
      </c>
      <c r="AN284" s="183">
        <f t="shared" si="48"/>
        <v>0</v>
      </c>
      <c r="AO284" s="183">
        <f t="shared" si="49"/>
        <v>2700000</v>
      </c>
      <c r="AP284" s="183">
        <f t="shared" si="50"/>
        <v>20220480</v>
      </c>
      <c r="AR284" s="183">
        <f t="shared" si="51"/>
        <v>0</v>
      </c>
      <c r="AS284" s="183">
        <f t="shared" si="52"/>
        <v>25640480</v>
      </c>
      <c r="AT284" s="175" t="s">
        <v>1524</v>
      </c>
      <c r="AU284" s="175" t="s">
        <v>1525</v>
      </c>
      <c r="AV284" s="175" t="s">
        <v>2134</v>
      </c>
      <c r="AW284" s="175" t="s">
        <v>1542</v>
      </c>
    </row>
    <row r="285" spans="1:49" ht="24.95" customHeight="1" x14ac:dyDescent="0.25">
      <c r="A285" s="175">
        <v>14497</v>
      </c>
      <c r="B285" s="175" t="s">
        <v>96</v>
      </c>
      <c r="C285" s="175" t="s">
        <v>39</v>
      </c>
      <c r="D285" s="176">
        <v>4</v>
      </c>
      <c r="E285" s="176">
        <v>2025</v>
      </c>
      <c r="F285" s="176">
        <v>2025</v>
      </c>
      <c r="G285" s="175" t="s">
        <v>23</v>
      </c>
      <c r="H285" s="175" t="s">
        <v>96</v>
      </c>
      <c r="I285" s="175" t="s">
        <v>1042</v>
      </c>
      <c r="J285" s="177" t="s">
        <v>410</v>
      </c>
      <c r="K285" s="175" t="s">
        <v>411</v>
      </c>
      <c r="L285" s="175" t="s">
        <v>345</v>
      </c>
      <c r="M285" s="175" t="s">
        <v>346</v>
      </c>
      <c r="N285" s="175">
        <v>13</v>
      </c>
      <c r="O285" s="175" t="s">
        <v>382</v>
      </c>
      <c r="P285" s="175" t="s">
        <v>733</v>
      </c>
      <c r="Q285" s="175" t="s">
        <v>1201</v>
      </c>
      <c r="R285" s="175" t="s">
        <v>339</v>
      </c>
      <c r="S285" s="175" t="s">
        <v>19</v>
      </c>
      <c r="T285" s="175" t="s">
        <v>337</v>
      </c>
      <c r="U285" s="176">
        <v>10</v>
      </c>
      <c r="V285" s="176">
        <v>260</v>
      </c>
      <c r="W285" s="176">
        <v>12</v>
      </c>
      <c r="X285" s="179">
        <f t="shared" si="53"/>
        <v>272</v>
      </c>
      <c r="Y285" s="176">
        <v>5</v>
      </c>
      <c r="Z285" s="176" t="s">
        <v>20</v>
      </c>
      <c r="AA285" s="176" t="s">
        <v>18</v>
      </c>
      <c r="AB285" s="176" t="s">
        <v>20</v>
      </c>
      <c r="AC285" s="186" t="s">
        <v>21</v>
      </c>
      <c r="AD285" s="181" t="s">
        <v>2135</v>
      </c>
      <c r="AE285" s="179" t="s">
        <v>18</v>
      </c>
      <c r="AF285" s="191"/>
      <c r="AG285" s="175" t="s">
        <v>1173</v>
      </c>
      <c r="AH285" s="179">
        <f t="shared" si="45"/>
        <v>55</v>
      </c>
      <c r="AI285" s="179">
        <f>VLOOKUP(K285,[1]TRAMO!$A:$B,2,0)</f>
        <v>3</v>
      </c>
      <c r="AJ285" s="183">
        <f t="shared" si="46"/>
        <v>7434</v>
      </c>
      <c r="AK285" s="179">
        <f t="shared" si="47"/>
        <v>54.4</v>
      </c>
      <c r="AL285" s="183">
        <v>0</v>
      </c>
      <c r="AM285" s="183">
        <f t="shared" si="54"/>
        <v>2200000</v>
      </c>
      <c r="AN285" s="183">
        <f t="shared" si="48"/>
        <v>0</v>
      </c>
      <c r="AO285" s="183">
        <f t="shared" si="49"/>
        <v>2700000</v>
      </c>
      <c r="AP285" s="183">
        <f t="shared" si="50"/>
        <v>20220480</v>
      </c>
      <c r="AR285" s="183">
        <f t="shared" si="51"/>
        <v>0</v>
      </c>
      <c r="AS285" s="183">
        <f t="shared" si="52"/>
        <v>25120480</v>
      </c>
      <c r="AT285" s="175" t="s">
        <v>1718</v>
      </c>
      <c r="AU285" s="175" t="s">
        <v>1719</v>
      </c>
      <c r="AV285" s="175" t="s">
        <v>1720</v>
      </c>
      <c r="AW285" s="175" t="s">
        <v>1721</v>
      </c>
    </row>
    <row r="286" spans="1:49" ht="24.95" customHeight="1" x14ac:dyDescent="0.25">
      <c r="A286" s="175">
        <v>14418</v>
      </c>
      <c r="B286" s="175" t="s">
        <v>98</v>
      </c>
      <c r="C286" s="175" t="s">
        <v>41</v>
      </c>
      <c r="D286" s="176">
        <v>1</v>
      </c>
      <c r="E286" s="176">
        <v>2025</v>
      </c>
      <c r="F286" s="176">
        <v>2025</v>
      </c>
      <c r="G286" s="175" t="s">
        <v>23</v>
      </c>
      <c r="H286" s="175" t="s">
        <v>98</v>
      </c>
      <c r="I286" s="175" t="s">
        <v>1175</v>
      </c>
      <c r="J286" s="177" t="s">
        <v>1853</v>
      </c>
      <c r="K286" s="175" t="s">
        <v>1854</v>
      </c>
      <c r="L286" s="175" t="s">
        <v>345</v>
      </c>
      <c r="M286" s="175" t="s">
        <v>346</v>
      </c>
      <c r="N286" s="175">
        <v>13</v>
      </c>
      <c r="O286" s="175" t="s">
        <v>382</v>
      </c>
      <c r="P286" s="175" t="s">
        <v>748</v>
      </c>
      <c r="Q286" s="175" t="s">
        <v>1201</v>
      </c>
      <c r="R286" s="175" t="s">
        <v>339</v>
      </c>
      <c r="S286" s="175" t="s">
        <v>19</v>
      </c>
      <c r="T286" s="175" t="s">
        <v>2053</v>
      </c>
      <c r="U286" s="176">
        <v>20</v>
      </c>
      <c r="V286" s="176">
        <v>40</v>
      </c>
      <c r="W286" s="176">
        <v>12</v>
      </c>
      <c r="X286" s="179">
        <f t="shared" si="53"/>
        <v>52</v>
      </c>
      <c r="Y286" s="176">
        <v>4</v>
      </c>
      <c r="Z286" s="176" t="s">
        <v>20</v>
      </c>
      <c r="AA286" s="176" t="s">
        <v>18</v>
      </c>
      <c r="AB286" s="185" t="s">
        <v>18</v>
      </c>
      <c r="AC286" s="186" t="s">
        <v>21</v>
      </c>
      <c r="AD286" s="181" t="s">
        <v>2136</v>
      </c>
      <c r="AE286" s="179" t="s">
        <v>18</v>
      </c>
      <c r="AF286" s="191"/>
      <c r="AG286" s="175" t="s">
        <v>1173</v>
      </c>
      <c r="AH286" s="179">
        <f t="shared" si="45"/>
        <v>13</v>
      </c>
      <c r="AI286" s="179">
        <f>VLOOKUP(K286,[1]TRAMO!$A:$B,2,0)</f>
        <v>3</v>
      </c>
      <c r="AJ286" s="183">
        <f t="shared" si="46"/>
        <v>7434</v>
      </c>
      <c r="AK286" s="179">
        <f t="shared" si="47"/>
        <v>13</v>
      </c>
      <c r="AL286" s="183">
        <v>0</v>
      </c>
      <c r="AM286" s="183">
        <f t="shared" si="54"/>
        <v>1040000</v>
      </c>
      <c r="AN286" s="183">
        <f t="shared" si="48"/>
        <v>0</v>
      </c>
      <c r="AO286" s="183">
        <f t="shared" si="49"/>
        <v>0</v>
      </c>
      <c r="AP286" s="183">
        <f t="shared" si="50"/>
        <v>7731360</v>
      </c>
      <c r="AR286" s="183">
        <f t="shared" si="51"/>
        <v>0</v>
      </c>
      <c r="AS286" s="183">
        <f t="shared" si="52"/>
        <v>8771360</v>
      </c>
      <c r="AT286" s="175" t="s">
        <v>1950</v>
      </c>
      <c r="AU286" s="175" t="s">
        <v>1951</v>
      </c>
      <c r="AV286" s="175" t="s">
        <v>2055</v>
      </c>
      <c r="AW286" s="175" t="s">
        <v>2056</v>
      </c>
    </row>
    <row r="287" spans="1:49" ht="24.95" customHeight="1" x14ac:dyDescent="0.25">
      <c r="A287" s="175">
        <v>14482</v>
      </c>
      <c r="B287" s="175" t="s">
        <v>96</v>
      </c>
      <c r="C287" s="175" t="s">
        <v>39</v>
      </c>
      <c r="D287" s="176">
        <v>4</v>
      </c>
      <c r="E287" s="176">
        <v>2025</v>
      </c>
      <c r="F287" s="176">
        <v>2025</v>
      </c>
      <c r="G287" s="175" t="s">
        <v>23</v>
      </c>
      <c r="H287" s="175" t="s">
        <v>96</v>
      </c>
      <c r="I287" s="175" t="s">
        <v>1042</v>
      </c>
      <c r="J287" s="177" t="s">
        <v>1032</v>
      </c>
      <c r="K287" s="175" t="s">
        <v>1033</v>
      </c>
      <c r="L287" s="175" t="s">
        <v>345</v>
      </c>
      <c r="M287" s="175" t="s">
        <v>346</v>
      </c>
      <c r="N287" s="175">
        <v>8</v>
      </c>
      <c r="O287" s="175" t="s">
        <v>709</v>
      </c>
      <c r="P287" s="175" t="s">
        <v>1479</v>
      </c>
      <c r="Q287" s="175" t="s">
        <v>1201</v>
      </c>
      <c r="R287" s="175" t="s">
        <v>339</v>
      </c>
      <c r="S287" s="175" t="s">
        <v>19</v>
      </c>
      <c r="T287" s="175" t="s">
        <v>337</v>
      </c>
      <c r="U287" s="176">
        <v>15</v>
      </c>
      <c r="V287" s="176">
        <v>120</v>
      </c>
      <c r="W287" s="176">
        <v>12</v>
      </c>
      <c r="X287" s="179">
        <f t="shared" si="53"/>
        <v>132</v>
      </c>
      <c r="Y287" s="176">
        <v>5</v>
      </c>
      <c r="Z287" s="176" t="s">
        <v>20</v>
      </c>
      <c r="AA287" s="176" t="s">
        <v>18</v>
      </c>
      <c r="AB287" s="176" t="s">
        <v>20</v>
      </c>
      <c r="AC287" s="186" t="s">
        <v>21</v>
      </c>
      <c r="AD287" s="181" t="s">
        <v>2137</v>
      </c>
      <c r="AE287" s="179" t="s">
        <v>18</v>
      </c>
      <c r="AF287" s="191"/>
      <c r="AG287" s="175" t="s">
        <v>1173</v>
      </c>
      <c r="AH287" s="179">
        <f t="shared" si="45"/>
        <v>27</v>
      </c>
      <c r="AI287" s="179">
        <f>VLOOKUP(K287,[1]TRAMO!$A:$B,2,0)</f>
        <v>2</v>
      </c>
      <c r="AJ287" s="183">
        <f t="shared" si="46"/>
        <v>6372</v>
      </c>
      <c r="AK287" s="179">
        <f t="shared" si="47"/>
        <v>26.4</v>
      </c>
      <c r="AL287" s="183">
        <v>0</v>
      </c>
      <c r="AM287" s="183">
        <f t="shared" si="54"/>
        <v>1620000</v>
      </c>
      <c r="AN287" s="183">
        <f t="shared" si="48"/>
        <v>0</v>
      </c>
      <c r="AO287" s="183">
        <f t="shared" si="49"/>
        <v>4050000</v>
      </c>
      <c r="AP287" s="183">
        <f t="shared" si="50"/>
        <v>12616560</v>
      </c>
      <c r="AR287" s="183">
        <f t="shared" si="51"/>
        <v>0</v>
      </c>
      <c r="AS287" s="183">
        <f t="shared" si="52"/>
        <v>18286560</v>
      </c>
      <c r="AT287" s="175" t="s">
        <v>1718</v>
      </c>
      <c r="AU287" s="175" t="s">
        <v>1719</v>
      </c>
      <c r="AV287" s="175" t="s">
        <v>1720</v>
      </c>
      <c r="AW287" s="175" t="s">
        <v>1721</v>
      </c>
    </row>
    <row r="288" spans="1:49" ht="24.95" customHeight="1" x14ac:dyDescent="0.25">
      <c r="A288" s="175">
        <v>14216</v>
      </c>
      <c r="B288" s="175" t="s">
        <v>86</v>
      </c>
      <c r="C288" s="175" t="s">
        <v>29</v>
      </c>
      <c r="D288" s="176">
        <v>1</v>
      </c>
      <c r="E288" s="176">
        <v>2025</v>
      </c>
      <c r="F288" s="176">
        <v>2025</v>
      </c>
      <c r="G288" s="175" t="s">
        <v>23</v>
      </c>
      <c r="H288" s="175" t="s">
        <v>86</v>
      </c>
      <c r="I288" s="175" t="s">
        <v>105</v>
      </c>
      <c r="J288" s="177" t="s">
        <v>806</v>
      </c>
      <c r="K288" s="175" t="s">
        <v>805</v>
      </c>
      <c r="L288" s="175" t="s">
        <v>345</v>
      </c>
      <c r="M288" s="175" t="s">
        <v>346</v>
      </c>
      <c r="N288" s="175">
        <v>2</v>
      </c>
      <c r="O288" s="175" t="s">
        <v>798</v>
      </c>
      <c r="P288" s="175" t="s">
        <v>797</v>
      </c>
      <c r="Q288" s="175" t="s">
        <v>702</v>
      </c>
      <c r="R288" s="175" t="s">
        <v>339</v>
      </c>
      <c r="S288" s="175" t="s">
        <v>19</v>
      </c>
      <c r="T288" s="175" t="s">
        <v>337</v>
      </c>
      <c r="U288" s="176">
        <v>10</v>
      </c>
      <c r="V288" s="176">
        <v>110</v>
      </c>
      <c r="W288" s="176">
        <v>12</v>
      </c>
      <c r="X288" s="179">
        <f t="shared" si="53"/>
        <v>122</v>
      </c>
      <c r="Y288" s="176">
        <v>4</v>
      </c>
      <c r="Z288" s="176" t="s">
        <v>20</v>
      </c>
      <c r="AA288" s="176" t="s">
        <v>20</v>
      </c>
      <c r="AB288" s="176" t="s">
        <v>20</v>
      </c>
      <c r="AC288" s="186" t="s">
        <v>21</v>
      </c>
      <c r="AD288" s="181" t="s">
        <v>2138</v>
      </c>
      <c r="AE288" s="179" t="s">
        <v>18</v>
      </c>
      <c r="AF288" s="191"/>
      <c r="AG288" s="175" t="s">
        <v>1173</v>
      </c>
      <c r="AH288" s="179">
        <f t="shared" si="45"/>
        <v>31</v>
      </c>
      <c r="AI288" s="179">
        <f>VLOOKUP(K288,[1]TRAMO!$A:$B,2,0)</f>
        <v>3</v>
      </c>
      <c r="AJ288" s="183">
        <f t="shared" si="46"/>
        <v>7434</v>
      </c>
      <c r="AK288" s="179">
        <f t="shared" si="47"/>
        <v>30.5</v>
      </c>
      <c r="AL288" s="183">
        <v>0</v>
      </c>
      <c r="AM288" s="183">
        <f t="shared" si="54"/>
        <v>1240000</v>
      </c>
      <c r="AN288" s="183">
        <f t="shared" si="48"/>
        <v>1550000</v>
      </c>
      <c r="AO288" s="183">
        <f t="shared" si="49"/>
        <v>2700000</v>
      </c>
      <c r="AP288" s="183">
        <f t="shared" si="50"/>
        <v>9069480</v>
      </c>
      <c r="AR288" s="183">
        <f t="shared" si="51"/>
        <v>0</v>
      </c>
      <c r="AS288" s="183">
        <f t="shared" si="52"/>
        <v>14559480</v>
      </c>
      <c r="AT288" s="175" t="s">
        <v>2072</v>
      </c>
      <c r="AU288" s="175" t="s">
        <v>2073</v>
      </c>
      <c r="AV288" s="175" t="s">
        <v>2074</v>
      </c>
      <c r="AW288" s="175" t="s">
        <v>2110</v>
      </c>
    </row>
    <row r="289" spans="1:49" ht="24.95" customHeight="1" x14ac:dyDescent="0.25">
      <c r="A289" s="175">
        <v>14361</v>
      </c>
      <c r="B289" s="175" t="s">
        <v>83</v>
      </c>
      <c r="C289" s="175" t="s">
        <v>1022</v>
      </c>
      <c r="D289" s="176">
        <v>1</v>
      </c>
      <c r="E289" s="176">
        <v>2025</v>
      </c>
      <c r="F289" s="176">
        <v>2025</v>
      </c>
      <c r="G289" s="175" t="s">
        <v>23</v>
      </c>
      <c r="H289" s="175" t="s">
        <v>83</v>
      </c>
      <c r="I289" s="175" t="s">
        <v>102</v>
      </c>
      <c r="J289" s="177" t="s">
        <v>790</v>
      </c>
      <c r="K289" s="175" t="s">
        <v>789</v>
      </c>
      <c r="L289" s="175" t="s">
        <v>345</v>
      </c>
      <c r="M289" s="175" t="s">
        <v>346</v>
      </c>
      <c r="N289" s="175">
        <v>13</v>
      </c>
      <c r="O289" s="175" t="s">
        <v>382</v>
      </c>
      <c r="P289" s="175" t="s">
        <v>416</v>
      </c>
      <c r="Q289" s="175" t="s">
        <v>702</v>
      </c>
      <c r="R289" s="175" t="s">
        <v>339</v>
      </c>
      <c r="S289" s="175" t="s">
        <v>19</v>
      </c>
      <c r="T289" s="175" t="s">
        <v>337</v>
      </c>
      <c r="U289" s="176">
        <v>12</v>
      </c>
      <c r="V289" s="176">
        <v>160</v>
      </c>
      <c r="W289" s="176">
        <v>12</v>
      </c>
      <c r="X289" s="179">
        <f t="shared" si="53"/>
        <v>172</v>
      </c>
      <c r="Y289" s="176">
        <v>4</v>
      </c>
      <c r="Z289" s="176" t="s">
        <v>20</v>
      </c>
      <c r="AA289" s="176" t="s">
        <v>20</v>
      </c>
      <c r="AB289" s="176" t="s">
        <v>20</v>
      </c>
      <c r="AC289" s="186" t="s">
        <v>21</v>
      </c>
      <c r="AD289" s="181" t="s">
        <v>2139</v>
      </c>
      <c r="AE289" s="179" t="s">
        <v>18</v>
      </c>
      <c r="AF289" s="191"/>
      <c r="AG289" s="175" t="s">
        <v>1173</v>
      </c>
      <c r="AH289" s="179">
        <f t="shared" si="45"/>
        <v>43</v>
      </c>
      <c r="AI289" s="179">
        <f>VLOOKUP(K289,[1]TRAMO!$A:$B,2,0)</f>
        <v>2</v>
      </c>
      <c r="AJ289" s="183">
        <f t="shared" si="46"/>
        <v>6372</v>
      </c>
      <c r="AK289" s="179">
        <f t="shared" si="47"/>
        <v>43</v>
      </c>
      <c r="AL289" s="183">
        <v>0</v>
      </c>
      <c r="AM289" s="183">
        <f t="shared" si="54"/>
        <v>2064000</v>
      </c>
      <c r="AN289" s="183">
        <f t="shared" si="48"/>
        <v>2580000</v>
      </c>
      <c r="AO289" s="183">
        <f t="shared" si="49"/>
        <v>3240000</v>
      </c>
      <c r="AP289" s="183">
        <f t="shared" si="50"/>
        <v>13151808</v>
      </c>
      <c r="AR289" s="183">
        <f t="shared" si="51"/>
        <v>0</v>
      </c>
      <c r="AS289" s="183">
        <f t="shared" si="52"/>
        <v>21035808</v>
      </c>
      <c r="AT289" s="175" t="s">
        <v>1535</v>
      </c>
      <c r="AU289" s="175" t="s">
        <v>1536</v>
      </c>
      <c r="AV289" s="175" t="s">
        <v>2032</v>
      </c>
      <c r="AW289" s="175" t="s">
        <v>1023</v>
      </c>
    </row>
    <row r="290" spans="1:49" ht="24.95" customHeight="1" x14ac:dyDescent="0.25">
      <c r="A290" s="175">
        <v>14365</v>
      </c>
      <c r="B290" s="175" t="s">
        <v>83</v>
      </c>
      <c r="C290" s="175" t="s">
        <v>1022</v>
      </c>
      <c r="D290" s="176">
        <v>1</v>
      </c>
      <c r="E290" s="176">
        <v>2025</v>
      </c>
      <c r="F290" s="176">
        <v>2025</v>
      </c>
      <c r="G290" s="175" t="s">
        <v>23</v>
      </c>
      <c r="H290" s="175" t="s">
        <v>83</v>
      </c>
      <c r="I290" s="175" t="s">
        <v>102</v>
      </c>
      <c r="J290" s="177" t="s">
        <v>790</v>
      </c>
      <c r="K290" s="175" t="s">
        <v>789</v>
      </c>
      <c r="L290" s="175" t="s">
        <v>345</v>
      </c>
      <c r="M290" s="175" t="s">
        <v>346</v>
      </c>
      <c r="N290" s="175">
        <v>8</v>
      </c>
      <c r="O290" s="175" t="s">
        <v>709</v>
      </c>
      <c r="P290" s="175" t="s">
        <v>735</v>
      </c>
      <c r="Q290" s="175" t="s">
        <v>702</v>
      </c>
      <c r="R290" s="175" t="s">
        <v>339</v>
      </c>
      <c r="S290" s="175" t="s">
        <v>19</v>
      </c>
      <c r="T290" s="175" t="s">
        <v>337</v>
      </c>
      <c r="U290" s="176">
        <v>10</v>
      </c>
      <c r="V290" s="176">
        <v>160</v>
      </c>
      <c r="W290" s="176">
        <v>12</v>
      </c>
      <c r="X290" s="179">
        <f t="shared" si="53"/>
        <v>172</v>
      </c>
      <c r="Y290" s="176">
        <v>4</v>
      </c>
      <c r="Z290" s="176" t="s">
        <v>20</v>
      </c>
      <c r="AA290" s="176" t="s">
        <v>20</v>
      </c>
      <c r="AB290" s="176" t="s">
        <v>20</v>
      </c>
      <c r="AC290" s="186" t="s">
        <v>21</v>
      </c>
      <c r="AD290" s="181" t="s">
        <v>2140</v>
      </c>
      <c r="AE290" s="179" t="s">
        <v>18</v>
      </c>
      <c r="AF290" s="191"/>
      <c r="AG290" s="175" t="s">
        <v>1173</v>
      </c>
      <c r="AH290" s="179">
        <f t="shared" si="45"/>
        <v>43</v>
      </c>
      <c r="AI290" s="179">
        <f>VLOOKUP(K290,[1]TRAMO!$A:$B,2,0)</f>
        <v>2</v>
      </c>
      <c r="AJ290" s="183">
        <f t="shared" si="46"/>
        <v>6372</v>
      </c>
      <c r="AK290" s="179">
        <f t="shared" si="47"/>
        <v>43</v>
      </c>
      <c r="AL290" s="183">
        <v>0</v>
      </c>
      <c r="AM290" s="183">
        <f t="shared" si="54"/>
        <v>1720000</v>
      </c>
      <c r="AN290" s="183">
        <f t="shared" si="48"/>
        <v>2150000</v>
      </c>
      <c r="AO290" s="183">
        <f t="shared" si="49"/>
        <v>2700000</v>
      </c>
      <c r="AP290" s="183">
        <f t="shared" si="50"/>
        <v>10959840</v>
      </c>
      <c r="AR290" s="183">
        <f t="shared" si="51"/>
        <v>0</v>
      </c>
      <c r="AS290" s="183">
        <f t="shared" si="52"/>
        <v>17529840</v>
      </c>
      <c r="AT290" s="175" t="s">
        <v>1535</v>
      </c>
      <c r="AU290" s="175" t="s">
        <v>1536</v>
      </c>
      <c r="AV290" s="175" t="s">
        <v>2032</v>
      </c>
      <c r="AW290" s="175" t="s">
        <v>1023</v>
      </c>
    </row>
    <row r="291" spans="1:49" ht="24.95" customHeight="1" x14ac:dyDescent="0.25">
      <c r="A291" s="175">
        <v>14254</v>
      </c>
      <c r="B291" s="175" t="s">
        <v>86</v>
      </c>
      <c r="C291" s="175" t="s">
        <v>29</v>
      </c>
      <c r="D291" s="176">
        <v>1</v>
      </c>
      <c r="E291" s="176">
        <v>2025</v>
      </c>
      <c r="F291" s="176">
        <v>2025</v>
      </c>
      <c r="G291" s="175" t="s">
        <v>23</v>
      </c>
      <c r="H291" s="175" t="s">
        <v>86</v>
      </c>
      <c r="I291" s="175" t="s">
        <v>105</v>
      </c>
      <c r="J291" s="177" t="s">
        <v>768</v>
      </c>
      <c r="K291" s="175" t="s">
        <v>767</v>
      </c>
      <c r="L291" s="175" t="s">
        <v>345</v>
      </c>
      <c r="M291" s="175" t="s">
        <v>346</v>
      </c>
      <c r="N291" s="175">
        <v>4</v>
      </c>
      <c r="O291" s="175" t="s">
        <v>415</v>
      </c>
      <c r="P291" s="175" t="s">
        <v>884</v>
      </c>
      <c r="Q291" s="175" t="s">
        <v>1201</v>
      </c>
      <c r="R291" s="175" t="s">
        <v>339</v>
      </c>
      <c r="S291" s="175" t="s">
        <v>19</v>
      </c>
      <c r="T291" s="175" t="s">
        <v>1598</v>
      </c>
      <c r="U291" s="176">
        <v>20</v>
      </c>
      <c r="V291" s="176">
        <v>150</v>
      </c>
      <c r="W291" s="176">
        <v>12</v>
      </c>
      <c r="X291" s="179">
        <f t="shared" si="53"/>
        <v>162</v>
      </c>
      <c r="Y291" s="176">
        <v>4</v>
      </c>
      <c r="Z291" s="176" t="s">
        <v>20</v>
      </c>
      <c r="AA291" s="176" t="s">
        <v>18</v>
      </c>
      <c r="AB291" s="176" t="s">
        <v>20</v>
      </c>
      <c r="AC291" s="186" t="s">
        <v>21</v>
      </c>
      <c r="AD291" s="181" t="s">
        <v>2141</v>
      </c>
      <c r="AE291" s="179" t="s">
        <v>18</v>
      </c>
      <c r="AF291" s="191"/>
      <c r="AG291" s="175" t="s">
        <v>1173</v>
      </c>
      <c r="AH291" s="179">
        <f t="shared" si="45"/>
        <v>41</v>
      </c>
      <c r="AI291" s="179">
        <f>VLOOKUP(K291,[1]TRAMO!$A:$B,2,0)</f>
        <v>2</v>
      </c>
      <c r="AJ291" s="183">
        <f t="shared" si="46"/>
        <v>6372</v>
      </c>
      <c r="AK291" s="179">
        <f t="shared" si="47"/>
        <v>40.5</v>
      </c>
      <c r="AL291" s="183">
        <v>0</v>
      </c>
      <c r="AM291" s="183">
        <f t="shared" si="54"/>
        <v>3280000</v>
      </c>
      <c r="AN291" s="183">
        <f t="shared" si="48"/>
        <v>0</v>
      </c>
      <c r="AO291" s="183">
        <f t="shared" si="49"/>
        <v>5400000</v>
      </c>
      <c r="AP291" s="183">
        <f t="shared" si="50"/>
        <v>20645280</v>
      </c>
      <c r="AR291" s="183">
        <f t="shared" si="51"/>
        <v>0</v>
      </c>
      <c r="AS291" s="183">
        <f t="shared" si="52"/>
        <v>29325280</v>
      </c>
      <c r="AT291" s="175" t="s">
        <v>1600</v>
      </c>
      <c r="AU291" s="175" t="s">
        <v>1601</v>
      </c>
      <c r="AV291" s="175" t="s">
        <v>1602</v>
      </c>
      <c r="AW291" s="175" t="s">
        <v>1604</v>
      </c>
    </row>
    <row r="292" spans="1:49" ht="24.95" customHeight="1" x14ac:dyDescent="0.25">
      <c r="A292" s="175">
        <v>14359</v>
      </c>
      <c r="B292" s="175" t="s">
        <v>83</v>
      </c>
      <c r="C292" s="175" t="s">
        <v>1022</v>
      </c>
      <c r="D292" s="176">
        <v>1</v>
      </c>
      <c r="E292" s="176">
        <v>2025</v>
      </c>
      <c r="F292" s="176">
        <v>2025</v>
      </c>
      <c r="G292" s="175" t="s">
        <v>23</v>
      </c>
      <c r="H292" s="175" t="s">
        <v>83</v>
      </c>
      <c r="I292" s="175" t="s">
        <v>102</v>
      </c>
      <c r="J292" s="177" t="s">
        <v>768</v>
      </c>
      <c r="K292" s="175" t="s">
        <v>767</v>
      </c>
      <c r="L292" s="175" t="s">
        <v>345</v>
      </c>
      <c r="M292" s="175" t="s">
        <v>346</v>
      </c>
      <c r="N292" s="175">
        <v>4</v>
      </c>
      <c r="O292" s="175" t="s">
        <v>415</v>
      </c>
      <c r="P292" s="175" t="s">
        <v>813</v>
      </c>
      <c r="Q292" s="175" t="s">
        <v>702</v>
      </c>
      <c r="R292" s="175" t="s">
        <v>339</v>
      </c>
      <c r="S292" s="175" t="s">
        <v>19</v>
      </c>
      <c r="T292" s="175" t="s">
        <v>337</v>
      </c>
      <c r="U292" s="176">
        <v>10</v>
      </c>
      <c r="V292" s="176">
        <v>150</v>
      </c>
      <c r="W292" s="176">
        <v>12</v>
      </c>
      <c r="X292" s="179">
        <f t="shared" si="53"/>
        <v>162</v>
      </c>
      <c r="Y292" s="176">
        <v>4</v>
      </c>
      <c r="Z292" s="176" t="s">
        <v>20</v>
      </c>
      <c r="AA292" s="176" t="s">
        <v>20</v>
      </c>
      <c r="AB292" s="176" t="s">
        <v>20</v>
      </c>
      <c r="AC292" s="186" t="s">
        <v>21</v>
      </c>
      <c r="AD292" s="181" t="s">
        <v>2142</v>
      </c>
      <c r="AE292" s="179" t="s">
        <v>18</v>
      </c>
      <c r="AF292" s="191"/>
      <c r="AG292" s="175" t="s">
        <v>1173</v>
      </c>
      <c r="AH292" s="179">
        <f t="shared" si="45"/>
        <v>41</v>
      </c>
      <c r="AI292" s="179">
        <f>VLOOKUP(K292,[1]TRAMO!$A:$B,2,0)</f>
        <v>2</v>
      </c>
      <c r="AJ292" s="183">
        <f t="shared" si="46"/>
        <v>6372</v>
      </c>
      <c r="AK292" s="179">
        <f t="shared" si="47"/>
        <v>40.5</v>
      </c>
      <c r="AL292" s="183">
        <v>0</v>
      </c>
      <c r="AM292" s="183">
        <f t="shared" si="54"/>
        <v>1640000</v>
      </c>
      <c r="AN292" s="183">
        <f t="shared" si="48"/>
        <v>2050000</v>
      </c>
      <c r="AO292" s="183">
        <f t="shared" si="49"/>
        <v>2700000</v>
      </c>
      <c r="AP292" s="183">
        <f t="shared" si="50"/>
        <v>10322640</v>
      </c>
      <c r="AR292" s="183">
        <f t="shared" si="51"/>
        <v>0</v>
      </c>
      <c r="AS292" s="183">
        <f t="shared" si="52"/>
        <v>16712640</v>
      </c>
      <c r="AT292" s="175" t="s">
        <v>1535</v>
      </c>
      <c r="AU292" s="175" t="s">
        <v>1536</v>
      </c>
      <c r="AV292" s="175" t="s">
        <v>2032</v>
      </c>
      <c r="AW292" s="175" t="s">
        <v>1023</v>
      </c>
    </row>
    <row r="293" spans="1:49" ht="24.95" customHeight="1" x14ac:dyDescent="0.25">
      <c r="A293" s="175">
        <v>14424</v>
      </c>
      <c r="B293" s="175" t="s">
        <v>97</v>
      </c>
      <c r="C293" s="188" t="s">
        <v>1610</v>
      </c>
      <c r="D293" s="176">
        <v>1</v>
      </c>
      <c r="E293" s="176">
        <v>2025</v>
      </c>
      <c r="F293" s="176">
        <v>2025</v>
      </c>
      <c r="G293" s="175" t="s">
        <v>23</v>
      </c>
      <c r="H293" s="175" t="s">
        <v>97</v>
      </c>
      <c r="I293" s="175" t="s">
        <v>1611</v>
      </c>
      <c r="J293" s="177" t="s">
        <v>768</v>
      </c>
      <c r="K293" s="175" t="s">
        <v>767</v>
      </c>
      <c r="L293" s="175" t="s">
        <v>345</v>
      </c>
      <c r="M293" s="175" t="s">
        <v>346</v>
      </c>
      <c r="N293" s="175">
        <v>7</v>
      </c>
      <c r="O293" s="175" t="s">
        <v>428</v>
      </c>
      <c r="P293" s="175" t="s">
        <v>419</v>
      </c>
      <c r="Q293" s="175" t="s">
        <v>388</v>
      </c>
      <c r="R293" s="175" t="s">
        <v>339</v>
      </c>
      <c r="S293" s="175" t="s">
        <v>19</v>
      </c>
      <c r="T293" s="175" t="s">
        <v>337</v>
      </c>
      <c r="U293" s="176">
        <v>15</v>
      </c>
      <c r="V293" s="176">
        <v>150</v>
      </c>
      <c r="W293" s="176">
        <v>12</v>
      </c>
      <c r="X293" s="179">
        <f t="shared" si="53"/>
        <v>162</v>
      </c>
      <c r="Y293" s="176">
        <v>4</v>
      </c>
      <c r="Z293" s="176" t="s">
        <v>20</v>
      </c>
      <c r="AA293" s="176" t="s">
        <v>18</v>
      </c>
      <c r="AB293" s="176" t="s">
        <v>20</v>
      </c>
      <c r="AC293" s="186" t="s">
        <v>21</v>
      </c>
      <c r="AD293" s="181" t="s">
        <v>2143</v>
      </c>
      <c r="AE293" s="179" t="s">
        <v>18</v>
      </c>
      <c r="AF293" s="191"/>
      <c r="AG293" s="175" t="s">
        <v>1173</v>
      </c>
      <c r="AH293" s="179">
        <f t="shared" si="45"/>
        <v>41</v>
      </c>
      <c r="AI293" s="179">
        <f>VLOOKUP(K293,[1]TRAMO!$A:$B,2,0)</f>
        <v>2</v>
      </c>
      <c r="AJ293" s="183">
        <f t="shared" si="46"/>
        <v>6372</v>
      </c>
      <c r="AK293" s="179">
        <f t="shared" si="47"/>
        <v>40.5</v>
      </c>
      <c r="AL293" s="183">
        <v>0</v>
      </c>
      <c r="AM293" s="183">
        <f t="shared" si="54"/>
        <v>2460000</v>
      </c>
      <c r="AN293" s="183">
        <f t="shared" si="48"/>
        <v>0</v>
      </c>
      <c r="AO293" s="183">
        <f t="shared" si="49"/>
        <v>4050000</v>
      </c>
      <c r="AP293" s="183">
        <f t="shared" si="50"/>
        <v>15483960</v>
      </c>
      <c r="AR293" s="183">
        <f t="shared" si="51"/>
        <v>0</v>
      </c>
      <c r="AS293" s="183">
        <f t="shared" si="52"/>
        <v>21993960</v>
      </c>
      <c r="AT293" s="175" t="s">
        <v>1619</v>
      </c>
      <c r="AU293" s="175" t="s">
        <v>1615</v>
      </c>
      <c r="AV293" s="175" t="s">
        <v>1620</v>
      </c>
      <c r="AW293" s="175" t="s">
        <v>1621</v>
      </c>
    </row>
    <row r="294" spans="1:49" ht="24.95" customHeight="1" x14ac:dyDescent="0.25">
      <c r="A294" s="175">
        <v>14462</v>
      </c>
      <c r="B294" s="175" t="s">
        <v>97</v>
      </c>
      <c r="C294" s="188" t="s">
        <v>1610</v>
      </c>
      <c r="D294" s="176">
        <v>1</v>
      </c>
      <c r="E294" s="176">
        <v>2025</v>
      </c>
      <c r="F294" s="176">
        <v>2025</v>
      </c>
      <c r="G294" s="175" t="s">
        <v>23</v>
      </c>
      <c r="H294" s="175" t="s">
        <v>97</v>
      </c>
      <c r="I294" s="175" t="s">
        <v>1611</v>
      </c>
      <c r="J294" s="177" t="s">
        <v>768</v>
      </c>
      <c r="K294" s="175" t="s">
        <v>767</v>
      </c>
      <c r="L294" s="175" t="s">
        <v>345</v>
      </c>
      <c r="M294" s="175" t="s">
        <v>346</v>
      </c>
      <c r="N294" s="175">
        <v>8</v>
      </c>
      <c r="O294" s="175" t="s">
        <v>709</v>
      </c>
      <c r="P294" s="175" t="s">
        <v>735</v>
      </c>
      <c r="Q294" s="175" t="s">
        <v>388</v>
      </c>
      <c r="R294" s="175" t="s">
        <v>339</v>
      </c>
      <c r="S294" s="175" t="s">
        <v>19</v>
      </c>
      <c r="T294" s="175" t="s">
        <v>337</v>
      </c>
      <c r="U294" s="176">
        <v>15</v>
      </c>
      <c r="V294" s="176">
        <v>150</v>
      </c>
      <c r="W294" s="176">
        <v>12</v>
      </c>
      <c r="X294" s="179">
        <f t="shared" si="53"/>
        <v>162</v>
      </c>
      <c r="Y294" s="176">
        <v>4</v>
      </c>
      <c r="Z294" s="176" t="s">
        <v>20</v>
      </c>
      <c r="AA294" s="176" t="s">
        <v>18</v>
      </c>
      <c r="AB294" s="176" t="s">
        <v>20</v>
      </c>
      <c r="AC294" s="186" t="s">
        <v>21</v>
      </c>
      <c r="AD294" s="181" t="s">
        <v>2144</v>
      </c>
      <c r="AE294" s="179" t="s">
        <v>18</v>
      </c>
      <c r="AF294" s="191"/>
      <c r="AG294" s="175" t="s">
        <v>1173</v>
      </c>
      <c r="AH294" s="179">
        <f t="shared" si="45"/>
        <v>41</v>
      </c>
      <c r="AI294" s="179">
        <f>VLOOKUP(K294,[1]TRAMO!$A:$B,2,0)</f>
        <v>2</v>
      </c>
      <c r="AJ294" s="183">
        <f t="shared" si="46"/>
        <v>6372</v>
      </c>
      <c r="AK294" s="179">
        <f t="shared" si="47"/>
        <v>40.5</v>
      </c>
      <c r="AL294" s="183">
        <v>0</v>
      </c>
      <c r="AM294" s="183">
        <f t="shared" si="54"/>
        <v>2460000</v>
      </c>
      <c r="AN294" s="183">
        <f t="shared" si="48"/>
        <v>0</v>
      </c>
      <c r="AO294" s="183">
        <f t="shared" si="49"/>
        <v>4050000</v>
      </c>
      <c r="AP294" s="183">
        <f t="shared" si="50"/>
        <v>15483960</v>
      </c>
      <c r="AR294" s="183">
        <f t="shared" si="51"/>
        <v>0</v>
      </c>
      <c r="AS294" s="183">
        <f t="shared" si="52"/>
        <v>21993960</v>
      </c>
      <c r="AT294" s="175" t="s">
        <v>1619</v>
      </c>
      <c r="AU294" s="175" t="s">
        <v>1615</v>
      </c>
      <c r="AV294" s="175" t="s">
        <v>2145</v>
      </c>
      <c r="AW294" s="175" t="s">
        <v>1010</v>
      </c>
    </row>
    <row r="295" spans="1:49" ht="24.95" customHeight="1" x14ac:dyDescent="0.25">
      <c r="A295" s="175">
        <v>14239</v>
      </c>
      <c r="B295" s="175" t="s">
        <v>86</v>
      </c>
      <c r="C295" s="175" t="s">
        <v>29</v>
      </c>
      <c r="D295" s="176">
        <v>1</v>
      </c>
      <c r="E295" s="176">
        <v>2025</v>
      </c>
      <c r="F295" s="176">
        <v>2025</v>
      </c>
      <c r="G295" s="175" t="s">
        <v>23</v>
      </c>
      <c r="H295" s="175" t="s">
        <v>86</v>
      </c>
      <c r="I295" s="175" t="s">
        <v>105</v>
      </c>
      <c r="J295" s="177" t="s">
        <v>352</v>
      </c>
      <c r="K295" s="175" t="s">
        <v>351</v>
      </c>
      <c r="L295" s="175" t="s">
        <v>345</v>
      </c>
      <c r="M295" s="175" t="s">
        <v>346</v>
      </c>
      <c r="N295" s="175">
        <v>5</v>
      </c>
      <c r="O295" s="175" t="s">
        <v>395</v>
      </c>
      <c r="P295" s="175" t="s">
        <v>1630</v>
      </c>
      <c r="Q295" s="175" t="s">
        <v>1201</v>
      </c>
      <c r="R295" s="175" t="s">
        <v>339</v>
      </c>
      <c r="S295" s="175" t="s">
        <v>19</v>
      </c>
      <c r="T295" s="175" t="s">
        <v>337</v>
      </c>
      <c r="U295" s="176">
        <v>10</v>
      </c>
      <c r="V295" s="176">
        <v>95</v>
      </c>
      <c r="W295" s="176">
        <v>12</v>
      </c>
      <c r="X295" s="179">
        <f t="shared" si="53"/>
        <v>107</v>
      </c>
      <c r="Y295" s="176">
        <v>5</v>
      </c>
      <c r="Z295" s="176" t="s">
        <v>20</v>
      </c>
      <c r="AA295" s="176" t="s">
        <v>18</v>
      </c>
      <c r="AB295" s="176" t="s">
        <v>18</v>
      </c>
      <c r="AC295" s="186" t="s">
        <v>21</v>
      </c>
      <c r="AD295" s="181" t="s">
        <v>2146</v>
      </c>
      <c r="AE295" s="179" t="s">
        <v>18</v>
      </c>
      <c r="AF295" s="191"/>
      <c r="AG295" s="175" t="s">
        <v>1173</v>
      </c>
      <c r="AH295" s="179">
        <f t="shared" si="45"/>
        <v>22</v>
      </c>
      <c r="AI295" s="179">
        <f>VLOOKUP(K295,[1]TRAMO!$A:$B,2,0)</f>
        <v>2</v>
      </c>
      <c r="AJ295" s="183">
        <f t="shared" si="46"/>
        <v>6372</v>
      </c>
      <c r="AK295" s="179">
        <f t="shared" si="47"/>
        <v>21.4</v>
      </c>
      <c r="AL295" s="183">
        <v>0</v>
      </c>
      <c r="AM295" s="183">
        <f t="shared" si="54"/>
        <v>880000</v>
      </c>
      <c r="AN295" s="183">
        <f t="shared" si="48"/>
        <v>0</v>
      </c>
      <c r="AO295" s="183">
        <f t="shared" si="49"/>
        <v>0</v>
      </c>
      <c r="AP295" s="183">
        <f t="shared" si="50"/>
        <v>6818040</v>
      </c>
      <c r="AR295" s="183">
        <f t="shared" si="51"/>
        <v>0</v>
      </c>
      <c r="AS295" s="183">
        <f t="shared" si="52"/>
        <v>7698040</v>
      </c>
      <c r="AT295" s="175" t="s">
        <v>1632</v>
      </c>
      <c r="AU295" s="175" t="s">
        <v>1633</v>
      </c>
      <c r="AV295" s="175" t="s">
        <v>1634</v>
      </c>
      <c r="AW295" s="175" t="s">
        <v>1031</v>
      </c>
    </row>
    <row r="296" spans="1:49" ht="24.95" customHeight="1" x14ac:dyDescent="0.25">
      <c r="A296" s="175">
        <v>14240</v>
      </c>
      <c r="B296" s="175" t="s">
        <v>86</v>
      </c>
      <c r="C296" s="175" t="s">
        <v>29</v>
      </c>
      <c r="D296" s="176">
        <v>1</v>
      </c>
      <c r="E296" s="176">
        <v>2025</v>
      </c>
      <c r="F296" s="176">
        <v>2025</v>
      </c>
      <c r="G296" s="175" t="s">
        <v>23</v>
      </c>
      <c r="H296" s="175" t="s">
        <v>86</v>
      </c>
      <c r="I296" s="175" t="s">
        <v>105</v>
      </c>
      <c r="J296" s="177" t="s">
        <v>352</v>
      </c>
      <c r="K296" s="175" t="s">
        <v>351</v>
      </c>
      <c r="L296" s="175" t="s">
        <v>345</v>
      </c>
      <c r="M296" s="175" t="s">
        <v>346</v>
      </c>
      <c r="N296" s="175">
        <v>5</v>
      </c>
      <c r="O296" s="175" t="s">
        <v>395</v>
      </c>
      <c r="P296" s="175" t="s">
        <v>1630</v>
      </c>
      <c r="Q296" s="175" t="s">
        <v>1201</v>
      </c>
      <c r="R296" s="175" t="s">
        <v>339</v>
      </c>
      <c r="S296" s="175" t="s">
        <v>19</v>
      </c>
      <c r="T296" s="175" t="s">
        <v>337</v>
      </c>
      <c r="U296" s="176">
        <v>10</v>
      </c>
      <c r="V296" s="176">
        <v>95</v>
      </c>
      <c r="W296" s="176">
        <v>12</v>
      </c>
      <c r="X296" s="179">
        <f t="shared" si="53"/>
        <v>107</v>
      </c>
      <c r="Y296" s="176">
        <v>5</v>
      </c>
      <c r="Z296" s="176" t="s">
        <v>20</v>
      </c>
      <c r="AA296" s="176" t="s">
        <v>18</v>
      </c>
      <c r="AB296" s="176" t="s">
        <v>20</v>
      </c>
      <c r="AC296" s="186" t="s">
        <v>21</v>
      </c>
      <c r="AD296" s="181" t="s">
        <v>1636</v>
      </c>
      <c r="AE296" s="179" t="s">
        <v>18</v>
      </c>
      <c r="AF296" s="191"/>
      <c r="AG296" s="175" t="s">
        <v>1173</v>
      </c>
      <c r="AH296" s="179">
        <f t="shared" si="45"/>
        <v>22</v>
      </c>
      <c r="AI296" s="179">
        <f>VLOOKUP(K296,[1]TRAMO!$A:$B,2,0)</f>
        <v>2</v>
      </c>
      <c r="AJ296" s="183">
        <f t="shared" si="46"/>
        <v>6372</v>
      </c>
      <c r="AK296" s="179">
        <f t="shared" si="47"/>
        <v>21.4</v>
      </c>
      <c r="AL296" s="183">
        <v>0</v>
      </c>
      <c r="AM296" s="183">
        <f t="shared" si="54"/>
        <v>880000</v>
      </c>
      <c r="AN296" s="183">
        <f t="shared" si="48"/>
        <v>0</v>
      </c>
      <c r="AO296" s="183">
        <f t="shared" si="49"/>
        <v>2700000</v>
      </c>
      <c r="AP296" s="183">
        <f t="shared" si="50"/>
        <v>6818040</v>
      </c>
      <c r="AR296" s="183">
        <f t="shared" si="51"/>
        <v>0</v>
      </c>
      <c r="AS296" s="183">
        <f t="shared" si="52"/>
        <v>10398040</v>
      </c>
      <c r="AT296" s="175" t="s">
        <v>1632</v>
      </c>
      <c r="AU296" s="175" t="s">
        <v>1633</v>
      </c>
      <c r="AV296" s="175" t="s">
        <v>1634</v>
      </c>
      <c r="AW296" s="175" t="s">
        <v>1635</v>
      </c>
    </row>
    <row r="297" spans="1:49" ht="24.95" customHeight="1" x14ac:dyDescent="0.25">
      <c r="A297" s="175">
        <v>14241</v>
      </c>
      <c r="B297" s="175" t="s">
        <v>86</v>
      </c>
      <c r="C297" s="175" t="s">
        <v>29</v>
      </c>
      <c r="D297" s="176">
        <v>1</v>
      </c>
      <c r="E297" s="176">
        <v>2025</v>
      </c>
      <c r="F297" s="176">
        <v>2025</v>
      </c>
      <c r="G297" s="175" t="s">
        <v>23</v>
      </c>
      <c r="H297" s="175" t="s">
        <v>86</v>
      </c>
      <c r="I297" s="175" t="s">
        <v>105</v>
      </c>
      <c r="J297" s="177" t="s">
        <v>352</v>
      </c>
      <c r="K297" s="175" t="s">
        <v>351</v>
      </c>
      <c r="L297" s="175" t="s">
        <v>345</v>
      </c>
      <c r="M297" s="175" t="s">
        <v>346</v>
      </c>
      <c r="N297" s="175">
        <v>13</v>
      </c>
      <c r="O297" s="175" t="s">
        <v>382</v>
      </c>
      <c r="P297" s="175" t="s">
        <v>416</v>
      </c>
      <c r="Q297" s="175" t="s">
        <v>1201</v>
      </c>
      <c r="R297" s="175" t="s">
        <v>339</v>
      </c>
      <c r="S297" s="175" t="s">
        <v>19</v>
      </c>
      <c r="T297" s="175" t="s">
        <v>337</v>
      </c>
      <c r="U297" s="176">
        <v>10</v>
      </c>
      <c r="V297" s="176">
        <v>95</v>
      </c>
      <c r="W297" s="176">
        <v>12</v>
      </c>
      <c r="X297" s="179">
        <f t="shared" si="53"/>
        <v>107</v>
      </c>
      <c r="Y297" s="176">
        <v>5</v>
      </c>
      <c r="Z297" s="176" t="s">
        <v>20</v>
      </c>
      <c r="AA297" s="176" t="s">
        <v>18</v>
      </c>
      <c r="AB297" s="176" t="s">
        <v>20</v>
      </c>
      <c r="AC297" s="186" t="s">
        <v>21</v>
      </c>
      <c r="AD297" s="181" t="s">
        <v>1636</v>
      </c>
      <c r="AE297" s="179" t="s">
        <v>18</v>
      </c>
      <c r="AF297" s="191"/>
      <c r="AG297" s="175" t="s">
        <v>1173</v>
      </c>
      <c r="AH297" s="179">
        <f t="shared" si="45"/>
        <v>22</v>
      </c>
      <c r="AI297" s="179">
        <f>VLOOKUP(K297,[1]TRAMO!$A:$B,2,0)</f>
        <v>2</v>
      </c>
      <c r="AJ297" s="183">
        <f t="shared" si="46"/>
        <v>6372</v>
      </c>
      <c r="AK297" s="179">
        <f t="shared" si="47"/>
        <v>21.4</v>
      </c>
      <c r="AL297" s="183">
        <v>0</v>
      </c>
      <c r="AM297" s="183">
        <f t="shared" si="54"/>
        <v>880000</v>
      </c>
      <c r="AN297" s="183">
        <f t="shared" si="48"/>
        <v>0</v>
      </c>
      <c r="AO297" s="183">
        <f t="shared" si="49"/>
        <v>2700000</v>
      </c>
      <c r="AP297" s="183">
        <f t="shared" si="50"/>
        <v>6818040</v>
      </c>
      <c r="AR297" s="183">
        <f t="shared" si="51"/>
        <v>0</v>
      </c>
      <c r="AS297" s="183">
        <f t="shared" si="52"/>
        <v>10398040</v>
      </c>
      <c r="AT297" s="175" t="s">
        <v>1632</v>
      </c>
      <c r="AU297" s="175" t="s">
        <v>1633</v>
      </c>
      <c r="AV297" s="175" t="s">
        <v>1634</v>
      </c>
      <c r="AW297" s="175" t="s">
        <v>1031</v>
      </c>
    </row>
    <row r="298" spans="1:49" ht="24.95" customHeight="1" x14ac:dyDescent="0.25">
      <c r="A298" s="175">
        <v>14242</v>
      </c>
      <c r="B298" s="175" t="s">
        <v>86</v>
      </c>
      <c r="C298" s="175" t="s">
        <v>29</v>
      </c>
      <c r="D298" s="176">
        <v>1</v>
      </c>
      <c r="E298" s="176">
        <v>2025</v>
      </c>
      <c r="F298" s="176">
        <v>2025</v>
      </c>
      <c r="G298" s="175" t="s">
        <v>23</v>
      </c>
      <c r="H298" s="175" t="s">
        <v>86</v>
      </c>
      <c r="I298" s="175" t="s">
        <v>105</v>
      </c>
      <c r="J298" s="177" t="s">
        <v>352</v>
      </c>
      <c r="K298" s="175" t="s">
        <v>351</v>
      </c>
      <c r="L298" s="175" t="s">
        <v>345</v>
      </c>
      <c r="M298" s="175" t="s">
        <v>346</v>
      </c>
      <c r="N298" s="175">
        <v>13</v>
      </c>
      <c r="O298" s="175" t="s">
        <v>382</v>
      </c>
      <c r="P298" s="175" t="s">
        <v>412</v>
      </c>
      <c r="Q298" s="175" t="s">
        <v>1201</v>
      </c>
      <c r="R298" s="175" t="s">
        <v>339</v>
      </c>
      <c r="S298" s="175" t="s">
        <v>19</v>
      </c>
      <c r="T298" s="175" t="s">
        <v>337</v>
      </c>
      <c r="U298" s="176">
        <v>10</v>
      </c>
      <c r="V298" s="176">
        <v>95</v>
      </c>
      <c r="W298" s="176">
        <v>12</v>
      </c>
      <c r="X298" s="179">
        <f t="shared" si="53"/>
        <v>107</v>
      </c>
      <c r="Y298" s="176">
        <v>5</v>
      </c>
      <c r="Z298" s="176" t="s">
        <v>20</v>
      </c>
      <c r="AA298" s="176" t="s">
        <v>18</v>
      </c>
      <c r="AB298" s="176" t="s">
        <v>20</v>
      </c>
      <c r="AC298" s="186" t="s">
        <v>21</v>
      </c>
      <c r="AD298" s="181" t="s">
        <v>1636</v>
      </c>
      <c r="AE298" s="179" t="s">
        <v>18</v>
      </c>
      <c r="AF298" s="191"/>
      <c r="AG298" s="175" t="s">
        <v>1173</v>
      </c>
      <c r="AH298" s="179">
        <f t="shared" si="45"/>
        <v>22</v>
      </c>
      <c r="AI298" s="179">
        <f>VLOOKUP(K298,[1]TRAMO!$A:$B,2,0)</f>
        <v>2</v>
      </c>
      <c r="AJ298" s="183">
        <f t="shared" si="46"/>
        <v>6372</v>
      </c>
      <c r="AK298" s="179">
        <f t="shared" si="47"/>
        <v>21.4</v>
      </c>
      <c r="AL298" s="183">
        <v>0</v>
      </c>
      <c r="AM298" s="183">
        <f t="shared" si="54"/>
        <v>880000</v>
      </c>
      <c r="AN298" s="183">
        <f t="shared" si="48"/>
        <v>0</v>
      </c>
      <c r="AO298" s="183">
        <f t="shared" si="49"/>
        <v>2700000</v>
      </c>
      <c r="AP298" s="183">
        <f t="shared" si="50"/>
        <v>6818040</v>
      </c>
      <c r="AR298" s="183">
        <f t="shared" si="51"/>
        <v>0</v>
      </c>
      <c r="AS298" s="183">
        <f t="shared" si="52"/>
        <v>10398040</v>
      </c>
      <c r="AT298" s="175" t="s">
        <v>1632</v>
      </c>
      <c r="AU298" s="175" t="s">
        <v>1633</v>
      </c>
      <c r="AV298" s="175" t="s">
        <v>1634</v>
      </c>
      <c r="AW298" s="175" t="s">
        <v>1635</v>
      </c>
    </row>
    <row r="299" spans="1:49" ht="24.95" customHeight="1" x14ac:dyDescent="0.25">
      <c r="A299" s="175">
        <v>14334</v>
      </c>
      <c r="B299" s="175" t="s">
        <v>98</v>
      </c>
      <c r="C299" s="175" t="s">
        <v>41</v>
      </c>
      <c r="D299" s="176">
        <v>1</v>
      </c>
      <c r="E299" s="176">
        <v>2025</v>
      </c>
      <c r="F299" s="176">
        <v>2025</v>
      </c>
      <c r="G299" s="175" t="s">
        <v>23</v>
      </c>
      <c r="H299" s="175" t="s">
        <v>98</v>
      </c>
      <c r="I299" s="175" t="s">
        <v>1175</v>
      </c>
      <c r="J299" s="177" t="s">
        <v>352</v>
      </c>
      <c r="K299" s="175" t="s">
        <v>351</v>
      </c>
      <c r="L299" s="175" t="s">
        <v>345</v>
      </c>
      <c r="M299" s="175" t="s">
        <v>346</v>
      </c>
      <c r="N299" s="175">
        <v>5</v>
      </c>
      <c r="O299" s="175" t="s">
        <v>395</v>
      </c>
      <c r="P299" s="175" t="s">
        <v>1030</v>
      </c>
      <c r="Q299" s="175" t="s">
        <v>1201</v>
      </c>
      <c r="R299" s="175" t="s">
        <v>339</v>
      </c>
      <c r="S299" s="175" t="s">
        <v>19</v>
      </c>
      <c r="T299" s="175" t="s">
        <v>337</v>
      </c>
      <c r="U299" s="176">
        <v>10</v>
      </c>
      <c r="V299" s="176">
        <v>95</v>
      </c>
      <c r="W299" s="176">
        <v>12</v>
      </c>
      <c r="X299" s="179">
        <f t="shared" si="53"/>
        <v>107</v>
      </c>
      <c r="Y299" s="176">
        <v>4</v>
      </c>
      <c r="Z299" s="176" t="s">
        <v>20</v>
      </c>
      <c r="AA299" s="176" t="s">
        <v>18</v>
      </c>
      <c r="AB299" s="176" t="s">
        <v>20</v>
      </c>
      <c r="AC299" s="186" t="s">
        <v>21</v>
      </c>
      <c r="AD299" s="181" t="s">
        <v>2147</v>
      </c>
      <c r="AE299" s="179" t="s">
        <v>18</v>
      </c>
      <c r="AF299" s="191"/>
      <c r="AG299" s="175" t="s">
        <v>1173</v>
      </c>
      <c r="AH299" s="179">
        <f t="shared" si="45"/>
        <v>27</v>
      </c>
      <c r="AI299" s="179">
        <f>VLOOKUP(K299,[1]TRAMO!$A:$B,2,0)</f>
        <v>2</v>
      </c>
      <c r="AJ299" s="183">
        <f t="shared" si="46"/>
        <v>6372</v>
      </c>
      <c r="AK299" s="179">
        <f t="shared" si="47"/>
        <v>26.75</v>
      </c>
      <c r="AL299" s="183">
        <v>0</v>
      </c>
      <c r="AM299" s="183">
        <f t="shared" si="54"/>
        <v>1080000</v>
      </c>
      <c r="AN299" s="183">
        <f t="shared" si="48"/>
        <v>0</v>
      </c>
      <c r="AO299" s="183">
        <f t="shared" si="49"/>
        <v>2700000</v>
      </c>
      <c r="AP299" s="183">
        <f t="shared" si="50"/>
        <v>6818040</v>
      </c>
      <c r="AR299" s="183">
        <f t="shared" si="51"/>
        <v>0</v>
      </c>
      <c r="AS299" s="183">
        <f t="shared" si="52"/>
        <v>10598040</v>
      </c>
      <c r="AT299" s="175" t="s">
        <v>1561</v>
      </c>
      <c r="AU299" s="175" t="s">
        <v>1345</v>
      </c>
      <c r="AV299" s="175" t="s">
        <v>2148</v>
      </c>
      <c r="AW299" s="175" t="s">
        <v>2149</v>
      </c>
    </row>
    <row r="300" spans="1:49" ht="24.95" customHeight="1" x14ac:dyDescent="0.25">
      <c r="A300" s="175">
        <v>14282</v>
      </c>
      <c r="B300" s="175" t="s">
        <v>96</v>
      </c>
      <c r="C300" s="175" t="s">
        <v>39</v>
      </c>
      <c r="D300" s="176">
        <v>4</v>
      </c>
      <c r="E300" s="176">
        <v>2025</v>
      </c>
      <c r="F300" s="176">
        <v>2025</v>
      </c>
      <c r="G300" s="175" t="s">
        <v>23</v>
      </c>
      <c r="H300" s="175" t="s">
        <v>96</v>
      </c>
      <c r="I300" s="175" t="s">
        <v>1042</v>
      </c>
      <c r="J300" s="177" t="s">
        <v>851</v>
      </c>
      <c r="K300" s="175" t="s">
        <v>850</v>
      </c>
      <c r="L300" s="175" t="s">
        <v>345</v>
      </c>
      <c r="M300" s="175" t="s">
        <v>346</v>
      </c>
      <c r="N300" s="175">
        <v>7</v>
      </c>
      <c r="O300" s="175" t="s">
        <v>428</v>
      </c>
      <c r="P300" s="175" t="s">
        <v>430</v>
      </c>
      <c r="Q300" s="175" t="s">
        <v>385</v>
      </c>
      <c r="R300" s="175" t="s">
        <v>339</v>
      </c>
      <c r="S300" s="175" t="s">
        <v>19</v>
      </c>
      <c r="T300" s="175" t="s">
        <v>337</v>
      </c>
      <c r="U300" s="176">
        <v>20</v>
      </c>
      <c r="V300" s="176">
        <v>140</v>
      </c>
      <c r="W300" s="176">
        <v>12</v>
      </c>
      <c r="X300" s="179">
        <f t="shared" si="53"/>
        <v>152</v>
      </c>
      <c r="Y300" s="176">
        <v>5</v>
      </c>
      <c r="Z300" s="176" t="s">
        <v>20</v>
      </c>
      <c r="AA300" s="176" t="s">
        <v>18</v>
      </c>
      <c r="AB300" s="176" t="s">
        <v>20</v>
      </c>
      <c r="AC300" s="186" t="s">
        <v>21</v>
      </c>
      <c r="AD300" s="181" t="s">
        <v>2150</v>
      </c>
      <c r="AE300" s="179" t="s">
        <v>18</v>
      </c>
      <c r="AF300" s="191"/>
      <c r="AG300" s="175" t="s">
        <v>1173</v>
      </c>
      <c r="AH300" s="179">
        <f t="shared" si="45"/>
        <v>31</v>
      </c>
      <c r="AI300" s="179">
        <f>VLOOKUP(K300,[1]TRAMO!$A:$B,2,0)</f>
        <v>2</v>
      </c>
      <c r="AJ300" s="183">
        <f t="shared" si="46"/>
        <v>6372</v>
      </c>
      <c r="AK300" s="179">
        <f t="shared" si="47"/>
        <v>30.4</v>
      </c>
      <c r="AL300" s="183">
        <v>0</v>
      </c>
      <c r="AM300" s="183">
        <f t="shared" si="54"/>
        <v>2480000</v>
      </c>
      <c r="AN300" s="183">
        <f t="shared" si="48"/>
        <v>0</v>
      </c>
      <c r="AO300" s="183">
        <f t="shared" si="49"/>
        <v>5400000</v>
      </c>
      <c r="AP300" s="183">
        <f t="shared" si="50"/>
        <v>19370880</v>
      </c>
      <c r="AR300" s="183">
        <f t="shared" si="51"/>
        <v>0</v>
      </c>
      <c r="AS300" s="183">
        <f t="shared" si="52"/>
        <v>27250880</v>
      </c>
      <c r="AT300" s="175" t="s">
        <v>1818</v>
      </c>
      <c r="AU300" s="175" t="s">
        <v>1751</v>
      </c>
      <c r="AV300" s="175" t="s">
        <v>1788</v>
      </c>
      <c r="AW300" s="175" t="s">
        <v>1789</v>
      </c>
    </row>
    <row r="301" spans="1:49" ht="24.95" customHeight="1" x14ac:dyDescent="0.25">
      <c r="A301" s="175">
        <v>14322</v>
      </c>
      <c r="B301" s="175" t="s">
        <v>96</v>
      </c>
      <c r="C301" s="175" t="s">
        <v>39</v>
      </c>
      <c r="D301" s="176">
        <v>4</v>
      </c>
      <c r="E301" s="176">
        <v>2025</v>
      </c>
      <c r="F301" s="176">
        <v>2025</v>
      </c>
      <c r="G301" s="175" t="s">
        <v>23</v>
      </c>
      <c r="H301" s="175" t="s">
        <v>96</v>
      </c>
      <c r="I301" s="175" t="s">
        <v>1042</v>
      </c>
      <c r="J301" s="177" t="s">
        <v>851</v>
      </c>
      <c r="K301" s="175" t="s">
        <v>850</v>
      </c>
      <c r="L301" s="175" t="s">
        <v>345</v>
      </c>
      <c r="M301" s="175" t="s">
        <v>346</v>
      </c>
      <c r="N301" s="175">
        <v>8</v>
      </c>
      <c r="O301" s="175" t="s">
        <v>709</v>
      </c>
      <c r="P301" s="175" t="s">
        <v>2151</v>
      </c>
      <c r="Q301" s="175" t="s">
        <v>385</v>
      </c>
      <c r="R301" s="175" t="s">
        <v>339</v>
      </c>
      <c r="S301" s="175" t="s">
        <v>19</v>
      </c>
      <c r="T301" s="175" t="s">
        <v>337</v>
      </c>
      <c r="U301" s="176">
        <v>15</v>
      </c>
      <c r="V301" s="176">
        <v>140</v>
      </c>
      <c r="W301" s="176">
        <v>12</v>
      </c>
      <c r="X301" s="179">
        <f t="shared" si="53"/>
        <v>152</v>
      </c>
      <c r="Y301" s="176">
        <v>5</v>
      </c>
      <c r="Z301" s="176" t="s">
        <v>20</v>
      </c>
      <c r="AA301" s="176" t="s">
        <v>18</v>
      </c>
      <c r="AB301" s="176" t="s">
        <v>20</v>
      </c>
      <c r="AC301" s="186" t="s">
        <v>21</v>
      </c>
      <c r="AD301" s="181" t="s">
        <v>2152</v>
      </c>
      <c r="AE301" s="179" t="s">
        <v>18</v>
      </c>
      <c r="AF301" s="191"/>
      <c r="AG301" s="175" t="s">
        <v>1173</v>
      </c>
      <c r="AH301" s="179">
        <f t="shared" si="45"/>
        <v>31</v>
      </c>
      <c r="AI301" s="179">
        <f>VLOOKUP(K301,[1]TRAMO!$A:$B,2,0)</f>
        <v>2</v>
      </c>
      <c r="AJ301" s="183">
        <f t="shared" si="46"/>
        <v>6372</v>
      </c>
      <c r="AK301" s="179">
        <f t="shared" si="47"/>
        <v>30.4</v>
      </c>
      <c r="AL301" s="183">
        <v>0</v>
      </c>
      <c r="AM301" s="183">
        <f t="shared" si="54"/>
        <v>1860000</v>
      </c>
      <c r="AN301" s="183">
        <f t="shared" si="48"/>
        <v>0</v>
      </c>
      <c r="AO301" s="183">
        <f t="shared" si="49"/>
        <v>4050000</v>
      </c>
      <c r="AP301" s="183">
        <f t="shared" si="50"/>
        <v>14528160</v>
      </c>
      <c r="AR301" s="183">
        <f t="shared" si="51"/>
        <v>0</v>
      </c>
      <c r="AS301" s="183">
        <f t="shared" si="52"/>
        <v>20438160</v>
      </c>
      <c r="AT301" s="175" t="s">
        <v>1818</v>
      </c>
      <c r="AU301" s="175" t="s">
        <v>1751</v>
      </c>
      <c r="AV301" s="175" t="s">
        <v>1788</v>
      </c>
      <c r="AW301" s="175" t="s">
        <v>1789</v>
      </c>
    </row>
    <row r="302" spans="1:49" ht="24.95" customHeight="1" x14ac:dyDescent="0.25">
      <c r="A302" s="175">
        <v>14525</v>
      </c>
      <c r="B302" s="175" t="s">
        <v>83</v>
      </c>
      <c r="C302" s="175" t="s">
        <v>1022</v>
      </c>
      <c r="D302" s="176">
        <v>1</v>
      </c>
      <c r="E302" s="176">
        <v>2025</v>
      </c>
      <c r="F302" s="176">
        <v>2025</v>
      </c>
      <c r="G302" s="175" t="s">
        <v>23</v>
      </c>
      <c r="H302" s="175" t="s">
        <v>83</v>
      </c>
      <c r="I302" s="175" t="s">
        <v>102</v>
      </c>
      <c r="J302" s="177" t="s">
        <v>851</v>
      </c>
      <c r="K302" s="175" t="s">
        <v>850</v>
      </c>
      <c r="L302" s="175" t="s">
        <v>345</v>
      </c>
      <c r="M302" s="175" t="s">
        <v>346</v>
      </c>
      <c r="N302" s="175">
        <v>9</v>
      </c>
      <c r="O302" s="175" t="s">
        <v>424</v>
      </c>
      <c r="P302" s="175" t="s">
        <v>833</v>
      </c>
      <c r="Q302" s="175" t="s">
        <v>385</v>
      </c>
      <c r="R302" s="175" t="s">
        <v>339</v>
      </c>
      <c r="S302" s="175" t="s">
        <v>19</v>
      </c>
      <c r="T302" s="175" t="s">
        <v>337</v>
      </c>
      <c r="U302" s="176">
        <v>15</v>
      </c>
      <c r="V302" s="176">
        <v>140</v>
      </c>
      <c r="W302" s="176">
        <v>12</v>
      </c>
      <c r="X302" s="179">
        <f t="shared" si="53"/>
        <v>152</v>
      </c>
      <c r="Y302" s="176">
        <v>4</v>
      </c>
      <c r="Z302" s="176" t="s">
        <v>20</v>
      </c>
      <c r="AA302" s="176" t="s">
        <v>20</v>
      </c>
      <c r="AB302" s="176" t="s">
        <v>20</v>
      </c>
      <c r="AC302" s="186" t="s">
        <v>21</v>
      </c>
      <c r="AD302" s="181" t="s">
        <v>2153</v>
      </c>
      <c r="AE302" s="179" t="s">
        <v>18</v>
      </c>
      <c r="AF302" s="191"/>
      <c r="AG302" s="175" t="s">
        <v>1173</v>
      </c>
      <c r="AH302" s="179">
        <f t="shared" si="45"/>
        <v>38</v>
      </c>
      <c r="AI302" s="179">
        <f>VLOOKUP(K302,[1]TRAMO!$A:$B,2,0)</f>
        <v>2</v>
      </c>
      <c r="AJ302" s="183">
        <f t="shared" si="46"/>
        <v>6372</v>
      </c>
      <c r="AK302" s="179">
        <f t="shared" si="47"/>
        <v>38</v>
      </c>
      <c r="AL302" s="183">
        <v>0</v>
      </c>
      <c r="AM302" s="183">
        <f t="shared" si="54"/>
        <v>2280000</v>
      </c>
      <c r="AN302" s="183">
        <f t="shared" si="48"/>
        <v>2850000</v>
      </c>
      <c r="AO302" s="183">
        <f t="shared" si="49"/>
        <v>4050000</v>
      </c>
      <c r="AP302" s="183">
        <f t="shared" si="50"/>
        <v>14528160</v>
      </c>
      <c r="AR302" s="183">
        <f t="shared" si="51"/>
        <v>0</v>
      </c>
      <c r="AS302" s="183">
        <f t="shared" si="52"/>
        <v>23708160</v>
      </c>
      <c r="AT302" s="175" t="s">
        <v>2034</v>
      </c>
      <c r="AU302" s="175" t="s">
        <v>2035</v>
      </c>
      <c r="AV302" s="175" t="s">
        <v>2120</v>
      </c>
      <c r="AW302" s="175" t="s">
        <v>1789</v>
      </c>
    </row>
    <row r="303" spans="1:49" ht="24.95" customHeight="1" x14ac:dyDescent="0.25">
      <c r="A303" s="175">
        <v>14266</v>
      </c>
      <c r="B303" s="175" t="s">
        <v>98</v>
      </c>
      <c r="C303" s="175" t="s">
        <v>41</v>
      </c>
      <c r="D303" s="176">
        <v>1</v>
      </c>
      <c r="E303" s="176">
        <v>2025</v>
      </c>
      <c r="F303" s="176">
        <v>2025</v>
      </c>
      <c r="G303" s="175" t="s">
        <v>23</v>
      </c>
      <c r="H303" s="175" t="s">
        <v>98</v>
      </c>
      <c r="I303" s="175" t="s">
        <v>1175</v>
      </c>
      <c r="J303" s="177" t="s">
        <v>350</v>
      </c>
      <c r="K303" s="175" t="s">
        <v>349</v>
      </c>
      <c r="L303" s="175" t="s">
        <v>345</v>
      </c>
      <c r="M303" s="175" t="s">
        <v>346</v>
      </c>
      <c r="N303" s="175">
        <v>13</v>
      </c>
      <c r="O303" s="175" t="s">
        <v>382</v>
      </c>
      <c r="P303" s="175" t="s">
        <v>416</v>
      </c>
      <c r="Q303" s="175" t="s">
        <v>1201</v>
      </c>
      <c r="R303" s="175" t="s">
        <v>339</v>
      </c>
      <c r="S303" s="175" t="s">
        <v>19</v>
      </c>
      <c r="T303" s="175" t="s">
        <v>337</v>
      </c>
      <c r="U303" s="176">
        <v>11</v>
      </c>
      <c r="V303" s="176">
        <v>110</v>
      </c>
      <c r="W303" s="176">
        <v>12</v>
      </c>
      <c r="X303" s="179">
        <f t="shared" si="53"/>
        <v>122</v>
      </c>
      <c r="Y303" s="176">
        <v>3</v>
      </c>
      <c r="Z303" s="176" t="s">
        <v>20</v>
      </c>
      <c r="AA303" s="176" t="s">
        <v>18</v>
      </c>
      <c r="AB303" s="176" t="s">
        <v>20</v>
      </c>
      <c r="AC303" s="186" t="s">
        <v>21</v>
      </c>
      <c r="AD303" s="181" t="s">
        <v>2154</v>
      </c>
      <c r="AE303" s="179" t="s">
        <v>18</v>
      </c>
      <c r="AF303" s="191"/>
      <c r="AG303" s="175" t="s">
        <v>1173</v>
      </c>
      <c r="AH303" s="179">
        <f t="shared" si="45"/>
        <v>41</v>
      </c>
      <c r="AI303" s="179">
        <f>VLOOKUP(K303,[1]TRAMO!$A:$B,2,0)</f>
        <v>2</v>
      </c>
      <c r="AJ303" s="183">
        <f t="shared" si="46"/>
        <v>6372</v>
      </c>
      <c r="AK303" s="179">
        <f t="shared" si="47"/>
        <v>40.666666666666664</v>
      </c>
      <c r="AL303" s="183">
        <v>0</v>
      </c>
      <c r="AM303" s="183">
        <f t="shared" si="54"/>
        <v>1804000</v>
      </c>
      <c r="AN303" s="183">
        <f t="shared" si="48"/>
        <v>0</v>
      </c>
      <c r="AO303" s="183">
        <f t="shared" si="49"/>
        <v>2970000</v>
      </c>
      <c r="AP303" s="183">
        <f t="shared" si="50"/>
        <v>8551224</v>
      </c>
      <c r="AR303" s="183">
        <f t="shared" si="51"/>
        <v>0</v>
      </c>
      <c r="AS303" s="183">
        <f t="shared" si="52"/>
        <v>13325224</v>
      </c>
      <c r="AT303" s="175" t="s">
        <v>1729</v>
      </c>
      <c r="AU303" s="175" t="s">
        <v>1730</v>
      </c>
      <c r="AV303" s="175" t="s">
        <v>2155</v>
      </c>
      <c r="AW303" s="175" t="s">
        <v>2156</v>
      </c>
    </row>
    <row r="304" spans="1:49" ht="24.95" customHeight="1" x14ac:dyDescent="0.25">
      <c r="A304" s="175">
        <v>14267</v>
      </c>
      <c r="B304" s="175" t="s">
        <v>86</v>
      </c>
      <c r="C304" s="175" t="s">
        <v>29</v>
      </c>
      <c r="D304" s="176">
        <v>1</v>
      </c>
      <c r="E304" s="176">
        <v>2025</v>
      </c>
      <c r="F304" s="176">
        <v>2025</v>
      </c>
      <c r="G304" s="175" t="s">
        <v>23</v>
      </c>
      <c r="H304" s="175" t="s">
        <v>86</v>
      </c>
      <c r="I304" s="175" t="s">
        <v>105</v>
      </c>
      <c r="J304" s="177" t="s">
        <v>350</v>
      </c>
      <c r="K304" s="175" t="s">
        <v>349</v>
      </c>
      <c r="L304" s="175" t="s">
        <v>345</v>
      </c>
      <c r="M304" s="175" t="s">
        <v>346</v>
      </c>
      <c r="N304" s="175">
        <v>4</v>
      </c>
      <c r="O304" s="175" t="s">
        <v>415</v>
      </c>
      <c r="P304" s="175" t="s">
        <v>884</v>
      </c>
      <c r="Q304" s="175" t="s">
        <v>1201</v>
      </c>
      <c r="R304" s="175" t="s">
        <v>339</v>
      </c>
      <c r="S304" s="175" t="s">
        <v>19</v>
      </c>
      <c r="T304" s="175" t="s">
        <v>1598</v>
      </c>
      <c r="U304" s="176">
        <v>20</v>
      </c>
      <c r="V304" s="176">
        <v>110</v>
      </c>
      <c r="W304" s="176">
        <v>12</v>
      </c>
      <c r="X304" s="179">
        <f t="shared" si="53"/>
        <v>122</v>
      </c>
      <c r="Y304" s="176">
        <v>4</v>
      </c>
      <c r="Z304" s="176" t="s">
        <v>20</v>
      </c>
      <c r="AA304" s="176" t="s">
        <v>18</v>
      </c>
      <c r="AB304" s="176" t="s">
        <v>20</v>
      </c>
      <c r="AC304" s="186" t="s">
        <v>21</v>
      </c>
      <c r="AD304" s="181" t="s">
        <v>2157</v>
      </c>
      <c r="AE304" s="179" t="s">
        <v>18</v>
      </c>
      <c r="AF304" s="191"/>
      <c r="AG304" s="175" t="s">
        <v>1173</v>
      </c>
      <c r="AH304" s="179">
        <f t="shared" si="45"/>
        <v>31</v>
      </c>
      <c r="AI304" s="179">
        <f>VLOOKUP(K304,[1]TRAMO!$A:$B,2,0)</f>
        <v>2</v>
      </c>
      <c r="AJ304" s="183">
        <f t="shared" si="46"/>
        <v>6372</v>
      </c>
      <c r="AK304" s="179">
        <f t="shared" si="47"/>
        <v>30.5</v>
      </c>
      <c r="AL304" s="183">
        <v>0</v>
      </c>
      <c r="AM304" s="183">
        <f t="shared" si="54"/>
        <v>2480000</v>
      </c>
      <c r="AN304" s="183">
        <f t="shared" si="48"/>
        <v>0</v>
      </c>
      <c r="AO304" s="183">
        <f t="shared" si="49"/>
        <v>5400000</v>
      </c>
      <c r="AP304" s="183">
        <f t="shared" si="50"/>
        <v>15547680</v>
      </c>
      <c r="AR304" s="183">
        <f t="shared" si="51"/>
        <v>0</v>
      </c>
      <c r="AS304" s="183">
        <f t="shared" si="52"/>
        <v>23427680</v>
      </c>
      <c r="AT304" s="175" t="s">
        <v>1600</v>
      </c>
      <c r="AU304" s="175" t="s">
        <v>1601</v>
      </c>
      <c r="AV304" s="175" t="s">
        <v>1602</v>
      </c>
      <c r="AW304" s="175" t="s">
        <v>1604</v>
      </c>
    </row>
    <row r="305" spans="1:49" ht="24.95" customHeight="1" x14ac:dyDescent="0.25">
      <c r="A305" s="175">
        <v>14314</v>
      </c>
      <c r="B305" s="175" t="s">
        <v>97</v>
      </c>
      <c r="C305" s="188" t="s">
        <v>1610</v>
      </c>
      <c r="D305" s="176">
        <v>1</v>
      </c>
      <c r="E305" s="176">
        <v>2025</v>
      </c>
      <c r="F305" s="176">
        <v>2025</v>
      </c>
      <c r="G305" s="175" t="s">
        <v>23</v>
      </c>
      <c r="H305" s="175" t="s">
        <v>97</v>
      </c>
      <c r="I305" s="175" t="s">
        <v>1611</v>
      </c>
      <c r="J305" s="177" t="s">
        <v>350</v>
      </c>
      <c r="K305" s="175" t="s">
        <v>349</v>
      </c>
      <c r="L305" s="175" t="s">
        <v>345</v>
      </c>
      <c r="M305" s="175" t="s">
        <v>346</v>
      </c>
      <c r="N305" s="175">
        <v>3</v>
      </c>
      <c r="O305" s="175" t="s">
        <v>751</v>
      </c>
      <c r="P305" s="175" t="s">
        <v>839</v>
      </c>
      <c r="Q305" s="175" t="s">
        <v>388</v>
      </c>
      <c r="R305" s="175" t="s">
        <v>339</v>
      </c>
      <c r="S305" s="175" t="s">
        <v>19</v>
      </c>
      <c r="T305" s="175" t="s">
        <v>337</v>
      </c>
      <c r="U305" s="176">
        <v>15</v>
      </c>
      <c r="V305" s="176">
        <v>110</v>
      </c>
      <c r="W305" s="176">
        <v>12</v>
      </c>
      <c r="X305" s="179">
        <f t="shared" si="53"/>
        <v>122</v>
      </c>
      <c r="Y305" s="176">
        <v>4</v>
      </c>
      <c r="Z305" s="176" t="s">
        <v>20</v>
      </c>
      <c r="AA305" s="176" t="s">
        <v>18</v>
      </c>
      <c r="AB305" s="176" t="s">
        <v>20</v>
      </c>
      <c r="AC305" s="186" t="s">
        <v>21</v>
      </c>
      <c r="AD305" s="181" t="s">
        <v>2158</v>
      </c>
      <c r="AE305" s="179" t="s">
        <v>18</v>
      </c>
      <c r="AF305" s="191"/>
      <c r="AG305" s="175" t="s">
        <v>1173</v>
      </c>
      <c r="AH305" s="179">
        <f t="shared" si="45"/>
        <v>31</v>
      </c>
      <c r="AI305" s="179">
        <f>VLOOKUP(K305,[1]TRAMO!$A:$B,2,0)</f>
        <v>2</v>
      </c>
      <c r="AJ305" s="183">
        <f t="shared" si="46"/>
        <v>6372</v>
      </c>
      <c r="AK305" s="179">
        <f t="shared" si="47"/>
        <v>30.5</v>
      </c>
      <c r="AL305" s="183">
        <v>0</v>
      </c>
      <c r="AM305" s="183">
        <f t="shared" si="54"/>
        <v>1860000</v>
      </c>
      <c r="AN305" s="183">
        <f t="shared" si="48"/>
        <v>0</v>
      </c>
      <c r="AO305" s="183">
        <f t="shared" si="49"/>
        <v>4050000</v>
      </c>
      <c r="AP305" s="183">
        <f t="shared" si="50"/>
        <v>11660760</v>
      </c>
      <c r="AR305" s="183">
        <f t="shared" si="51"/>
        <v>0</v>
      </c>
      <c r="AS305" s="183">
        <f t="shared" si="52"/>
        <v>17570760</v>
      </c>
      <c r="AT305" s="175" t="s">
        <v>1614</v>
      </c>
      <c r="AU305" s="175" t="s">
        <v>1615</v>
      </c>
      <c r="AV305" s="175" t="s">
        <v>2159</v>
      </c>
      <c r="AW305" s="175" t="s">
        <v>998</v>
      </c>
    </row>
    <row r="306" spans="1:49" ht="24.95" customHeight="1" x14ac:dyDescent="0.25">
      <c r="A306" s="175">
        <v>14329</v>
      </c>
      <c r="B306" s="175" t="s">
        <v>98</v>
      </c>
      <c r="C306" s="175" t="s">
        <v>41</v>
      </c>
      <c r="D306" s="176">
        <v>1</v>
      </c>
      <c r="E306" s="176">
        <v>2025</v>
      </c>
      <c r="F306" s="176">
        <v>2025</v>
      </c>
      <c r="G306" s="175" t="s">
        <v>23</v>
      </c>
      <c r="H306" s="175" t="s">
        <v>98</v>
      </c>
      <c r="I306" s="175" t="s">
        <v>1175</v>
      </c>
      <c r="J306" s="177" t="s">
        <v>350</v>
      </c>
      <c r="K306" s="175" t="s">
        <v>349</v>
      </c>
      <c r="L306" s="175" t="s">
        <v>345</v>
      </c>
      <c r="M306" s="175" t="s">
        <v>346</v>
      </c>
      <c r="N306" s="175">
        <v>5</v>
      </c>
      <c r="O306" s="175" t="s">
        <v>395</v>
      </c>
      <c r="P306" s="175" t="s">
        <v>1030</v>
      </c>
      <c r="Q306" s="175" t="s">
        <v>1201</v>
      </c>
      <c r="R306" s="175" t="s">
        <v>339</v>
      </c>
      <c r="S306" s="175" t="s">
        <v>19</v>
      </c>
      <c r="T306" s="175" t="s">
        <v>337</v>
      </c>
      <c r="U306" s="176">
        <v>10</v>
      </c>
      <c r="V306" s="176">
        <v>110</v>
      </c>
      <c r="W306" s="176">
        <v>12</v>
      </c>
      <c r="X306" s="179">
        <f t="shared" si="53"/>
        <v>122</v>
      </c>
      <c r="Y306" s="176">
        <v>4</v>
      </c>
      <c r="Z306" s="176" t="s">
        <v>20</v>
      </c>
      <c r="AA306" s="176" t="s">
        <v>18</v>
      </c>
      <c r="AB306" s="176" t="s">
        <v>20</v>
      </c>
      <c r="AC306" s="186" t="s">
        <v>21</v>
      </c>
      <c r="AD306" s="181" t="s">
        <v>2160</v>
      </c>
      <c r="AE306" s="179" t="s">
        <v>18</v>
      </c>
      <c r="AF306" s="191"/>
      <c r="AG306" s="175" t="s">
        <v>1173</v>
      </c>
      <c r="AH306" s="179">
        <f t="shared" si="45"/>
        <v>31</v>
      </c>
      <c r="AI306" s="179">
        <f>VLOOKUP(K306,[1]TRAMO!$A:$B,2,0)</f>
        <v>2</v>
      </c>
      <c r="AJ306" s="183">
        <f t="shared" si="46"/>
        <v>6372</v>
      </c>
      <c r="AK306" s="179">
        <f t="shared" si="47"/>
        <v>30.5</v>
      </c>
      <c r="AL306" s="183">
        <v>0</v>
      </c>
      <c r="AM306" s="183">
        <f t="shared" si="54"/>
        <v>1240000</v>
      </c>
      <c r="AN306" s="183">
        <f t="shared" si="48"/>
        <v>0</v>
      </c>
      <c r="AO306" s="183">
        <f t="shared" si="49"/>
        <v>2700000</v>
      </c>
      <c r="AP306" s="183">
        <f t="shared" si="50"/>
        <v>7773840</v>
      </c>
      <c r="AR306" s="183">
        <f t="shared" si="51"/>
        <v>0</v>
      </c>
      <c r="AS306" s="183">
        <f t="shared" si="52"/>
        <v>11713840</v>
      </c>
      <c r="AT306" s="175" t="s">
        <v>1561</v>
      </c>
      <c r="AU306" s="175" t="s">
        <v>2161</v>
      </c>
      <c r="AV306" s="175" t="s">
        <v>2162</v>
      </c>
      <c r="AW306" s="175" t="s">
        <v>816</v>
      </c>
    </row>
    <row r="307" spans="1:49" ht="24.95" customHeight="1" x14ac:dyDescent="0.25">
      <c r="A307" s="175">
        <v>14330</v>
      </c>
      <c r="B307" s="175" t="s">
        <v>98</v>
      </c>
      <c r="C307" s="175" t="s">
        <v>41</v>
      </c>
      <c r="D307" s="176">
        <v>1</v>
      </c>
      <c r="E307" s="176">
        <v>2025</v>
      </c>
      <c r="F307" s="176">
        <v>2025</v>
      </c>
      <c r="G307" s="175" t="s">
        <v>23</v>
      </c>
      <c r="H307" s="175" t="s">
        <v>98</v>
      </c>
      <c r="I307" s="175" t="s">
        <v>1175</v>
      </c>
      <c r="J307" s="177" t="s">
        <v>350</v>
      </c>
      <c r="K307" s="175" t="s">
        <v>349</v>
      </c>
      <c r="L307" s="175" t="s">
        <v>345</v>
      </c>
      <c r="M307" s="175" t="s">
        <v>346</v>
      </c>
      <c r="N307" s="175">
        <v>2</v>
      </c>
      <c r="O307" s="175" t="s">
        <v>798</v>
      </c>
      <c r="P307" s="175" t="s">
        <v>1564</v>
      </c>
      <c r="Q307" s="175" t="s">
        <v>1201</v>
      </c>
      <c r="R307" s="175" t="s">
        <v>339</v>
      </c>
      <c r="S307" s="175" t="s">
        <v>19</v>
      </c>
      <c r="T307" s="175" t="s">
        <v>337</v>
      </c>
      <c r="U307" s="176">
        <v>10</v>
      </c>
      <c r="V307" s="176">
        <v>110</v>
      </c>
      <c r="W307" s="176">
        <v>12</v>
      </c>
      <c r="X307" s="179">
        <f t="shared" si="53"/>
        <v>122</v>
      </c>
      <c r="Y307" s="176">
        <v>4</v>
      </c>
      <c r="Z307" s="176" t="s">
        <v>20</v>
      </c>
      <c r="AA307" s="176" t="s">
        <v>18</v>
      </c>
      <c r="AB307" s="176" t="s">
        <v>20</v>
      </c>
      <c r="AC307" s="186" t="s">
        <v>21</v>
      </c>
      <c r="AD307" s="181" t="s">
        <v>2163</v>
      </c>
      <c r="AE307" s="179" t="s">
        <v>18</v>
      </c>
      <c r="AF307" s="191"/>
      <c r="AG307" s="175" t="s">
        <v>1173</v>
      </c>
      <c r="AH307" s="179">
        <f t="shared" si="45"/>
        <v>31</v>
      </c>
      <c r="AI307" s="179">
        <f>VLOOKUP(K307,[1]TRAMO!$A:$B,2,0)</f>
        <v>2</v>
      </c>
      <c r="AJ307" s="183">
        <f t="shared" si="46"/>
        <v>6372</v>
      </c>
      <c r="AK307" s="179">
        <f t="shared" si="47"/>
        <v>30.5</v>
      </c>
      <c r="AL307" s="183">
        <v>0</v>
      </c>
      <c r="AM307" s="183">
        <f t="shared" si="54"/>
        <v>1240000</v>
      </c>
      <c r="AN307" s="183">
        <f t="shared" si="48"/>
        <v>0</v>
      </c>
      <c r="AO307" s="183">
        <f t="shared" si="49"/>
        <v>2700000</v>
      </c>
      <c r="AP307" s="183">
        <f t="shared" si="50"/>
        <v>7773840</v>
      </c>
      <c r="AR307" s="183">
        <f t="shared" si="51"/>
        <v>0</v>
      </c>
      <c r="AS307" s="183">
        <f t="shared" si="52"/>
        <v>11713840</v>
      </c>
      <c r="AT307" s="175" t="s">
        <v>1561</v>
      </c>
      <c r="AU307" s="175" t="s">
        <v>2161</v>
      </c>
      <c r="AV307" s="175" t="s">
        <v>2164</v>
      </c>
      <c r="AW307" s="175" t="s">
        <v>1567</v>
      </c>
    </row>
    <row r="308" spans="1:49" ht="24.95" customHeight="1" x14ac:dyDescent="0.25">
      <c r="A308" s="175">
        <v>14360</v>
      </c>
      <c r="B308" s="175" t="s">
        <v>83</v>
      </c>
      <c r="C308" s="175" t="s">
        <v>1022</v>
      </c>
      <c r="D308" s="176">
        <v>1</v>
      </c>
      <c r="E308" s="176">
        <v>2025</v>
      </c>
      <c r="F308" s="176">
        <v>2025</v>
      </c>
      <c r="G308" s="175" t="s">
        <v>23</v>
      </c>
      <c r="H308" s="175" t="s">
        <v>83</v>
      </c>
      <c r="I308" s="175" t="s">
        <v>102</v>
      </c>
      <c r="J308" s="177" t="s">
        <v>350</v>
      </c>
      <c r="K308" s="175" t="s">
        <v>349</v>
      </c>
      <c r="L308" s="175" t="s">
        <v>345</v>
      </c>
      <c r="M308" s="175" t="s">
        <v>346</v>
      </c>
      <c r="N308" s="175">
        <v>13</v>
      </c>
      <c r="O308" s="175" t="s">
        <v>382</v>
      </c>
      <c r="P308" s="175" t="s">
        <v>416</v>
      </c>
      <c r="Q308" s="175" t="s">
        <v>702</v>
      </c>
      <c r="R308" s="175" t="s">
        <v>339</v>
      </c>
      <c r="S308" s="175" t="s">
        <v>19</v>
      </c>
      <c r="T308" s="175" t="s">
        <v>337</v>
      </c>
      <c r="U308" s="176">
        <v>12</v>
      </c>
      <c r="V308" s="176">
        <v>110</v>
      </c>
      <c r="W308" s="176">
        <v>12</v>
      </c>
      <c r="X308" s="179">
        <f t="shared" si="53"/>
        <v>122</v>
      </c>
      <c r="Y308" s="176">
        <v>4</v>
      </c>
      <c r="Z308" s="176" t="s">
        <v>20</v>
      </c>
      <c r="AA308" s="176" t="s">
        <v>20</v>
      </c>
      <c r="AB308" s="176" t="s">
        <v>20</v>
      </c>
      <c r="AC308" s="186" t="s">
        <v>21</v>
      </c>
      <c r="AD308" s="181" t="s">
        <v>2139</v>
      </c>
      <c r="AE308" s="179" t="s">
        <v>18</v>
      </c>
      <c r="AF308" s="191"/>
      <c r="AG308" s="175" t="s">
        <v>1173</v>
      </c>
      <c r="AH308" s="179">
        <f t="shared" si="45"/>
        <v>31</v>
      </c>
      <c r="AI308" s="179">
        <f>VLOOKUP(K308,[1]TRAMO!$A:$B,2,0)</f>
        <v>2</v>
      </c>
      <c r="AJ308" s="183">
        <f t="shared" si="46"/>
        <v>6372</v>
      </c>
      <c r="AK308" s="179">
        <f t="shared" si="47"/>
        <v>30.5</v>
      </c>
      <c r="AL308" s="183">
        <v>0</v>
      </c>
      <c r="AM308" s="183">
        <f t="shared" si="54"/>
        <v>1488000</v>
      </c>
      <c r="AN308" s="183">
        <f t="shared" si="48"/>
        <v>1860000</v>
      </c>
      <c r="AO308" s="183">
        <f t="shared" si="49"/>
        <v>3240000</v>
      </c>
      <c r="AP308" s="183">
        <f t="shared" si="50"/>
        <v>9328608</v>
      </c>
      <c r="AR308" s="183">
        <f t="shared" si="51"/>
        <v>0</v>
      </c>
      <c r="AS308" s="183">
        <f t="shared" si="52"/>
        <v>15916608</v>
      </c>
      <c r="AT308" s="175" t="s">
        <v>1535</v>
      </c>
      <c r="AU308" s="175" t="s">
        <v>1536</v>
      </c>
      <c r="AV308" s="175" t="s">
        <v>2032</v>
      </c>
      <c r="AW308" s="175" t="s">
        <v>1023</v>
      </c>
    </row>
    <row r="309" spans="1:49" ht="24.95" customHeight="1" x14ac:dyDescent="0.25">
      <c r="A309" s="175">
        <v>14420</v>
      </c>
      <c r="B309" s="175" t="s">
        <v>97</v>
      </c>
      <c r="C309" s="188" t="s">
        <v>1610</v>
      </c>
      <c r="D309" s="176">
        <v>1</v>
      </c>
      <c r="E309" s="176">
        <v>2025</v>
      </c>
      <c r="F309" s="176">
        <v>2025</v>
      </c>
      <c r="G309" s="175" t="s">
        <v>23</v>
      </c>
      <c r="H309" s="175" t="s">
        <v>97</v>
      </c>
      <c r="I309" s="175" t="s">
        <v>1611</v>
      </c>
      <c r="J309" s="177" t="s">
        <v>350</v>
      </c>
      <c r="K309" s="175" t="s">
        <v>349</v>
      </c>
      <c r="L309" s="175" t="s">
        <v>345</v>
      </c>
      <c r="M309" s="175" t="s">
        <v>346</v>
      </c>
      <c r="N309" s="175">
        <v>13</v>
      </c>
      <c r="O309" s="175" t="s">
        <v>382</v>
      </c>
      <c r="P309" s="175" t="s">
        <v>404</v>
      </c>
      <c r="Q309" s="175" t="s">
        <v>388</v>
      </c>
      <c r="R309" s="175" t="s">
        <v>339</v>
      </c>
      <c r="S309" s="175" t="s">
        <v>19</v>
      </c>
      <c r="T309" s="175" t="s">
        <v>337</v>
      </c>
      <c r="U309" s="176">
        <v>15</v>
      </c>
      <c r="V309" s="176">
        <v>110</v>
      </c>
      <c r="W309" s="176">
        <v>12</v>
      </c>
      <c r="X309" s="179">
        <f t="shared" si="53"/>
        <v>122</v>
      </c>
      <c r="Y309" s="176">
        <v>4</v>
      </c>
      <c r="Z309" s="176" t="s">
        <v>20</v>
      </c>
      <c r="AA309" s="176" t="s">
        <v>18</v>
      </c>
      <c r="AB309" s="176" t="s">
        <v>20</v>
      </c>
      <c r="AC309" s="186" t="s">
        <v>21</v>
      </c>
      <c r="AD309" s="181" t="s">
        <v>2065</v>
      </c>
      <c r="AE309" s="179" t="s">
        <v>18</v>
      </c>
      <c r="AF309" s="191"/>
      <c r="AG309" s="175" t="s">
        <v>1173</v>
      </c>
      <c r="AH309" s="179">
        <f t="shared" si="45"/>
        <v>31</v>
      </c>
      <c r="AI309" s="179">
        <f>VLOOKUP(K309,[1]TRAMO!$A:$B,2,0)</f>
        <v>2</v>
      </c>
      <c r="AJ309" s="183">
        <f t="shared" si="46"/>
        <v>6372</v>
      </c>
      <c r="AK309" s="179">
        <f t="shared" si="47"/>
        <v>30.5</v>
      </c>
      <c r="AL309" s="183">
        <v>0</v>
      </c>
      <c r="AM309" s="183">
        <f t="shared" si="54"/>
        <v>1860000</v>
      </c>
      <c r="AN309" s="183">
        <f t="shared" si="48"/>
        <v>0</v>
      </c>
      <c r="AO309" s="183">
        <f t="shared" si="49"/>
        <v>4050000</v>
      </c>
      <c r="AP309" s="183">
        <f t="shared" si="50"/>
        <v>11660760</v>
      </c>
      <c r="AR309" s="183">
        <f t="shared" si="51"/>
        <v>0</v>
      </c>
      <c r="AS309" s="183">
        <f t="shared" si="52"/>
        <v>17570760</v>
      </c>
      <c r="AT309" s="175" t="s">
        <v>1619</v>
      </c>
      <c r="AU309" s="175" t="s">
        <v>1615</v>
      </c>
      <c r="AV309" s="175" t="s">
        <v>1616</v>
      </c>
      <c r="AW309" s="175" t="s">
        <v>1617</v>
      </c>
    </row>
    <row r="310" spans="1:49" ht="24.95" customHeight="1" x14ac:dyDescent="0.25">
      <c r="A310" s="175">
        <v>14453</v>
      </c>
      <c r="B310" s="175" t="s">
        <v>98</v>
      </c>
      <c r="C310" s="175" t="s">
        <v>41</v>
      </c>
      <c r="D310" s="176">
        <v>1</v>
      </c>
      <c r="E310" s="176">
        <v>2025</v>
      </c>
      <c r="F310" s="176">
        <v>2025</v>
      </c>
      <c r="G310" s="175" t="s">
        <v>23</v>
      </c>
      <c r="H310" s="175" t="s">
        <v>98</v>
      </c>
      <c r="I310" s="175" t="s">
        <v>1175</v>
      </c>
      <c r="J310" s="177" t="s">
        <v>350</v>
      </c>
      <c r="K310" s="175" t="s">
        <v>349</v>
      </c>
      <c r="L310" s="175" t="s">
        <v>345</v>
      </c>
      <c r="M310" s="175" t="s">
        <v>346</v>
      </c>
      <c r="N310" s="175">
        <v>13</v>
      </c>
      <c r="O310" s="175" t="s">
        <v>382</v>
      </c>
      <c r="P310" s="175" t="s">
        <v>717</v>
      </c>
      <c r="Q310" s="175" t="s">
        <v>822</v>
      </c>
      <c r="R310" s="175" t="s">
        <v>339</v>
      </c>
      <c r="S310" s="175" t="s">
        <v>19</v>
      </c>
      <c r="T310" s="175" t="s">
        <v>337</v>
      </c>
      <c r="U310" s="176">
        <v>10</v>
      </c>
      <c r="V310" s="176">
        <v>110</v>
      </c>
      <c r="W310" s="176">
        <v>12</v>
      </c>
      <c r="X310" s="179">
        <f t="shared" si="53"/>
        <v>122</v>
      </c>
      <c r="Y310" s="176">
        <v>4</v>
      </c>
      <c r="Z310" s="176" t="s">
        <v>18</v>
      </c>
      <c r="AA310" s="176" t="s">
        <v>18</v>
      </c>
      <c r="AB310" s="176" t="s">
        <v>20</v>
      </c>
      <c r="AC310" s="186" t="s">
        <v>21</v>
      </c>
      <c r="AD310" s="181" t="s">
        <v>1776</v>
      </c>
      <c r="AE310" s="179" t="s">
        <v>18</v>
      </c>
      <c r="AF310" s="191"/>
      <c r="AG310" s="175" t="s">
        <v>1173</v>
      </c>
      <c r="AH310" s="179">
        <f t="shared" si="45"/>
        <v>31</v>
      </c>
      <c r="AI310" s="179">
        <f>VLOOKUP(K310,[1]TRAMO!$A:$B,2,0)</f>
        <v>2</v>
      </c>
      <c r="AJ310" s="183">
        <f t="shared" si="46"/>
        <v>6372</v>
      </c>
      <c r="AK310" s="179">
        <f t="shared" si="47"/>
        <v>30.5</v>
      </c>
      <c r="AL310" s="183">
        <v>0</v>
      </c>
      <c r="AM310" s="183">
        <f t="shared" si="54"/>
        <v>0</v>
      </c>
      <c r="AN310" s="183">
        <f t="shared" si="48"/>
        <v>0</v>
      </c>
      <c r="AO310" s="183">
        <f t="shared" si="49"/>
        <v>2700000</v>
      </c>
      <c r="AP310" s="183">
        <f t="shared" si="50"/>
        <v>7773840</v>
      </c>
      <c r="AR310" s="183">
        <f t="shared" si="51"/>
        <v>0</v>
      </c>
      <c r="AS310" s="183">
        <f t="shared" si="52"/>
        <v>10473840</v>
      </c>
      <c r="AT310" s="175" t="s">
        <v>1777</v>
      </c>
      <c r="AU310" s="175" t="s">
        <v>1778</v>
      </c>
      <c r="AV310" s="175" t="s">
        <v>1779</v>
      </c>
      <c r="AW310" s="175" t="s">
        <v>1780</v>
      </c>
    </row>
    <row r="311" spans="1:49" ht="24.95" customHeight="1" x14ac:dyDescent="0.25">
      <c r="A311" s="175">
        <v>14464</v>
      </c>
      <c r="B311" s="175" t="s">
        <v>97</v>
      </c>
      <c r="C311" s="188" t="s">
        <v>1610</v>
      </c>
      <c r="D311" s="176">
        <v>1</v>
      </c>
      <c r="E311" s="176">
        <v>2025</v>
      </c>
      <c r="F311" s="176">
        <v>2025</v>
      </c>
      <c r="G311" s="175" t="s">
        <v>23</v>
      </c>
      <c r="H311" s="175" t="s">
        <v>97</v>
      </c>
      <c r="I311" s="175" t="s">
        <v>1611</v>
      </c>
      <c r="J311" s="177" t="s">
        <v>350</v>
      </c>
      <c r="K311" s="175" t="s">
        <v>349</v>
      </c>
      <c r="L311" s="175" t="s">
        <v>345</v>
      </c>
      <c r="M311" s="175" t="s">
        <v>346</v>
      </c>
      <c r="N311" s="175">
        <v>9</v>
      </c>
      <c r="O311" s="175" t="s">
        <v>424</v>
      </c>
      <c r="P311" s="175" t="s">
        <v>425</v>
      </c>
      <c r="Q311" s="175" t="s">
        <v>388</v>
      </c>
      <c r="R311" s="175" t="s">
        <v>339</v>
      </c>
      <c r="S311" s="175" t="s">
        <v>19</v>
      </c>
      <c r="T311" s="175" t="s">
        <v>337</v>
      </c>
      <c r="U311" s="176">
        <v>20</v>
      </c>
      <c r="V311" s="176">
        <v>110</v>
      </c>
      <c r="W311" s="176">
        <v>12</v>
      </c>
      <c r="X311" s="179">
        <f t="shared" si="53"/>
        <v>122</v>
      </c>
      <c r="Y311" s="176">
        <v>4</v>
      </c>
      <c r="Z311" s="176" t="s">
        <v>20</v>
      </c>
      <c r="AA311" s="176" t="s">
        <v>18</v>
      </c>
      <c r="AB311" s="176" t="s">
        <v>20</v>
      </c>
      <c r="AC311" s="186" t="s">
        <v>21</v>
      </c>
      <c r="AD311" s="181" t="s">
        <v>2165</v>
      </c>
      <c r="AE311" s="179" t="s">
        <v>18</v>
      </c>
      <c r="AF311" s="191"/>
      <c r="AG311" s="175" t="s">
        <v>1173</v>
      </c>
      <c r="AH311" s="179">
        <f t="shared" si="45"/>
        <v>31</v>
      </c>
      <c r="AI311" s="179">
        <f>VLOOKUP(K311,[1]TRAMO!$A:$B,2,0)</f>
        <v>2</v>
      </c>
      <c r="AJ311" s="183">
        <f t="shared" si="46"/>
        <v>6372</v>
      </c>
      <c r="AK311" s="179">
        <f t="shared" si="47"/>
        <v>30.5</v>
      </c>
      <c r="AL311" s="183">
        <v>0</v>
      </c>
      <c r="AM311" s="183">
        <f t="shared" si="54"/>
        <v>2480000</v>
      </c>
      <c r="AN311" s="183">
        <f t="shared" si="48"/>
        <v>0</v>
      </c>
      <c r="AO311" s="183">
        <f t="shared" si="49"/>
        <v>5400000</v>
      </c>
      <c r="AP311" s="183">
        <f t="shared" si="50"/>
        <v>15547680</v>
      </c>
      <c r="AR311" s="183">
        <f t="shared" si="51"/>
        <v>0</v>
      </c>
      <c r="AS311" s="183">
        <f t="shared" si="52"/>
        <v>23427680</v>
      </c>
      <c r="AT311" s="175" t="s">
        <v>1614</v>
      </c>
      <c r="AU311" s="175" t="s">
        <v>1615</v>
      </c>
      <c r="AV311" s="175" t="s">
        <v>2166</v>
      </c>
      <c r="AW311" s="175" t="s">
        <v>1851</v>
      </c>
    </row>
    <row r="312" spans="1:49" ht="24.95" customHeight="1" x14ac:dyDescent="0.25">
      <c r="A312" s="175">
        <v>14434</v>
      </c>
      <c r="B312" s="175" t="s">
        <v>98</v>
      </c>
      <c r="C312" s="175" t="s">
        <v>41</v>
      </c>
      <c r="D312" s="176">
        <v>1</v>
      </c>
      <c r="E312" s="176">
        <v>2025</v>
      </c>
      <c r="F312" s="176">
        <v>2025</v>
      </c>
      <c r="G312" s="175" t="s">
        <v>23</v>
      </c>
      <c r="H312" s="175" t="s">
        <v>98</v>
      </c>
      <c r="I312" s="175" t="s">
        <v>1175</v>
      </c>
      <c r="J312" s="177" t="s">
        <v>993</v>
      </c>
      <c r="K312" s="175" t="s">
        <v>994</v>
      </c>
      <c r="L312" s="175" t="s">
        <v>345</v>
      </c>
      <c r="M312" s="175" t="s">
        <v>346</v>
      </c>
      <c r="N312" s="175">
        <v>3</v>
      </c>
      <c r="O312" s="175" t="s">
        <v>751</v>
      </c>
      <c r="P312" s="175" t="s">
        <v>750</v>
      </c>
      <c r="Q312" s="175" t="s">
        <v>1201</v>
      </c>
      <c r="R312" s="175" t="s">
        <v>339</v>
      </c>
      <c r="S312" s="175" t="s">
        <v>19</v>
      </c>
      <c r="T312" s="175" t="s">
        <v>337</v>
      </c>
      <c r="U312" s="176">
        <v>10</v>
      </c>
      <c r="V312" s="176">
        <v>108</v>
      </c>
      <c r="W312" s="176">
        <v>12</v>
      </c>
      <c r="X312" s="179">
        <f t="shared" si="53"/>
        <v>120</v>
      </c>
      <c r="Y312" s="176">
        <v>4</v>
      </c>
      <c r="Z312" s="176" t="s">
        <v>20</v>
      </c>
      <c r="AA312" s="176" t="s">
        <v>18</v>
      </c>
      <c r="AB312" s="176" t="s">
        <v>20</v>
      </c>
      <c r="AC312" s="186" t="s">
        <v>21</v>
      </c>
      <c r="AD312" s="181" t="s">
        <v>2167</v>
      </c>
      <c r="AE312" s="179" t="s">
        <v>18</v>
      </c>
      <c r="AF312" s="191"/>
      <c r="AG312" s="175" t="s">
        <v>1173</v>
      </c>
      <c r="AH312" s="179">
        <f t="shared" si="45"/>
        <v>30</v>
      </c>
      <c r="AI312" s="179">
        <f>VLOOKUP(K312,[1]TRAMO!$A:$B,2,0)</f>
        <v>2</v>
      </c>
      <c r="AJ312" s="183">
        <f t="shared" si="46"/>
        <v>6372</v>
      </c>
      <c r="AK312" s="179">
        <f t="shared" si="47"/>
        <v>30</v>
      </c>
      <c r="AL312" s="183">
        <v>0</v>
      </c>
      <c r="AM312" s="183">
        <f t="shared" si="54"/>
        <v>1200000</v>
      </c>
      <c r="AN312" s="183">
        <f t="shared" si="48"/>
        <v>0</v>
      </c>
      <c r="AO312" s="183">
        <f t="shared" si="49"/>
        <v>2700000</v>
      </c>
      <c r="AP312" s="183">
        <f t="shared" si="50"/>
        <v>7646400</v>
      </c>
      <c r="AR312" s="183">
        <f t="shared" si="51"/>
        <v>0</v>
      </c>
      <c r="AS312" s="183">
        <f t="shared" si="52"/>
        <v>11546400</v>
      </c>
      <c r="AT312" s="175" t="s">
        <v>1524</v>
      </c>
      <c r="AU312" s="175" t="s">
        <v>1525</v>
      </c>
      <c r="AV312" s="175" t="s">
        <v>2168</v>
      </c>
      <c r="AW312" s="175" t="s">
        <v>852</v>
      </c>
    </row>
    <row r="313" spans="1:49" ht="24.95" customHeight="1" x14ac:dyDescent="0.25">
      <c r="A313" s="175">
        <v>14448</v>
      </c>
      <c r="B313" s="175" t="s">
        <v>98</v>
      </c>
      <c r="C313" s="175" t="s">
        <v>41</v>
      </c>
      <c r="D313" s="176">
        <v>1</v>
      </c>
      <c r="E313" s="176">
        <v>2025</v>
      </c>
      <c r="F313" s="176">
        <v>2025</v>
      </c>
      <c r="G313" s="175" t="s">
        <v>23</v>
      </c>
      <c r="H313" s="175" t="s">
        <v>98</v>
      </c>
      <c r="I313" s="175" t="s">
        <v>1175</v>
      </c>
      <c r="J313" s="177" t="s">
        <v>993</v>
      </c>
      <c r="K313" s="175" t="s">
        <v>994</v>
      </c>
      <c r="L313" s="175" t="s">
        <v>345</v>
      </c>
      <c r="M313" s="175" t="s">
        <v>346</v>
      </c>
      <c r="N313" s="175">
        <v>5</v>
      </c>
      <c r="O313" s="175" t="s">
        <v>395</v>
      </c>
      <c r="P313" s="175" t="s">
        <v>753</v>
      </c>
      <c r="Q313" s="175" t="s">
        <v>1201</v>
      </c>
      <c r="R313" s="175" t="s">
        <v>339</v>
      </c>
      <c r="S313" s="175" t="s">
        <v>19</v>
      </c>
      <c r="T313" s="175" t="s">
        <v>337</v>
      </c>
      <c r="U313" s="176">
        <v>10</v>
      </c>
      <c r="V313" s="176">
        <v>108</v>
      </c>
      <c r="W313" s="176">
        <v>12</v>
      </c>
      <c r="X313" s="179">
        <f t="shared" si="53"/>
        <v>120</v>
      </c>
      <c r="Y313" s="176">
        <v>4</v>
      </c>
      <c r="Z313" s="176" t="s">
        <v>20</v>
      </c>
      <c r="AA313" s="176" t="s">
        <v>18</v>
      </c>
      <c r="AB313" s="176" t="s">
        <v>20</v>
      </c>
      <c r="AC313" s="186" t="s">
        <v>21</v>
      </c>
      <c r="AD313" s="181" t="s">
        <v>2169</v>
      </c>
      <c r="AE313" s="179" t="s">
        <v>18</v>
      </c>
      <c r="AF313" s="191"/>
      <c r="AG313" s="175" t="s">
        <v>1173</v>
      </c>
      <c r="AH313" s="179">
        <f t="shared" si="45"/>
        <v>30</v>
      </c>
      <c r="AI313" s="179">
        <f>VLOOKUP(K313,[1]TRAMO!$A:$B,2,0)</f>
        <v>2</v>
      </c>
      <c r="AJ313" s="183">
        <f t="shared" si="46"/>
        <v>6372</v>
      </c>
      <c r="AK313" s="179">
        <f t="shared" si="47"/>
        <v>30</v>
      </c>
      <c r="AL313" s="183">
        <v>0</v>
      </c>
      <c r="AM313" s="183">
        <f t="shared" si="54"/>
        <v>1200000</v>
      </c>
      <c r="AN313" s="183">
        <f t="shared" si="48"/>
        <v>0</v>
      </c>
      <c r="AO313" s="183">
        <f t="shared" si="49"/>
        <v>2700000</v>
      </c>
      <c r="AP313" s="183">
        <f t="shared" si="50"/>
        <v>7646400</v>
      </c>
      <c r="AR313" s="183">
        <f t="shared" si="51"/>
        <v>0</v>
      </c>
      <c r="AS313" s="183">
        <f t="shared" si="52"/>
        <v>11546400</v>
      </c>
      <c r="AT313" s="175" t="s">
        <v>1524</v>
      </c>
      <c r="AU313" s="175" t="s">
        <v>1525</v>
      </c>
      <c r="AV313" s="175" t="s">
        <v>2170</v>
      </c>
      <c r="AW313" s="175" t="s">
        <v>2171</v>
      </c>
    </row>
    <row r="314" spans="1:49" ht="24.95" customHeight="1" x14ac:dyDescent="0.25">
      <c r="A314" s="175">
        <v>14471</v>
      </c>
      <c r="B314" s="175" t="s">
        <v>83</v>
      </c>
      <c r="C314" s="175" t="s">
        <v>1022</v>
      </c>
      <c r="D314" s="176">
        <v>1</v>
      </c>
      <c r="E314" s="176">
        <v>2025</v>
      </c>
      <c r="F314" s="176">
        <v>2025</v>
      </c>
      <c r="G314" s="175" t="s">
        <v>23</v>
      </c>
      <c r="H314" s="175" t="s">
        <v>83</v>
      </c>
      <c r="I314" s="175" t="s">
        <v>102</v>
      </c>
      <c r="J314" s="177" t="s">
        <v>1027</v>
      </c>
      <c r="K314" s="175" t="s">
        <v>21</v>
      </c>
      <c r="L314" s="175" t="s">
        <v>345</v>
      </c>
      <c r="M314" s="175" t="s">
        <v>346</v>
      </c>
      <c r="N314" s="175">
        <v>13</v>
      </c>
      <c r="O314" s="175" t="s">
        <v>382</v>
      </c>
      <c r="P314" s="175" t="s">
        <v>717</v>
      </c>
      <c r="Q314" s="175" t="s">
        <v>1201</v>
      </c>
      <c r="R314" s="175" t="s">
        <v>339</v>
      </c>
      <c r="S314" s="175" t="s">
        <v>19</v>
      </c>
      <c r="T314" s="175" t="s">
        <v>393</v>
      </c>
      <c r="U314" s="176">
        <v>15</v>
      </c>
      <c r="V314" s="176">
        <v>122</v>
      </c>
      <c r="W314" s="176">
        <v>12</v>
      </c>
      <c r="X314" s="179">
        <f t="shared" si="53"/>
        <v>134</v>
      </c>
      <c r="Y314" s="176">
        <v>4</v>
      </c>
      <c r="Z314" s="176" t="s">
        <v>20</v>
      </c>
      <c r="AA314" s="176" t="s">
        <v>18</v>
      </c>
      <c r="AB314" s="176" t="s">
        <v>18</v>
      </c>
      <c r="AC314" s="186" t="s">
        <v>2172</v>
      </c>
      <c r="AD314" s="181" t="s">
        <v>2173</v>
      </c>
      <c r="AE314" s="179" t="s">
        <v>18</v>
      </c>
      <c r="AF314" s="191"/>
      <c r="AG314" s="175" t="s">
        <v>1173</v>
      </c>
      <c r="AH314" s="179">
        <f t="shared" si="45"/>
        <v>34</v>
      </c>
      <c r="AI314" s="179">
        <v>2</v>
      </c>
      <c r="AJ314" s="183">
        <f t="shared" si="46"/>
        <v>6372</v>
      </c>
      <c r="AK314" s="179">
        <f t="shared" si="47"/>
        <v>33.5</v>
      </c>
      <c r="AL314" s="183">
        <v>0</v>
      </c>
      <c r="AM314" s="183">
        <f t="shared" si="54"/>
        <v>2040000</v>
      </c>
      <c r="AN314" s="183">
        <f t="shared" si="48"/>
        <v>0</v>
      </c>
      <c r="AO314" s="183">
        <f t="shared" si="49"/>
        <v>0</v>
      </c>
      <c r="AP314" s="183">
        <f t="shared" si="50"/>
        <v>12807720</v>
      </c>
      <c r="AR314" s="183">
        <f t="shared" si="51"/>
        <v>0</v>
      </c>
      <c r="AS314" s="183">
        <f t="shared" si="52"/>
        <v>14847720</v>
      </c>
      <c r="AT314" s="175" t="s">
        <v>1535</v>
      </c>
      <c r="AU314" s="175" t="s">
        <v>1536</v>
      </c>
      <c r="AV314" s="175" t="s">
        <v>2036</v>
      </c>
      <c r="AW314" s="175" t="s">
        <v>2037</v>
      </c>
    </row>
    <row r="315" spans="1:49" ht="24.95" customHeight="1" x14ac:dyDescent="0.25">
      <c r="A315" s="175">
        <v>14472</v>
      </c>
      <c r="B315" s="175" t="s">
        <v>83</v>
      </c>
      <c r="C315" s="175" t="s">
        <v>1022</v>
      </c>
      <c r="D315" s="176">
        <v>1</v>
      </c>
      <c r="E315" s="176">
        <v>2025</v>
      </c>
      <c r="F315" s="176">
        <v>2025</v>
      </c>
      <c r="G315" s="175" t="s">
        <v>23</v>
      </c>
      <c r="H315" s="175" t="s">
        <v>83</v>
      </c>
      <c r="I315" s="175" t="s">
        <v>102</v>
      </c>
      <c r="J315" s="177" t="s">
        <v>1027</v>
      </c>
      <c r="K315" s="175" t="s">
        <v>21</v>
      </c>
      <c r="L315" s="175" t="s">
        <v>345</v>
      </c>
      <c r="M315" s="175" t="s">
        <v>346</v>
      </c>
      <c r="N315" s="175">
        <v>13</v>
      </c>
      <c r="O315" s="175" t="s">
        <v>382</v>
      </c>
      <c r="P315" s="175" t="s">
        <v>717</v>
      </c>
      <c r="Q315" s="175" t="s">
        <v>1201</v>
      </c>
      <c r="R315" s="175" t="s">
        <v>339</v>
      </c>
      <c r="S315" s="175" t="s">
        <v>19</v>
      </c>
      <c r="T315" s="175" t="s">
        <v>703</v>
      </c>
      <c r="U315" s="176">
        <v>15</v>
      </c>
      <c r="V315" s="176">
        <v>122</v>
      </c>
      <c r="W315" s="176">
        <v>12</v>
      </c>
      <c r="X315" s="179">
        <f t="shared" si="53"/>
        <v>134</v>
      </c>
      <c r="Y315" s="176">
        <v>4</v>
      </c>
      <c r="Z315" s="176" t="s">
        <v>20</v>
      </c>
      <c r="AA315" s="176" t="s">
        <v>18</v>
      </c>
      <c r="AB315" s="176" t="s">
        <v>18</v>
      </c>
      <c r="AC315" s="186" t="s">
        <v>2172</v>
      </c>
      <c r="AD315" s="181" t="s">
        <v>2173</v>
      </c>
      <c r="AE315" s="179" t="s">
        <v>18</v>
      </c>
      <c r="AF315" s="191"/>
      <c r="AG315" s="175" t="s">
        <v>1173</v>
      </c>
      <c r="AH315" s="179">
        <f t="shared" si="45"/>
        <v>34</v>
      </c>
      <c r="AI315" s="179">
        <v>2</v>
      </c>
      <c r="AJ315" s="183">
        <f t="shared" si="46"/>
        <v>6372</v>
      </c>
      <c r="AK315" s="179">
        <f t="shared" si="47"/>
        <v>33.5</v>
      </c>
      <c r="AL315" s="183">
        <v>0</v>
      </c>
      <c r="AM315" s="183">
        <f t="shared" si="54"/>
        <v>2040000</v>
      </c>
      <c r="AN315" s="183">
        <f t="shared" si="48"/>
        <v>0</v>
      </c>
      <c r="AO315" s="183">
        <f t="shared" si="49"/>
        <v>0</v>
      </c>
      <c r="AP315" s="183">
        <f t="shared" si="50"/>
        <v>12807720</v>
      </c>
      <c r="AR315" s="183">
        <f t="shared" si="51"/>
        <v>0</v>
      </c>
      <c r="AS315" s="183">
        <f t="shared" si="52"/>
        <v>14847720</v>
      </c>
      <c r="AT315" s="175" t="s">
        <v>1535</v>
      </c>
      <c r="AU315" s="175" t="s">
        <v>1536</v>
      </c>
      <c r="AV315" s="175" t="s">
        <v>2036</v>
      </c>
      <c r="AW315" s="175" t="s">
        <v>2037</v>
      </c>
    </row>
    <row r="316" spans="1:49" ht="24.95" customHeight="1" x14ac:dyDescent="0.25">
      <c r="A316" s="175">
        <v>14473</v>
      </c>
      <c r="B316" s="175" t="s">
        <v>83</v>
      </c>
      <c r="C316" s="175" t="s">
        <v>1022</v>
      </c>
      <c r="D316" s="176">
        <v>1</v>
      </c>
      <c r="E316" s="176">
        <v>2025</v>
      </c>
      <c r="F316" s="176">
        <v>2025</v>
      </c>
      <c r="G316" s="175" t="s">
        <v>23</v>
      </c>
      <c r="H316" s="175" t="s">
        <v>83</v>
      </c>
      <c r="I316" s="175" t="s">
        <v>102</v>
      </c>
      <c r="J316" s="177" t="s">
        <v>1027</v>
      </c>
      <c r="K316" s="175" t="s">
        <v>21</v>
      </c>
      <c r="L316" s="175" t="s">
        <v>345</v>
      </c>
      <c r="M316" s="175" t="s">
        <v>346</v>
      </c>
      <c r="N316" s="175">
        <v>13</v>
      </c>
      <c r="O316" s="175" t="s">
        <v>382</v>
      </c>
      <c r="P316" s="175" t="s">
        <v>717</v>
      </c>
      <c r="Q316" s="175" t="s">
        <v>1201</v>
      </c>
      <c r="R316" s="175" t="s">
        <v>339</v>
      </c>
      <c r="S316" s="175" t="s">
        <v>19</v>
      </c>
      <c r="T316" s="175" t="s">
        <v>784</v>
      </c>
      <c r="U316" s="176">
        <v>15</v>
      </c>
      <c r="V316" s="176">
        <v>122</v>
      </c>
      <c r="W316" s="176">
        <v>12</v>
      </c>
      <c r="X316" s="179">
        <f t="shared" si="53"/>
        <v>134</v>
      </c>
      <c r="Y316" s="176">
        <v>4</v>
      </c>
      <c r="Z316" s="176" t="s">
        <v>20</v>
      </c>
      <c r="AA316" s="176" t="s">
        <v>18</v>
      </c>
      <c r="AB316" s="176" t="s">
        <v>18</v>
      </c>
      <c r="AC316" s="186" t="s">
        <v>2172</v>
      </c>
      <c r="AD316" s="181" t="s">
        <v>2173</v>
      </c>
      <c r="AE316" s="179" t="s">
        <v>18</v>
      </c>
      <c r="AF316" s="191"/>
      <c r="AG316" s="175" t="s">
        <v>1173</v>
      </c>
      <c r="AH316" s="179">
        <f t="shared" si="45"/>
        <v>34</v>
      </c>
      <c r="AI316" s="179">
        <v>2</v>
      </c>
      <c r="AJ316" s="183">
        <f t="shared" si="46"/>
        <v>6372</v>
      </c>
      <c r="AK316" s="179">
        <f t="shared" si="47"/>
        <v>33.5</v>
      </c>
      <c r="AL316" s="183">
        <v>0</v>
      </c>
      <c r="AM316" s="183">
        <f t="shared" si="54"/>
        <v>2040000</v>
      </c>
      <c r="AN316" s="183">
        <f t="shared" si="48"/>
        <v>0</v>
      </c>
      <c r="AO316" s="183">
        <f t="shared" si="49"/>
        <v>0</v>
      </c>
      <c r="AP316" s="183">
        <f t="shared" si="50"/>
        <v>12807720</v>
      </c>
      <c r="AR316" s="183">
        <f t="shared" si="51"/>
        <v>0</v>
      </c>
      <c r="AS316" s="183">
        <f t="shared" si="52"/>
        <v>14847720</v>
      </c>
      <c r="AT316" s="175" t="s">
        <v>1535</v>
      </c>
      <c r="AU316" s="175" t="s">
        <v>1536</v>
      </c>
      <c r="AV316" s="175" t="s">
        <v>2036</v>
      </c>
      <c r="AW316" s="175" t="s">
        <v>2174</v>
      </c>
    </row>
    <row r="317" spans="1:49" ht="24.95" customHeight="1" x14ac:dyDescent="0.25">
      <c r="A317" s="175">
        <v>14474</v>
      </c>
      <c r="B317" s="175" t="s">
        <v>83</v>
      </c>
      <c r="C317" s="175" t="s">
        <v>1022</v>
      </c>
      <c r="D317" s="176">
        <v>1</v>
      </c>
      <c r="E317" s="176">
        <v>2025</v>
      </c>
      <c r="F317" s="176">
        <v>2025</v>
      </c>
      <c r="G317" s="175" t="s">
        <v>23</v>
      </c>
      <c r="H317" s="175" t="s">
        <v>83</v>
      </c>
      <c r="I317" s="175" t="s">
        <v>102</v>
      </c>
      <c r="J317" s="177" t="s">
        <v>1027</v>
      </c>
      <c r="K317" s="175" t="s">
        <v>21</v>
      </c>
      <c r="L317" s="175" t="s">
        <v>345</v>
      </c>
      <c r="M317" s="175" t="s">
        <v>346</v>
      </c>
      <c r="N317" s="175">
        <v>13</v>
      </c>
      <c r="O317" s="175" t="s">
        <v>382</v>
      </c>
      <c r="P317" s="175" t="s">
        <v>717</v>
      </c>
      <c r="Q317" s="175" t="s">
        <v>1201</v>
      </c>
      <c r="R317" s="175" t="s">
        <v>339</v>
      </c>
      <c r="S317" s="175" t="s">
        <v>19</v>
      </c>
      <c r="T317" s="175" t="s">
        <v>777</v>
      </c>
      <c r="U317" s="176">
        <v>15</v>
      </c>
      <c r="V317" s="176">
        <v>122</v>
      </c>
      <c r="W317" s="176">
        <v>12</v>
      </c>
      <c r="X317" s="179">
        <f t="shared" si="53"/>
        <v>134</v>
      </c>
      <c r="Y317" s="176">
        <v>4</v>
      </c>
      <c r="Z317" s="176" t="s">
        <v>20</v>
      </c>
      <c r="AA317" s="176" t="s">
        <v>18</v>
      </c>
      <c r="AB317" s="176" t="s">
        <v>18</v>
      </c>
      <c r="AC317" s="186" t="s">
        <v>2172</v>
      </c>
      <c r="AD317" s="181" t="s">
        <v>2173</v>
      </c>
      <c r="AE317" s="179" t="s">
        <v>18</v>
      </c>
      <c r="AF317" s="191"/>
      <c r="AG317" s="175" t="s">
        <v>1173</v>
      </c>
      <c r="AH317" s="179">
        <f t="shared" si="45"/>
        <v>34</v>
      </c>
      <c r="AI317" s="179">
        <v>2</v>
      </c>
      <c r="AJ317" s="183">
        <f t="shared" si="46"/>
        <v>6372</v>
      </c>
      <c r="AK317" s="179">
        <f t="shared" si="47"/>
        <v>33.5</v>
      </c>
      <c r="AL317" s="183">
        <v>0</v>
      </c>
      <c r="AM317" s="183">
        <f t="shared" si="54"/>
        <v>2040000</v>
      </c>
      <c r="AN317" s="183">
        <f t="shared" si="48"/>
        <v>0</v>
      </c>
      <c r="AO317" s="183">
        <f t="shared" si="49"/>
        <v>0</v>
      </c>
      <c r="AP317" s="183">
        <f t="shared" si="50"/>
        <v>12807720</v>
      </c>
      <c r="AR317" s="183">
        <f t="shared" si="51"/>
        <v>0</v>
      </c>
      <c r="AS317" s="183">
        <f t="shared" si="52"/>
        <v>14847720</v>
      </c>
      <c r="AT317" s="175" t="s">
        <v>1535</v>
      </c>
      <c r="AU317" s="175" t="s">
        <v>1536</v>
      </c>
      <c r="AV317" s="175" t="s">
        <v>2036</v>
      </c>
      <c r="AW317" s="175" t="s">
        <v>2037</v>
      </c>
    </row>
    <row r="318" spans="1:49" ht="24.95" customHeight="1" x14ac:dyDescent="0.25">
      <c r="A318" s="175">
        <v>14328</v>
      </c>
      <c r="B318" s="175" t="s">
        <v>98</v>
      </c>
      <c r="C318" s="175" t="s">
        <v>41</v>
      </c>
      <c r="D318" s="176">
        <v>1</v>
      </c>
      <c r="E318" s="176">
        <v>2025</v>
      </c>
      <c r="F318" s="176">
        <v>2025</v>
      </c>
      <c r="G318" s="175" t="s">
        <v>23</v>
      </c>
      <c r="H318" s="175" t="s">
        <v>98</v>
      </c>
      <c r="I318" s="175" t="s">
        <v>1175</v>
      </c>
      <c r="J318" s="177" t="s">
        <v>2175</v>
      </c>
      <c r="K318" s="175" t="s">
        <v>21</v>
      </c>
      <c r="L318" s="175" t="s">
        <v>345</v>
      </c>
      <c r="M318" s="175" t="s">
        <v>346</v>
      </c>
      <c r="N318" s="175">
        <v>13</v>
      </c>
      <c r="O318" s="175" t="s">
        <v>382</v>
      </c>
      <c r="P318" s="175" t="s">
        <v>717</v>
      </c>
      <c r="Q318" s="175" t="s">
        <v>1201</v>
      </c>
      <c r="R318" s="175" t="s">
        <v>339</v>
      </c>
      <c r="S318" s="175" t="s">
        <v>19</v>
      </c>
      <c r="T318" s="175" t="s">
        <v>393</v>
      </c>
      <c r="U318" s="176">
        <v>15</v>
      </c>
      <c r="V318" s="176">
        <v>148</v>
      </c>
      <c r="W318" s="176">
        <v>12</v>
      </c>
      <c r="X318" s="179">
        <f t="shared" si="53"/>
        <v>160</v>
      </c>
      <c r="Y318" s="176">
        <v>4</v>
      </c>
      <c r="Z318" s="176" t="s">
        <v>20</v>
      </c>
      <c r="AA318" s="176" t="s">
        <v>18</v>
      </c>
      <c r="AB318" s="176" t="s">
        <v>18</v>
      </c>
      <c r="AC318" s="186" t="s">
        <v>2176</v>
      </c>
      <c r="AD318" s="181" t="s">
        <v>2177</v>
      </c>
      <c r="AE318" s="179" t="s">
        <v>18</v>
      </c>
      <c r="AF318" s="191"/>
      <c r="AG318" s="175" t="s">
        <v>1173</v>
      </c>
      <c r="AH318" s="179">
        <f t="shared" si="45"/>
        <v>40</v>
      </c>
      <c r="AI318" s="179">
        <v>2</v>
      </c>
      <c r="AJ318" s="183">
        <f t="shared" si="46"/>
        <v>6372</v>
      </c>
      <c r="AK318" s="179">
        <f t="shared" si="47"/>
        <v>40</v>
      </c>
      <c r="AL318" s="183">
        <v>0</v>
      </c>
      <c r="AM318" s="183">
        <f t="shared" si="54"/>
        <v>2400000</v>
      </c>
      <c r="AN318" s="183">
        <f t="shared" si="48"/>
        <v>0</v>
      </c>
      <c r="AO318" s="183">
        <f t="shared" si="49"/>
        <v>0</v>
      </c>
      <c r="AP318" s="183">
        <f t="shared" si="50"/>
        <v>15292800</v>
      </c>
      <c r="AR318" s="183">
        <f t="shared" si="51"/>
        <v>0</v>
      </c>
      <c r="AS318" s="183">
        <f t="shared" si="52"/>
        <v>17692800</v>
      </c>
      <c r="AT318" s="175" t="s">
        <v>1950</v>
      </c>
      <c r="AU318" s="175" t="s">
        <v>1951</v>
      </c>
      <c r="AV318" s="175" t="s">
        <v>1038</v>
      </c>
      <c r="AW318" s="175" t="s">
        <v>1037</v>
      </c>
    </row>
    <row r="319" spans="1:49" ht="24.95" customHeight="1" x14ac:dyDescent="0.25">
      <c r="A319" s="175">
        <v>14425</v>
      </c>
      <c r="B319" s="175" t="s">
        <v>83</v>
      </c>
      <c r="C319" s="175" t="s">
        <v>1022</v>
      </c>
      <c r="D319" s="176">
        <v>1</v>
      </c>
      <c r="E319" s="176">
        <v>2025</v>
      </c>
      <c r="F319" s="176">
        <v>2025</v>
      </c>
      <c r="G319" s="175" t="s">
        <v>23</v>
      </c>
      <c r="H319" s="175" t="s">
        <v>83</v>
      </c>
      <c r="I319" s="175" t="s">
        <v>102</v>
      </c>
      <c r="J319" s="177" t="s">
        <v>2178</v>
      </c>
      <c r="K319" s="175" t="s">
        <v>21</v>
      </c>
      <c r="L319" s="175" t="s">
        <v>345</v>
      </c>
      <c r="M319" s="175" t="s">
        <v>346</v>
      </c>
      <c r="N319" s="175">
        <v>13</v>
      </c>
      <c r="O319" s="175" t="s">
        <v>382</v>
      </c>
      <c r="P319" s="175" t="s">
        <v>717</v>
      </c>
      <c r="Q319" s="175" t="s">
        <v>1201</v>
      </c>
      <c r="R319" s="175" t="s">
        <v>339</v>
      </c>
      <c r="S319" s="175" t="s">
        <v>19</v>
      </c>
      <c r="T319" s="175" t="s">
        <v>703</v>
      </c>
      <c r="U319" s="176">
        <v>15</v>
      </c>
      <c r="V319" s="176">
        <v>116</v>
      </c>
      <c r="W319" s="176">
        <v>12</v>
      </c>
      <c r="X319" s="179">
        <f t="shared" si="53"/>
        <v>128</v>
      </c>
      <c r="Y319" s="176">
        <v>4</v>
      </c>
      <c r="Z319" s="176" t="s">
        <v>20</v>
      </c>
      <c r="AA319" s="176" t="s">
        <v>18</v>
      </c>
      <c r="AB319" s="176" t="s">
        <v>18</v>
      </c>
      <c r="AC319" s="186" t="s">
        <v>2179</v>
      </c>
      <c r="AD319" s="181" t="s">
        <v>2033</v>
      </c>
      <c r="AE319" s="179" t="s">
        <v>18</v>
      </c>
      <c r="AF319" s="191"/>
      <c r="AG319" s="175" t="s">
        <v>1173</v>
      </c>
      <c r="AH319" s="179">
        <f t="shared" si="45"/>
        <v>32</v>
      </c>
      <c r="AI319" s="179">
        <v>1</v>
      </c>
      <c r="AJ319" s="183">
        <f t="shared" si="46"/>
        <v>5074</v>
      </c>
      <c r="AK319" s="179">
        <f t="shared" si="47"/>
        <v>32</v>
      </c>
      <c r="AL319" s="183">
        <v>0</v>
      </c>
      <c r="AM319" s="183">
        <f t="shared" si="54"/>
        <v>1920000</v>
      </c>
      <c r="AN319" s="183">
        <f t="shared" si="48"/>
        <v>0</v>
      </c>
      <c r="AO319" s="183">
        <f t="shared" si="49"/>
        <v>0</v>
      </c>
      <c r="AP319" s="183">
        <f t="shared" si="50"/>
        <v>9742080</v>
      </c>
      <c r="AR319" s="183">
        <f t="shared" si="51"/>
        <v>0</v>
      </c>
      <c r="AS319" s="183">
        <f t="shared" si="52"/>
        <v>11662080</v>
      </c>
      <c r="AT319" s="175" t="s">
        <v>1535</v>
      </c>
      <c r="AU319" s="175" t="s">
        <v>1536</v>
      </c>
      <c r="AV319" s="175" t="s">
        <v>2036</v>
      </c>
      <c r="AW319" s="175" t="s">
        <v>2037</v>
      </c>
    </row>
    <row r="320" spans="1:49" ht="24.95" customHeight="1" x14ac:dyDescent="0.25">
      <c r="A320" s="175">
        <v>14467</v>
      </c>
      <c r="B320" s="175" t="s">
        <v>83</v>
      </c>
      <c r="C320" s="175" t="s">
        <v>1022</v>
      </c>
      <c r="D320" s="176">
        <v>1</v>
      </c>
      <c r="E320" s="176">
        <v>2025</v>
      </c>
      <c r="F320" s="176">
        <v>2025</v>
      </c>
      <c r="G320" s="175" t="s">
        <v>23</v>
      </c>
      <c r="H320" s="175" t="s">
        <v>83</v>
      </c>
      <c r="I320" s="175" t="s">
        <v>102</v>
      </c>
      <c r="J320" s="177" t="s">
        <v>2180</v>
      </c>
      <c r="K320" s="175" t="s">
        <v>21</v>
      </c>
      <c r="L320" s="175" t="s">
        <v>345</v>
      </c>
      <c r="M320" s="175" t="s">
        <v>346</v>
      </c>
      <c r="N320" s="175">
        <v>13</v>
      </c>
      <c r="O320" s="175" t="s">
        <v>382</v>
      </c>
      <c r="P320" s="175" t="s">
        <v>717</v>
      </c>
      <c r="Q320" s="175" t="s">
        <v>1201</v>
      </c>
      <c r="R320" s="175" t="s">
        <v>339</v>
      </c>
      <c r="S320" s="175" t="s">
        <v>19</v>
      </c>
      <c r="T320" s="175" t="s">
        <v>784</v>
      </c>
      <c r="U320" s="176">
        <v>15</v>
      </c>
      <c r="V320" s="176">
        <v>116</v>
      </c>
      <c r="W320" s="176">
        <v>12</v>
      </c>
      <c r="X320" s="179">
        <f t="shared" si="53"/>
        <v>128</v>
      </c>
      <c r="Y320" s="176">
        <v>4</v>
      </c>
      <c r="Z320" s="176" t="s">
        <v>20</v>
      </c>
      <c r="AA320" s="176" t="s">
        <v>18</v>
      </c>
      <c r="AB320" s="176" t="s">
        <v>20</v>
      </c>
      <c r="AC320" s="186" t="s">
        <v>2181</v>
      </c>
      <c r="AD320" s="181" t="s">
        <v>2033</v>
      </c>
      <c r="AE320" s="179" t="s">
        <v>18</v>
      </c>
      <c r="AF320" s="191"/>
      <c r="AG320" s="175" t="s">
        <v>1173</v>
      </c>
      <c r="AH320" s="179">
        <f t="shared" si="45"/>
        <v>32</v>
      </c>
      <c r="AI320" s="179">
        <v>1</v>
      </c>
      <c r="AJ320" s="183">
        <f t="shared" si="46"/>
        <v>5074</v>
      </c>
      <c r="AK320" s="179">
        <f t="shared" si="47"/>
        <v>32</v>
      </c>
      <c r="AL320" s="183">
        <v>0</v>
      </c>
      <c r="AM320" s="183">
        <f t="shared" si="54"/>
        <v>1920000</v>
      </c>
      <c r="AN320" s="183">
        <f t="shared" si="48"/>
        <v>0</v>
      </c>
      <c r="AO320" s="183">
        <f t="shared" si="49"/>
        <v>4050000</v>
      </c>
      <c r="AP320" s="183">
        <f t="shared" si="50"/>
        <v>9742080</v>
      </c>
      <c r="AR320" s="183">
        <f t="shared" si="51"/>
        <v>0</v>
      </c>
      <c r="AS320" s="183">
        <f t="shared" si="52"/>
        <v>15712080</v>
      </c>
      <c r="AT320" s="175" t="s">
        <v>1535</v>
      </c>
      <c r="AU320" s="175" t="s">
        <v>1536</v>
      </c>
      <c r="AV320" s="175" t="s">
        <v>2036</v>
      </c>
      <c r="AW320" s="175" t="s">
        <v>2037</v>
      </c>
    </row>
    <row r="321" spans="1:49" ht="24.95" customHeight="1" x14ac:dyDescent="0.25">
      <c r="A321" s="175">
        <v>14468</v>
      </c>
      <c r="B321" s="175" t="s">
        <v>83</v>
      </c>
      <c r="C321" s="175" t="s">
        <v>1022</v>
      </c>
      <c r="D321" s="176">
        <v>1</v>
      </c>
      <c r="E321" s="176">
        <v>2025</v>
      </c>
      <c r="F321" s="176">
        <v>2025</v>
      </c>
      <c r="G321" s="175" t="s">
        <v>23</v>
      </c>
      <c r="H321" s="175" t="s">
        <v>83</v>
      </c>
      <c r="I321" s="175" t="s">
        <v>102</v>
      </c>
      <c r="J321" s="177" t="s">
        <v>2180</v>
      </c>
      <c r="K321" s="175" t="s">
        <v>21</v>
      </c>
      <c r="L321" s="175" t="s">
        <v>345</v>
      </c>
      <c r="M321" s="175" t="s">
        <v>346</v>
      </c>
      <c r="N321" s="175">
        <v>13</v>
      </c>
      <c r="O321" s="175" t="s">
        <v>382</v>
      </c>
      <c r="P321" s="175" t="s">
        <v>717</v>
      </c>
      <c r="Q321" s="175" t="s">
        <v>1201</v>
      </c>
      <c r="R321" s="175" t="s">
        <v>339</v>
      </c>
      <c r="S321" s="175" t="s">
        <v>19</v>
      </c>
      <c r="T321" s="175" t="s">
        <v>703</v>
      </c>
      <c r="U321" s="176">
        <v>15</v>
      </c>
      <c r="V321" s="176">
        <v>116</v>
      </c>
      <c r="W321" s="176">
        <v>12</v>
      </c>
      <c r="X321" s="179">
        <f t="shared" si="53"/>
        <v>128</v>
      </c>
      <c r="Y321" s="176">
        <v>4</v>
      </c>
      <c r="Z321" s="176" t="s">
        <v>20</v>
      </c>
      <c r="AA321" s="176" t="s">
        <v>18</v>
      </c>
      <c r="AB321" s="176" t="s">
        <v>20</v>
      </c>
      <c r="AC321" s="186" t="s">
        <v>2181</v>
      </c>
      <c r="AD321" s="181" t="s">
        <v>2033</v>
      </c>
      <c r="AE321" s="179" t="s">
        <v>18</v>
      </c>
      <c r="AF321" s="191"/>
      <c r="AG321" s="175" t="s">
        <v>1173</v>
      </c>
      <c r="AH321" s="179">
        <f t="shared" si="45"/>
        <v>32</v>
      </c>
      <c r="AI321" s="179">
        <v>1</v>
      </c>
      <c r="AJ321" s="183">
        <f t="shared" si="46"/>
        <v>5074</v>
      </c>
      <c r="AK321" s="179">
        <f t="shared" si="47"/>
        <v>32</v>
      </c>
      <c r="AL321" s="183">
        <v>0</v>
      </c>
      <c r="AM321" s="183">
        <f t="shared" si="54"/>
        <v>1920000</v>
      </c>
      <c r="AN321" s="183">
        <f t="shared" si="48"/>
        <v>0</v>
      </c>
      <c r="AO321" s="183">
        <f t="shared" si="49"/>
        <v>4050000</v>
      </c>
      <c r="AP321" s="183">
        <f t="shared" si="50"/>
        <v>9742080</v>
      </c>
      <c r="AR321" s="183">
        <f t="shared" si="51"/>
        <v>0</v>
      </c>
      <c r="AS321" s="183">
        <f t="shared" si="52"/>
        <v>15712080</v>
      </c>
      <c r="AT321" s="175" t="s">
        <v>1535</v>
      </c>
      <c r="AU321" s="175" t="s">
        <v>1536</v>
      </c>
      <c r="AV321" s="175" t="s">
        <v>2036</v>
      </c>
      <c r="AW321" s="175" t="s">
        <v>2037</v>
      </c>
    </row>
    <row r="322" spans="1:49" ht="24.95" customHeight="1" x14ac:dyDescent="0.25">
      <c r="A322" s="175">
        <v>14469</v>
      </c>
      <c r="B322" s="175" t="s">
        <v>83</v>
      </c>
      <c r="C322" s="175" t="s">
        <v>1022</v>
      </c>
      <c r="D322" s="176">
        <v>1</v>
      </c>
      <c r="E322" s="176">
        <v>2025</v>
      </c>
      <c r="F322" s="176">
        <v>2025</v>
      </c>
      <c r="G322" s="175" t="s">
        <v>23</v>
      </c>
      <c r="H322" s="175" t="s">
        <v>83</v>
      </c>
      <c r="I322" s="175" t="s">
        <v>102</v>
      </c>
      <c r="J322" s="177" t="s">
        <v>2180</v>
      </c>
      <c r="K322" s="175" t="s">
        <v>21</v>
      </c>
      <c r="L322" s="175" t="s">
        <v>345</v>
      </c>
      <c r="M322" s="175" t="s">
        <v>346</v>
      </c>
      <c r="N322" s="175">
        <v>13</v>
      </c>
      <c r="O322" s="175" t="s">
        <v>382</v>
      </c>
      <c r="P322" s="175" t="s">
        <v>416</v>
      </c>
      <c r="Q322" s="175" t="s">
        <v>1201</v>
      </c>
      <c r="R322" s="175" t="s">
        <v>339</v>
      </c>
      <c r="S322" s="175" t="s">
        <v>19</v>
      </c>
      <c r="T322" s="175" t="s">
        <v>703</v>
      </c>
      <c r="U322" s="176">
        <v>15</v>
      </c>
      <c r="V322" s="176">
        <v>116</v>
      </c>
      <c r="W322" s="176">
        <v>12</v>
      </c>
      <c r="X322" s="179">
        <f t="shared" si="53"/>
        <v>128</v>
      </c>
      <c r="Y322" s="176">
        <v>4</v>
      </c>
      <c r="Z322" s="176" t="s">
        <v>20</v>
      </c>
      <c r="AA322" s="176" t="s">
        <v>18</v>
      </c>
      <c r="AB322" s="176" t="s">
        <v>18</v>
      </c>
      <c r="AC322" s="186" t="s">
        <v>2181</v>
      </c>
      <c r="AD322" s="181" t="s">
        <v>2033</v>
      </c>
      <c r="AE322" s="179" t="s">
        <v>18</v>
      </c>
      <c r="AF322" s="191"/>
      <c r="AG322" s="175" t="s">
        <v>1173</v>
      </c>
      <c r="AH322" s="179">
        <f t="shared" ref="AH322:AH374" si="55">ROUNDUP(AK322,0)</f>
        <v>32</v>
      </c>
      <c r="AI322" s="179">
        <v>1</v>
      </c>
      <c r="AJ322" s="183">
        <f t="shared" ref="AJ322:AJ385" si="56">IF(AI322=1,5074,IF(AI322=2,6372,IF(AI322=3,7434,"ERROR")))</f>
        <v>5074</v>
      </c>
      <c r="AK322" s="179">
        <f t="shared" ref="AK322:AK374" si="57">+(X322/Y322)</f>
        <v>32</v>
      </c>
      <c r="AL322" s="183">
        <v>0</v>
      </c>
      <c r="AM322" s="183">
        <f t="shared" si="54"/>
        <v>1920000</v>
      </c>
      <c r="AN322" s="183">
        <f t="shared" ref="AN322:AN385" si="58">IF(AA322="SI",5000*AH322*U322,0)</f>
        <v>0</v>
      </c>
      <c r="AO322" s="183">
        <f t="shared" ref="AO322:AO385" si="59">IF(AB322="SI",270000*U322,0)</f>
        <v>0</v>
      </c>
      <c r="AP322" s="183">
        <f t="shared" ref="AP322:AP385" si="60">+(AJ322*X322*U322)</f>
        <v>9742080</v>
      </c>
      <c r="AR322" s="183">
        <f t="shared" ref="AR322:AR360" si="61">+(AL322*U322)</f>
        <v>0</v>
      </c>
      <c r="AS322" s="183">
        <f t="shared" ref="AS322:AS360" si="62">+(AM322+AN322+AO322+AP322+AR322)</f>
        <v>11662080</v>
      </c>
      <c r="AT322" s="175" t="s">
        <v>1535</v>
      </c>
      <c r="AU322" s="175" t="s">
        <v>1536</v>
      </c>
      <c r="AV322" s="175" t="s">
        <v>2036</v>
      </c>
      <c r="AW322" s="175" t="s">
        <v>2037</v>
      </c>
    </row>
    <row r="323" spans="1:49" ht="24.95" customHeight="1" x14ac:dyDescent="0.25">
      <c r="A323" s="175">
        <v>14257</v>
      </c>
      <c r="B323" s="175" t="s">
        <v>86</v>
      </c>
      <c r="C323" s="175" t="s">
        <v>29</v>
      </c>
      <c r="D323" s="176">
        <v>1</v>
      </c>
      <c r="E323" s="176">
        <v>2025</v>
      </c>
      <c r="F323" s="176">
        <v>2025</v>
      </c>
      <c r="G323" s="175" t="s">
        <v>23</v>
      </c>
      <c r="H323" s="175" t="s">
        <v>86</v>
      </c>
      <c r="I323" s="175" t="s">
        <v>105</v>
      </c>
      <c r="J323" s="177" t="s">
        <v>2038</v>
      </c>
      <c r="K323" s="175" t="s">
        <v>21</v>
      </c>
      <c r="L323" s="175" t="s">
        <v>345</v>
      </c>
      <c r="M323" s="175" t="s">
        <v>346</v>
      </c>
      <c r="N323" s="175">
        <v>13</v>
      </c>
      <c r="O323" s="175" t="s">
        <v>382</v>
      </c>
      <c r="P323" s="175" t="s">
        <v>416</v>
      </c>
      <c r="Q323" s="175" t="s">
        <v>1201</v>
      </c>
      <c r="R323" s="175" t="s">
        <v>339</v>
      </c>
      <c r="S323" s="175" t="s">
        <v>19</v>
      </c>
      <c r="T323" s="175" t="s">
        <v>777</v>
      </c>
      <c r="U323" s="176">
        <v>16</v>
      </c>
      <c r="V323" s="176">
        <v>78</v>
      </c>
      <c r="W323" s="176">
        <v>12</v>
      </c>
      <c r="X323" s="179">
        <f t="shared" si="53"/>
        <v>90</v>
      </c>
      <c r="Y323" s="176">
        <v>4</v>
      </c>
      <c r="Z323" s="176" t="s">
        <v>20</v>
      </c>
      <c r="AA323" s="176" t="s">
        <v>18</v>
      </c>
      <c r="AB323" s="185" t="s">
        <v>18</v>
      </c>
      <c r="AC323" s="186" t="s">
        <v>2039</v>
      </c>
      <c r="AD323" s="181" t="s">
        <v>2182</v>
      </c>
      <c r="AE323" s="179" t="s">
        <v>18</v>
      </c>
      <c r="AF323" s="191"/>
      <c r="AG323" s="175" t="s">
        <v>1173</v>
      </c>
      <c r="AH323" s="179">
        <f t="shared" si="55"/>
        <v>23</v>
      </c>
      <c r="AI323" s="179">
        <v>2</v>
      </c>
      <c r="AJ323" s="183">
        <f t="shared" si="56"/>
        <v>6372</v>
      </c>
      <c r="AK323" s="179">
        <f t="shared" si="57"/>
        <v>22.5</v>
      </c>
      <c r="AL323" s="183">
        <v>0</v>
      </c>
      <c r="AM323" s="183">
        <f t="shared" si="54"/>
        <v>1472000</v>
      </c>
      <c r="AN323" s="183">
        <f t="shared" si="58"/>
        <v>0</v>
      </c>
      <c r="AO323" s="183">
        <f t="shared" si="59"/>
        <v>0</v>
      </c>
      <c r="AP323" s="183">
        <f t="shared" si="60"/>
        <v>9175680</v>
      </c>
      <c r="AR323" s="183">
        <f t="shared" si="61"/>
        <v>0</v>
      </c>
      <c r="AS323" s="183">
        <f t="shared" si="62"/>
        <v>10647680</v>
      </c>
      <c r="AT323" s="175" t="s">
        <v>2077</v>
      </c>
      <c r="AU323" s="175" t="s">
        <v>1975</v>
      </c>
      <c r="AV323" s="175" t="s">
        <v>2078</v>
      </c>
      <c r="AW323" s="175" t="s">
        <v>2087</v>
      </c>
    </row>
    <row r="324" spans="1:49" ht="24.95" customHeight="1" x14ac:dyDescent="0.25">
      <c r="A324" s="175">
        <v>14398</v>
      </c>
      <c r="B324" s="175" t="s">
        <v>83</v>
      </c>
      <c r="C324" s="175" t="s">
        <v>1022</v>
      </c>
      <c r="D324" s="176">
        <v>1</v>
      </c>
      <c r="E324" s="176">
        <v>2025</v>
      </c>
      <c r="F324" s="176">
        <v>2025</v>
      </c>
      <c r="G324" s="175" t="s">
        <v>23</v>
      </c>
      <c r="H324" s="175" t="s">
        <v>83</v>
      </c>
      <c r="I324" s="175" t="s">
        <v>102</v>
      </c>
      <c r="J324" s="177" t="s">
        <v>2183</v>
      </c>
      <c r="K324" s="175" t="s">
        <v>21</v>
      </c>
      <c r="L324" s="175" t="s">
        <v>345</v>
      </c>
      <c r="M324" s="175" t="s">
        <v>346</v>
      </c>
      <c r="N324" s="175">
        <v>13</v>
      </c>
      <c r="O324" s="175" t="s">
        <v>382</v>
      </c>
      <c r="P324" s="175" t="s">
        <v>730</v>
      </c>
      <c r="Q324" s="175" t="s">
        <v>1201</v>
      </c>
      <c r="R324" s="175" t="s">
        <v>339</v>
      </c>
      <c r="S324" s="175" t="s">
        <v>19</v>
      </c>
      <c r="T324" s="175" t="s">
        <v>784</v>
      </c>
      <c r="U324" s="176">
        <v>12</v>
      </c>
      <c r="V324" s="176">
        <v>80</v>
      </c>
      <c r="W324" s="176">
        <v>12</v>
      </c>
      <c r="X324" s="179">
        <f t="shared" si="53"/>
        <v>92</v>
      </c>
      <c r="Y324" s="176">
        <v>4</v>
      </c>
      <c r="Z324" s="176" t="s">
        <v>20</v>
      </c>
      <c r="AA324" s="176" t="s">
        <v>18</v>
      </c>
      <c r="AB324" s="176" t="s">
        <v>18</v>
      </c>
      <c r="AC324" s="186" t="s">
        <v>2184</v>
      </c>
      <c r="AD324" s="181" t="s">
        <v>2185</v>
      </c>
      <c r="AE324" s="179" t="s">
        <v>18</v>
      </c>
      <c r="AF324" s="191"/>
      <c r="AG324" s="175" t="s">
        <v>1173</v>
      </c>
      <c r="AH324" s="179">
        <f t="shared" si="55"/>
        <v>23</v>
      </c>
      <c r="AI324" s="179">
        <v>2</v>
      </c>
      <c r="AJ324" s="183">
        <f t="shared" si="56"/>
        <v>6372</v>
      </c>
      <c r="AK324" s="179">
        <f t="shared" si="57"/>
        <v>23</v>
      </c>
      <c r="AL324" s="183">
        <v>0</v>
      </c>
      <c r="AM324" s="183">
        <f t="shared" si="54"/>
        <v>1104000</v>
      </c>
      <c r="AN324" s="183">
        <f t="shared" si="58"/>
        <v>0</v>
      </c>
      <c r="AO324" s="183">
        <f t="shared" si="59"/>
        <v>0</v>
      </c>
      <c r="AP324" s="183">
        <f t="shared" si="60"/>
        <v>7034688</v>
      </c>
      <c r="AR324" s="183">
        <f t="shared" si="61"/>
        <v>0</v>
      </c>
      <c r="AS324" s="183">
        <f t="shared" si="62"/>
        <v>8138688</v>
      </c>
      <c r="AT324" s="175" t="s">
        <v>1535</v>
      </c>
      <c r="AU324" s="175" t="s">
        <v>1536</v>
      </c>
      <c r="AV324" s="175" t="s">
        <v>2036</v>
      </c>
      <c r="AW324" s="175" t="s">
        <v>2037</v>
      </c>
    </row>
    <row r="325" spans="1:49" ht="24.95" customHeight="1" x14ac:dyDescent="0.25">
      <c r="A325" s="175">
        <v>14382</v>
      </c>
      <c r="B325" s="175" t="s">
        <v>83</v>
      </c>
      <c r="C325" s="175" t="s">
        <v>1022</v>
      </c>
      <c r="D325" s="176">
        <v>1</v>
      </c>
      <c r="E325" s="176">
        <v>2025</v>
      </c>
      <c r="F325" s="176">
        <v>2025</v>
      </c>
      <c r="G325" s="175" t="s">
        <v>23</v>
      </c>
      <c r="H325" s="175" t="s">
        <v>83</v>
      </c>
      <c r="I325" s="175" t="s">
        <v>102</v>
      </c>
      <c r="J325" s="177" t="s">
        <v>2186</v>
      </c>
      <c r="K325" s="175" t="s">
        <v>21</v>
      </c>
      <c r="L325" s="175" t="s">
        <v>345</v>
      </c>
      <c r="M325" s="175" t="s">
        <v>346</v>
      </c>
      <c r="N325" s="175">
        <v>13</v>
      </c>
      <c r="O325" s="175" t="s">
        <v>382</v>
      </c>
      <c r="P325" s="175" t="s">
        <v>730</v>
      </c>
      <c r="Q325" s="175" t="s">
        <v>1201</v>
      </c>
      <c r="R325" s="175" t="s">
        <v>339</v>
      </c>
      <c r="S325" s="175" t="s">
        <v>19</v>
      </c>
      <c r="T325" s="175" t="s">
        <v>777</v>
      </c>
      <c r="U325" s="176">
        <v>12</v>
      </c>
      <c r="V325" s="176">
        <v>60</v>
      </c>
      <c r="W325" s="176">
        <v>12</v>
      </c>
      <c r="X325" s="179">
        <f t="shared" si="53"/>
        <v>72</v>
      </c>
      <c r="Y325" s="176">
        <v>4</v>
      </c>
      <c r="Z325" s="176" t="s">
        <v>20</v>
      </c>
      <c r="AA325" s="176" t="s">
        <v>18</v>
      </c>
      <c r="AB325" s="185" t="s">
        <v>18</v>
      </c>
      <c r="AC325" s="186" t="s">
        <v>2187</v>
      </c>
      <c r="AD325" s="181" t="s">
        <v>2185</v>
      </c>
      <c r="AE325" s="179" t="s">
        <v>18</v>
      </c>
      <c r="AF325" s="191"/>
      <c r="AG325" s="175" t="s">
        <v>1173</v>
      </c>
      <c r="AH325" s="179">
        <f t="shared" si="55"/>
        <v>18</v>
      </c>
      <c r="AI325" s="179">
        <v>2</v>
      </c>
      <c r="AJ325" s="183">
        <f t="shared" si="56"/>
        <v>6372</v>
      </c>
      <c r="AK325" s="179">
        <f t="shared" si="57"/>
        <v>18</v>
      </c>
      <c r="AL325" s="183">
        <v>0</v>
      </c>
      <c r="AM325" s="183">
        <f t="shared" si="54"/>
        <v>864000</v>
      </c>
      <c r="AN325" s="183">
        <f t="shared" si="58"/>
        <v>0</v>
      </c>
      <c r="AO325" s="183">
        <f t="shared" si="59"/>
        <v>0</v>
      </c>
      <c r="AP325" s="183">
        <f t="shared" si="60"/>
        <v>5505408</v>
      </c>
      <c r="AR325" s="183">
        <f t="shared" si="61"/>
        <v>0</v>
      </c>
      <c r="AS325" s="183">
        <f t="shared" si="62"/>
        <v>6369408</v>
      </c>
      <c r="AT325" s="175" t="s">
        <v>1535</v>
      </c>
      <c r="AU325" s="175" t="s">
        <v>1536</v>
      </c>
      <c r="AV325" s="175" t="s">
        <v>2036</v>
      </c>
      <c r="AW325" s="175" t="s">
        <v>2037</v>
      </c>
    </row>
    <row r="326" spans="1:49" ht="24.95" customHeight="1" x14ac:dyDescent="0.25">
      <c r="A326" s="175">
        <v>14491</v>
      </c>
      <c r="B326" s="175" t="s">
        <v>96</v>
      </c>
      <c r="C326" s="175" t="s">
        <v>39</v>
      </c>
      <c r="D326" s="176">
        <v>4</v>
      </c>
      <c r="E326" s="176">
        <v>2025</v>
      </c>
      <c r="F326" s="176">
        <v>2025</v>
      </c>
      <c r="G326" s="175" t="s">
        <v>23</v>
      </c>
      <c r="H326" s="175" t="s">
        <v>96</v>
      </c>
      <c r="I326" s="175" t="s">
        <v>1042</v>
      </c>
      <c r="J326" s="177" t="s">
        <v>2188</v>
      </c>
      <c r="K326" s="175" t="s">
        <v>21</v>
      </c>
      <c r="L326" s="175" t="s">
        <v>345</v>
      </c>
      <c r="M326" s="175" t="s">
        <v>346</v>
      </c>
      <c r="N326" s="175">
        <v>13</v>
      </c>
      <c r="O326" s="175" t="s">
        <v>382</v>
      </c>
      <c r="P326" s="175" t="s">
        <v>793</v>
      </c>
      <c r="Q326" s="175" t="s">
        <v>1201</v>
      </c>
      <c r="R326" s="175" t="s">
        <v>339</v>
      </c>
      <c r="S326" s="175" t="s">
        <v>19</v>
      </c>
      <c r="T326" s="175" t="s">
        <v>337</v>
      </c>
      <c r="U326" s="176">
        <v>15</v>
      </c>
      <c r="V326" s="176">
        <v>80</v>
      </c>
      <c r="W326" s="176">
        <v>12</v>
      </c>
      <c r="X326" s="179">
        <f t="shared" si="53"/>
        <v>92</v>
      </c>
      <c r="Y326" s="176">
        <v>5</v>
      </c>
      <c r="Z326" s="176" t="s">
        <v>20</v>
      </c>
      <c r="AA326" s="176" t="s">
        <v>18</v>
      </c>
      <c r="AB326" s="176" t="s">
        <v>20</v>
      </c>
      <c r="AC326" s="186" t="s">
        <v>2189</v>
      </c>
      <c r="AD326" s="181" t="s">
        <v>1915</v>
      </c>
      <c r="AE326" s="179" t="s">
        <v>18</v>
      </c>
      <c r="AF326" s="191"/>
      <c r="AG326" s="175" t="s">
        <v>1173</v>
      </c>
      <c r="AH326" s="179">
        <f t="shared" si="55"/>
        <v>19</v>
      </c>
      <c r="AI326" s="179">
        <v>1</v>
      </c>
      <c r="AJ326" s="183">
        <f t="shared" si="56"/>
        <v>5074</v>
      </c>
      <c r="AK326" s="179">
        <f t="shared" si="57"/>
        <v>18.399999999999999</v>
      </c>
      <c r="AL326" s="183">
        <v>0</v>
      </c>
      <c r="AM326" s="183">
        <f t="shared" si="54"/>
        <v>1140000</v>
      </c>
      <c r="AN326" s="183">
        <f t="shared" si="58"/>
        <v>0</v>
      </c>
      <c r="AO326" s="183">
        <f t="shared" si="59"/>
        <v>4050000</v>
      </c>
      <c r="AP326" s="183">
        <f t="shared" si="60"/>
        <v>7002120</v>
      </c>
      <c r="AR326" s="183">
        <f t="shared" si="61"/>
        <v>0</v>
      </c>
      <c r="AS326" s="183">
        <f t="shared" si="62"/>
        <v>12192120</v>
      </c>
      <c r="AT326" s="175" t="s">
        <v>1718</v>
      </c>
      <c r="AU326" s="175" t="s">
        <v>1719</v>
      </c>
      <c r="AV326" s="175" t="s">
        <v>1720</v>
      </c>
      <c r="AW326" s="175" t="s">
        <v>1721</v>
      </c>
    </row>
    <row r="327" spans="1:49" ht="24.95" customHeight="1" x14ac:dyDescent="0.25">
      <c r="A327" s="175">
        <v>14486</v>
      </c>
      <c r="B327" s="175" t="s">
        <v>96</v>
      </c>
      <c r="C327" s="175" t="s">
        <v>39</v>
      </c>
      <c r="D327" s="176">
        <v>4</v>
      </c>
      <c r="E327" s="176">
        <v>2025</v>
      </c>
      <c r="F327" s="176">
        <v>2025</v>
      </c>
      <c r="G327" s="175" t="s">
        <v>23</v>
      </c>
      <c r="H327" s="175" t="s">
        <v>96</v>
      </c>
      <c r="I327" s="175" t="s">
        <v>1042</v>
      </c>
      <c r="J327" s="177" t="s">
        <v>2190</v>
      </c>
      <c r="K327" s="175" t="s">
        <v>21</v>
      </c>
      <c r="L327" s="175" t="s">
        <v>345</v>
      </c>
      <c r="M327" s="175" t="s">
        <v>346</v>
      </c>
      <c r="N327" s="175">
        <v>13</v>
      </c>
      <c r="O327" s="175" t="s">
        <v>382</v>
      </c>
      <c r="P327" s="175" t="s">
        <v>412</v>
      </c>
      <c r="Q327" s="175" t="s">
        <v>1201</v>
      </c>
      <c r="R327" s="175" t="s">
        <v>339</v>
      </c>
      <c r="S327" s="175" t="s">
        <v>19</v>
      </c>
      <c r="T327" s="175" t="s">
        <v>337</v>
      </c>
      <c r="U327" s="176">
        <v>15</v>
      </c>
      <c r="V327" s="176">
        <v>80</v>
      </c>
      <c r="W327" s="176">
        <v>12</v>
      </c>
      <c r="X327" s="179">
        <f t="shared" si="53"/>
        <v>92</v>
      </c>
      <c r="Y327" s="176">
        <v>5</v>
      </c>
      <c r="Z327" s="176" t="s">
        <v>20</v>
      </c>
      <c r="AA327" s="176" t="s">
        <v>18</v>
      </c>
      <c r="AB327" s="176" t="s">
        <v>20</v>
      </c>
      <c r="AC327" s="186" t="s">
        <v>2189</v>
      </c>
      <c r="AD327" s="181" t="s">
        <v>2191</v>
      </c>
      <c r="AE327" s="179" t="s">
        <v>18</v>
      </c>
      <c r="AF327" s="191"/>
      <c r="AG327" s="175" t="s">
        <v>1173</v>
      </c>
      <c r="AH327" s="179">
        <f t="shared" si="55"/>
        <v>19</v>
      </c>
      <c r="AI327" s="179">
        <v>1</v>
      </c>
      <c r="AJ327" s="183">
        <f t="shared" si="56"/>
        <v>5074</v>
      </c>
      <c r="AK327" s="179">
        <f t="shared" si="57"/>
        <v>18.399999999999999</v>
      </c>
      <c r="AL327" s="183">
        <v>0</v>
      </c>
      <c r="AM327" s="183">
        <f t="shared" si="54"/>
        <v>1140000</v>
      </c>
      <c r="AN327" s="183">
        <f t="shared" si="58"/>
        <v>0</v>
      </c>
      <c r="AO327" s="183">
        <f t="shared" si="59"/>
        <v>4050000</v>
      </c>
      <c r="AP327" s="183">
        <f t="shared" si="60"/>
        <v>7002120</v>
      </c>
      <c r="AR327" s="183">
        <f t="shared" si="61"/>
        <v>0</v>
      </c>
      <c r="AS327" s="183">
        <f t="shared" si="62"/>
        <v>12192120</v>
      </c>
      <c r="AT327" s="175" t="s">
        <v>1718</v>
      </c>
      <c r="AU327" s="175" t="s">
        <v>1719</v>
      </c>
      <c r="AV327" s="175" t="s">
        <v>1720</v>
      </c>
      <c r="AW327" s="175" t="s">
        <v>1721</v>
      </c>
    </row>
    <row r="328" spans="1:49" ht="24.95" customHeight="1" x14ac:dyDescent="0.25">
      <c r="A328" s="175">
        <v>14489</v>
      </c>
      <c r="B328" s="175" t="s">
        <v>96</v>
      </c>
      <c r="C328" s="175" t="s">
        <v>39</v>
      </c>
      <c r="D328" s="176">
        <v>4</v>
      </c>
      <c r="E328" s="176">
        <v>2025</v>
      </c>
      <c r="F328" s="176">
        <v>2025</v>
      </c>
      <c r="G328" s="175" t="s">
        <v>23</v>
      </c>
      <c r="H328" s="175" t="s">
        <v>96</v>
      </c>
      <c r="I328" s="175" t="s">
        <v>1042</v>
      </c>
      <c r="J328" s="177" t="s">
        <v>2190</v>
      </c>
      <c r="K328" s="175" t="s">
        <v>21</v>
      </c>
      <c r="L328" s="175" t="s">
        <v>345</v>
      </c>
      <c r="M328" s="175" t="s">
        <v>346</v>
      </c>
      <c r="N328" s="175">
        <v>13</v>
      </c>
      <c r="O328" s="175" t="s">
        <v>382</v>
      </c>
      <c r="P328" s="175" t="s">
        <v>781</v>
      </c>
      <c r="Q328" s="175" t="s">
        <v>1201</v>
      </c>
      <c r="R328" s="175" t="s">
        <v>339</v>
      </c>
      <c r="S328" s="175" t="s">
        <v>19</v>
      </c>
      <c r="T328" s="175" t="s">
        <v>337</v>
      </c>
      <c r="U328" s="176">
        <v>15</v>
      </c>
      <c r="V328" s="176">
        <v>80</v>
      </c>
      <c r="W328" s="176">
        <v>12</v>
      </c>
      <c r="X328" s="179">
        <f t="shared" ref="X328:X350" si="63">(SUM(V328:W328))*1</f>
        <v>92</v>
      </c>
      <c r="Y328" s="176">
        <v>5</v>
      </c>
      <c r="Z328" s="176" t="s">
        <v>20</v>
      </c>
      <c r="AA328" s="176" t="s">
        <v>18</v>
      </c>
      <c r="AB328" s="176" t="s">
        <v>20</v>
      </c>
      <c r="AC328" s="186" t="s">
        <v>2192</v>
      </c>
      <c r="AD328" s="181" t="s">
        <v>2193</v>
      </c>
      <c r="AE328" s="179" t="s">
        <v>18</v>
      </c>
      <c r="AF328" s="191"/>
      <c r="AG328" s="175" t="s">
        <v>1173</v>
      </c>
      <c r="AH328" s="179">
        <f t="shared" si="55"/>
        <v>19</v>
      </c>
      <c r="AI328" s="179">
        <v>1</v>
      </c>
      <c r="AJ328" s="183">
        <f t="shared" si="56"/>
        <v>5074</v>
      </c>
      <c r="AK328" s="179">
        <f t="shared" si="57"/>
        <v>18.399999999999999</v>
      </c>
      <c r="AL328" s="183">
        <v>0</v>
      </c>
      <c r="AM328" s="183">
        <f t="shared" si="54"/>
        <v>1140000</v>
      </c>
      <c r="AN328" s="183">
        <f t="shared" si="58"/>
        <v>0</v>
      </c>
      <c r="AO328" s="183">
        <f t="shared" si="59"/>
        <v>4050000</v>
      </c>
      <c r="AP328" s="183">
        <f t="shared" si="60"/>
        <v>7002120</v>
      </c>
      <c r="AR328" s="183">
        <f t="shared" si="61"/>
        <v>0</v>
      </c>
      <c r="AS328" s="183">
        <f t="shared" si="62"/>
        <v>12192120</v>
      </c>
      <c r="AT328" s="175" t="s">
        <v>1718</v>
      </c>
      <c r="AU328" s="175" t="s">
        <v>1719</v>
      </c>
      <c r="AV328" s="175" t="s">
        <v>1720</v>
      </c>
      <c r="AW328" s="175" t="s">
        <v>1721</v>
      </c>
    </row>
    <row r="329" spans="1:49" ht="24.95" customHeight="1" x14ac:dyDescent="0.25">
      <c r="A329" s="175">
        <v>14494</v>
      </c>
      <c r="B329" s="175" t="s">
        <v>96</v>
      </c>
      <c r="C329" s="175" t="s">
        <v>39</v>
      </c>
      <c r="D329" s="176">
        <v>4</v>
      </c>
      <c r="E329" s="176">
        <v>2025</v>
      </c>
      <c r="F329" s="176">
        <v>2025</v>
      </c>
      <c r="G329" s="175" t="s">
        <v>23</v>
      </c>
      <c r="H329" s="175" t="s">
        <v>96</v>
      </c>
      <c r="I329" s="175" t="s">
        <v>1042</v>
      </c>
      <c r="J329" s="177" t="s">
        <v>2190</v>
      </c>
      <c r="K329" s="175" t="s">
        <v>21</v>
      </c>
      <c r="L329" s="175" t="s">
        <v>345</v>
      </c>
      <c r="M329" s="175" t="s">
        <v>346</v>
      </c>
      <c r="N329" s="175">
        <v>13</v>
      </c>
      <c r="O329" s="175" t="s">
        <v>382</v>
      </c>
      <c r="P329" s="175" t="s">
        <v>2194</v>
      </c>
      <c r="Q329" s="175" t="s">
        <v>1201</v>
      </c>
      <c r="R329" s="175" t="s">
        <v>339</v>
      </c>
      <c r="S329" s="175" t="s">
        <v>19</v>
      </c>
      <c r="T329" s="175" t="s">
        <v>337</v>
      </c>
      <c r="U329" s="176">
        <v>15</v>
      </c>
      <c r="V329" s="176">
        <v>80</v>
      </c>
      <c r="W329" s="176">
        <v>12</v>
      </c>
      <c r="X329" s="179">
        <f t="shared" si="63"/>
        <v>92</v>
      </c>
      <c r="Y329" s="176">
        <v>5</v>
      </c>
      <c r="Z329" s="176" t="s">
        <v>20</v>
      </c>
      <c r="AA329" s="176" t="s">
        <v>18</v>
      </c>
      <c r="AB329" s="176" t="s">
        <v>20</v>
      </c>
      <c r="AC329" s="186" t="s">
        <v>2192</v>
      </c>
      <c r="AD329" s="181" t="s">
        <v>2195</v>
      </c>
      <c r="AE329" s="179" t="s">
        <v>18</v>
      </c>
      <c r="AF329" s="191"/>
      <c r="AG329" s="175" t="s">
        <v>1173</v>
      </c>
      <c r="AH329" s="179">
        <f t="shared" si="55"/>
        <v>19</v>
      </c>
      <c r="AI329" s="179">
        <v>1</v>
      </c>
      <c r="AJ329" s="183">
        <f t="shared" si="56"/>
        <v>5074</v>
      </c>
      <c r="AK329" s="179">
        <f t="shared" si="57"/>
        <v>18.399999999999999</v>
      </c>
      <c r="AL329" s="183">
        <v>0</v>
      </c>
      <c r="AM329" s="183">
        <f t="shared" si="54"/>
        <v>1140000</v>
      </c>
      <c r="AN329" s="183">
        <f t="shared" si="58"/>
        <v>0</v>
      </c>
      <c r="AO329" s="183">
        <f t="shared" si="59"/>
        <v>4050000</v>
      </c>
      <c r="AP329" s="183">
        <f t="shared" si="60"/>
        <v>7002120</v>
      </c>
      <c r="AR329" s="183">
        <f t="shared" si="61"/>
        <v>0</v>
      </c>
      <c r="AS329" s="183">
        <f t="shared" si="62"/>
        <v>12192120</v>
      </c>
      <c r="AT329" s="175" t="s">
        <v>1718</v>
      </c>
      <c r="AU329" s="175" t="s">
        <v>1719</v>
      </c>
      <c r="AV329" s="175" t="s">
        <v>1720</v>
      </c>
      <c r="AW329" s="175" t="s">
        <v>1721</v>
      </c>
    </row>
    <row r="330" spans="1:49" ht="24.95" customHeight="1" x14ac:dyDescent="0.25">
      <c r="A330" s="175">
        <v>14447</v>
      </c>
      <c r="B330" s="175" t="s">
        <v>96</v>
      </c>
      <c r="C330" s="175" t="s">
        <v>39</v>
      </c>
      <c r="D330" s="176">
        <v>4</v>
      </c>
      <c r="E330" s="176">
        <v>2025</v>
      </c>
      <c r="F330" s="176">
        <v>2025</v>
      </c>
      <c r="G330" s="175" t="s">
        <v>23</v>
      </c>
      <c r="H330" s="175" t="s">
        <v>96</v>
      </c>
      <c r="I330" s="175" t="s">
        <v>1042</v>
      </c>
      <c r="J330" s="177" t="s">
        <v>2196</v>
      </c>
      <c r="K330" s="175" t="s">
        <v>21</v>
      </c>
      <c r="L330" s="175" t="s">
        <v>345</v>
      </c>
      <c r="M330" s="175" t="s">
        <v>346</v>
      </c>
      <c r="N330" s="175">
        <v>5</v>
      </c>
      <c r="O330" s="175" t="s">
        <v>395</v>
      </c>
      <c r="P330" s="175" t="s">
        <v>886</v>
      </c>
      <c r="Q330" s="175" t="s">
        <v>1201</v>
      </c>
      <c r="R330" s="175" t="s">
        <v>339</v>
      </c>
      <c r="S330" s="175" t="s">
        <v>19</v>
      </c>
      <c r="T330" s="175" t="s">
        <v>337</v>
      </c>
      <c r="U330" s="176">
        <v>15</v>
      </c>
      <c r="V330" s="176">
        <v>108</v>
      </c>
      <c r="W330" s="176">
        <v>12</v>
      </c>
      <c r="X330" s="179">
        <f t="shared" si="63"/>
        <v>120</v>
      </c>
      <c r="Y330" s="176">
        <v>5</v>
      </c>
      <c r="Z330" s="176" t="s">
        <v>20</v>
      </c>
      <c r="AA330" s="176" t="s">
        <v>18</v>
      </c>
      <c r="AB330" s="176" t="s">
        <v>20</v>
      </c>
      <c r="AC330" s="186" t="s">
        <v>2197</v>
      </c>
      <c r="AD330" s="181" t="s">
        <v>2198</v>
      </c>
      <c r="AE330" s="179" t="s">
        <v>18</v>
      </c>
      <c r="AF330" s="191"/>
      <c r="AG330" s="175" t="s">
        <v>1173</v>
      </c>
      <c r="AH330" s="179">
        <f t="shared" si="55"/>
        <v>24</v>
      </c>
      <c r="AI330" s="179">
        <v>1</v>
      </c>
      <c r="AJ330" s="183">
        <f t="shared" si="56"/>
        <v>5074</v>
      </c>
      <c r="AK330" s="179">
        <f t="shared" si="57"/>
        <v>24</v>
      </c>
      <c r="AL330" s="183">
        <v>0</v>
      </c>
      <c r="AM330" s="183">
        <f t="shared" si="54"/>
        <v>1440000</v>
      </c>
      <c r="AN330" s="183">
        <f t="shared" si="58"/>
        <v>0</v>
      </c>
      <c r="AO330" s="183">
        <f t="shared" si="59"/>
        <v>4050000</v>
      </c>
      <c r="AP330" s="183">
        <f t="shared" si="60"/>
        <v>9133200</v>
      </c>
      <c r="AR330" s="183">
        <f t="shared" si="61"/>
        <v>0</v>
      </c>
      <c r="AS330" s="183">
        <f t="shared" si="62"/>
        <v>14623200</v>
      </c>
      <c r="AT330" s="175" t="s">
        <v>1718</v>
      </c>
      <c r="AU330" s="175" t="s">
        <v>1719</v>
      </c>
      <c r="AV330" s="175" t="s">
        <v>1720</v>
      </c>
      <c r="AW330" s="175" t="s">
        <v>1721</v>
      </c>
    </row>
    <row r="331" spans="1:49" ht="24.95" customHeight="1" x14ac:dyDescent="0.25">
      <c r="A331" s="175">
        <v>14243</v>
      </c>
      <c r="B331" s="175" t="s">
        <v>86</v>
      </c>
      <c r="C331" s="175" t="s">
        <v>29</v>
      </c>
      <c r="D331" s="176">
        <v>1</v>
      </c>
      <c r="E331" s="176">
        <v>2025</v>
      </c>
      <c r="F331" s="176">
        <v>2025</v>
      </c>
      <c r="G331" s="175" t="s">
        <v>23</v>
      </c>
      <c r="H331" s="175" t="s">
        <v>86</v>
      </c>
      <c r="I331" s="175" t="s">
        <v>105</v>
      </c>
      <c r="J331" s="177" t="s">
        <v>2199</v>
      </c>
      <c r="K331" s="175" t="s">
        <v>21</v>
      </c>
      <c r="L331" s="175" t="s">
        <v>345</v>
      </c>
      <c r="M331" s="175" t="s">
        <v>346</v>
      </c>
      <c r="N331" s="175">
        <v>5</v>
      </c>
      <c r="O331" s="175" t="s">
        <v>395</v>
      </c>
      <c r="P331" s="175" t="s">
        <v>1630</v>
      </c>
      <c r="Q331" s="175" t="s">
        <v>1201</v>
      </c>
      <c r="R331" s="175" t="s">
        <v>339</v>
      </c>
      <c r="S331" s="175" t="s">
        <v>19</v>
      </c>
      <c r="T331" s="175" t="s">
        <v>337</v>
      </c>
      <c r="U331" s="176">
        <v>10</v>
      </c>
      <c r="V331" s="176">
        <v>175</v>
      </c>
      <c r="W331" s="176">
        <v>12</v>
      </c>
      <c r="X331" s="179">
        <f t="shared" si="63"/>
        <v>187</v>
      </c>
      <c r="Y331" s="176">
        <v>5</v>
      </c>
      <c r="Z331" s="176" t="s">
        <v>20</v>
      </c>
      <c r="AA331" s="176" t="s">
        <v>18</v>
      </c>
      <c r="AB331" s="176" t="s">
        <v>20</v>
      </c>
      <c r="AC331" s="186" t="s">
        <v>2200</v>
      </c>
      <c r="AD331" s="181" t="s">
        <v>2201</v>
      </c>
      <c r="AE331" s="179" t="s">
        <v>18</v>
      </c>
      <c r="AF331" s="191"/>
      <c r="AG331" s="175" t="s">
        <v>1173</v>
      </c>
      <c r="AH331" s="179">
        <f t="shared" si="55"/>
        <v>38</v>
      </c>
      <c r="AI331" s="179">
        <v>2</v>
      </c>
      <c r="AJ331" s="183">
        <f t="shared" si="56"/>
        <v>6372</v>
      </c>
      <c r="AK331" s="179">
        <f t="shared" si="57"/>
        <v>37.4</v>
      </c>
      <c r="AL331" s="183">
        <v>0</v>
      </c>
      <c r="AM331" s="183">
        <f t="shared" si="54"/>
        <v>1520000</v>
      </c>
      <c r="AN331" s="183">
        <f t="shared" si="58"/>
        <v>0</v>
      </c>
      <c r="AO331" s="183">
        <f t="shared" si="59"/>
        <v>2700000</v>
      </c>
      <c r="AP331" s="183">
        <f t="shared" si="60"/>
        <v>11915640</v>
      </c>
      <c r="AR331" s="183">
        <f t="shared" si="61"/>
        <v>0</v>
      </c>
      <c r="AS331" s="183">
        <f t="shared" si="62"/>
        <v>16135640</v>
      </c>
      <c r="AT331" s="175" t="s">
        <v>1632</v>
      </c>
      <c r="AU331" s="175" t="s">
        <v>1633</v>
      </c>
      <c r="AV331" s="175" t="s">
        <v>2202</v>
      </c>
      <c r="AW331" s="175" t="s">
        <v>1031</v>
      </c>
    </row>
    <row r="332" spans="1:49" ht="24.95" customHeight="1" x14ac:dyDescent="0.25">
      <c r="A332" s="175">
        <v>14507</v>
      </c>
      <c r="B332" s="175" t="s">
        <v>86</v>
      </c>
      <c r="C332" s="175" t="s">
        <v>29</v>
      </c>
      <c r="D332" s="176">
        <v>1</v>
      </c>
      <c r="E332" s="176">
        <v>2025</v>
      </c>
      <c r="F332" s="176">
        <v>2025</v>
      </c>
      <c r="G332" s="175" t="s">
        <v>23</v>
      </c>
      <c r="H332" s="175" t="s">
        <v>86</v>
      </c>
      <c r="I332" s="175" t="s">
        <v>105</v>
      </c>
      <c r="J332" s="177" t="s">
        <v>2199</v>
      </c>
      <c r="K332" s="175" t="s">
        <v>21</v>
      </c>
      <c r="L332" s="175" t="s">
        <v>345</v>
      </c>
      <c r="M332" s="175" t="s">
        <v>346</v>
      </c>
      <c r="N332" s="175">
        <v>5</v>
      </c>
      <c r="O332" s="175" t="s">
        <v>395</v>
      </c>
      <c r="P332" s="175" t="s">
        <v>403</v>
      </c>
      <c r="Q332" s="175" t="s">
        <v>1201</v>
      </c>
      <c r="R332" s="175" t="s">
        <v>339</v>
      </c>
      <c r="S332" s="175" t="s">
        <v>19</v>
      </c>
      <c r="T332" s="175" t="s">
        <v>337</v>
      </c>
      <c r="U332" s="176">
        <v>10</v>
      </c>
      <c r="V332" s="176">
        <v>175</v>
      </c>
      <c r="W332" s="176">
        <v>12</v>
      </c>
      <c r="X332" s="179">
        <f t="shared" si="63"/>
        <v>187</v>
      </c>
      <c r="Y332" s="176">
        <v>5</v>
      </c>
      <c r="Z332" s="176" t="s">
        <v>20</v>
      </c>
      <c r="AA332" s="176" t="s">
        <v>18</v>
      </c>
      <c r="AB332" s="176" t="s">
        <v>20</v>
      </c>
      <c r="AC332" s="186" t="s">
        <v>2203</v>
      </c>
      <c r="AD332" s="181" t="s">
        <v>2204</v>
      </c>
      <c r="AE332" s="179" t="s">
        <v>18</v>
      </c>
      <c r="AF332" s="191"/>
      <c r="AG332" s="175" t="s">
        <v>1173</v>
      </c>
      <c r="AH332" s="179">
        <f t="shared" si="55"/>
        <v>38</v>
      </c>
      <c r="AI332" s="179">
        <v>2</v>
      </c>
      <c r="AJ332" s="183">
        <f t="shared" si="56"/>
        <v>6372</v>
      </c>
      <c r="AK332" s="179">
        <f t="shared" si="57"/>
        <v>37.4</v>
      </c>
      <c r="AL332" s="183">
        <v>0</v>
      </c>
      <c r="AM332" s="183">
        <f t="shared" ref="AM332:AM395" si="64">IF(Z332="SI",4000*U332*AH332,0)</f>
        <v>1520000</v>
      </c>
      <c r="AN332" s="183">
        <f t="shared" si="58"/>
        <v>0</v>
      </c>
      <c r="AO332" s="183">
        <f t="shared" si="59"/>
        <v>2700000</v>
      </c>
      <c r="AP332" s="183">
        <f t="shared" si="60"/>
        <v>11915640</v>
      </c>
      <c r="AR332" s="183">
        <f t="shared" si="61"/>
        <v>0</v>
      </c>
      <c r="AS332" s="183">
        <f t="shared" si="62"/>
        <v>16135640</v>
      </c>
      <c r="AT332" s="175" t="s">
        <v>1632</v>
      </c>
      <c r="AU332" s="175" t="s">
        <v>1633</v>
      </c>
      <c r="AV332" s="175" t="s">
        <v>2205</v>
      </c>
      <c r="AW332" s="175" t="s">
        <v>1031</v>
      </c>
    </row>
    <row r="333" spans="1:49" ht="24.95" customHeight="1" x14ac:dyDescent="0.25">
      <c r="A333" s="175">
        <v>14510</v>
      </c>
      <c r="B333" s="175" t="s">
        <v>86</v>
      </c>
      <c r="C333" s="175" t="s">
        <v>29</v>
      </c>
      <c r="D333" s="176">
        <v>1</v>
      </c>
      <c r="E333" s="176">
        <v>2025</v>
      </c>
      <c r="F333" s="176">
        <v>2025</v>
      </c>
      <c r="G333" s="175" t="s">
        <v>23</v>
      </c>
      <c r="H333" s="175" t="s">
        <v>86</v>
      </c>
      <c r="I333" s="175" t="s">
        <v>105</v>
      </c>
      <c r="J333" s="177" t="s">
        <v>2199</v>
      </c>
      <c r="K333" s="175" t="s">
        <v>21</v>
      </c>
      <c r="L333" s="175" t="s">
        <v>345</v>
      </c>
      <c r="M333" s="175" t="s">
        <v>346</v>
      </c>
      <c r="N333" s="175">
        <v>13</v>
      </c>
      <c r="O333" s="175" t="s">
        <v>382</v>
      </c>
      <c r="P333" s="175" t="s">
        <v>416</v>
      </c>
      <c r="Q333" s="175" t="s">
        <v>1201</v>
      </c>
      <c r="R333" s="175" t="s">
        <v>339</v>
      </c>
      <c r="S333" s="175" t="s">
        <v>19</v>
      </c>
      <c r="T333" s="175" t="s">
        <v>337</v>
      </c>
      <c r="U333" s="176">
        <v>10</v>
      </c>
      <c r="V333" s="176">
        <v>175</v>
      </c>
      <c r="W333" s="176">
        <v>12</v>
      </c>
      <c r="X333" s="179">
        <f t="shared" si="63"/>
        <v>187</v>
      </c>
      <c r="Y333" s="176">
        <v>5</v>
      </c>
      <c r="Z333" s="176" t="s">
        <v>20</v>
      </c>
      <c r="AA333" s="176" t="s">
        <v>18</v>
      </c>
      <c r="AB333" s="176" t="s">
        <v>20</v>
      </c>
      <c r="AC333" s="186" t="s">
        <v>2203</v>
      </c>
      <c r="AD333" s="181" t="s">
        <v>2204</v>
      </c>
      <c r="AE333" s="179" t="s">
        <v>18</v>
      </c>
      <c r="AF333" s="191"/>
      <c r="AG333" s="175" t="s">
        <v>1173</v>
      </c>
      <c r="AH333" s="179">
        <f t="shared" si="55"/>
        <v>38</v>
      </c>
      <c r="AI333" s="179">
        <v>2</v>
      </c>
      <c r="AJ333" s="183">
        <f t="shared" si="56"/>
        <v>6372</v>
      </c>
      <c r="AK333" s="179">
        <f t="shared" si="57"/>
        <v>37.4</v>
      </c>
      <c r="AL333" s="183">
        <v>0</v>
      </c>
      <c r="AM333" s="183">
        <f t="shared" si="64"/>
        <v>1520000</v>
      </c>
      <c r="AN333" s="183">
        <f t="shared" si="58"/>
        <v>0</v>
      </c>
      <c r="AO333" s="183">
        <f t="shared" si="59"/>
        <v>2700000</v>
      </c>
      <c r="AP333" s="183">
        <f t="shared" si="60"/>
        <v>11915640</v>
      </c>
      <c r="AR333" s="183">
        <f t="shared" si="61"/>
        <v>0</v>
      </c>
      <c r="AS333" s="183">
        <f t="shared" si="62"/>
        <v>16135640</v>
      </c>
      <c r="AT333" s="175" t="s">
        <v>1632</v>
      </c>
      <c r="AU333" s="175" t="s">
        <v>1633</v>
      </c>
      <c r="AV333" s="175" t="s">
        <v>2206</v>
      </c>
      <c r="AW333" s="175" t="s">
        <v>1635</v>
      </c>
    </row>
    <row r="334" spans="1:49" ht="24.95" customHeight="1" x14ac:dyDescent="0.25">
      <c r="A334" s="175">
        <v>14512</v>
      </c>
      <c r="B334" s="175" t="s">
        <v>86</v>
      </c>
      <c r="C334" s="175" t="s">
        <v>29</v>
      </c>
      <c r="D334" s="176">
        <v>1</v>
      </c>
      <c r="E334" s="176">
        <v>2025</v>
      </c>
      <c r="F334" s="176">
        <v>2025</v>
      </c>
      <c r="G334" s="175" t="s">
        <v>23</v>
      </c>
      <c r="H334" s="175" t="s">
        <v>86</v>
      </c>
      <c r="I334" s="175" t="s">
        <v>105</v>
      </c>
      <c r="J334" s="177" t="s">
        <v>2199</v>
      </c>
      <c r="K334" s="175" t="s">
        <v>21</v>
      </c>
      <c r="L334" s="175" t="s">
        <v>345</v>
      </c>
      <c r="M334" s="175" t="s">
        <v>346</v>
      </c>
      <c r="N334" s="175">
        <v>13</v>
      </c>
      <c r="O334" s="175" t="s">
        <v>382</v>
      </c>
      <c r="P334" s="175" t="s">
        <v>412</v>
      </c>
      <c r="Q334" s="175" t="s">
        <v>1201</v>
      </c>
      <c r="R334" s="175" t="s">
        <v>339</v>
      </c>
      <c r="S334" s="175" t="s">
        <v>19</v>
      </c>
      <c r="T334" s="175" t="s">
        <v>337</v>
      </c>
      <c r="U334" s="176">
        <v>10</v>
      </c>
      <c r="V334" s="176">
        <v>187</v>
      </c>
      <c r="W334" s="176">
        <v>12</v>
      </c>
      <c r="X334" s="179">
        <f t="shared" si="63"/>
        <v>199</v>
      </c>
      <c r="Y334" s="176">
        <v>5</v>
      </c>
      <c r="Z334" s="176" t="s">
        <v>20</v>
      </c>
      <c r="AA334" s="176" t="s">
        <v>18</v>
      </c>
      <c r="AB334" s="176" t="s">
        <v>20</v>
      </c>
      <c r="AC334" s="186" t="s">
        <v>2207</v>
      </c>
      <c r="AD334" s="181" t="s">
        <v>2204</v>
      </c>
      <c r="AE334" s="179" t="s">
        <v>18</v>
      </c>
      <c r="AF334" s="191"/>
      <c r="AG334" s="175" t="s">
        <v>1173</v>
      </c>
      <c r="AH334" s="179">
        <f t="shared" si="55"/>
        <v>40</v>
      </c>
      <c r="AI334" s="179">
        <v>2</v>
      </c>
      <c r="AJ334" s="183">
        <f t="shared" si="56"/>
        <v>6372</v>
      </c>
      <c r="AK334" s="179">
        <f t="shared" si="57"/>
        <v>39.799999999999997</v>
      </c>
      <c r="AL334" s="183">
        <v>0</v>
      </c>
      <c r="AM334" s="183">
        <f t="shared" si="64"/>
        <v>1600000</v>
      </c>
      <c r="AN334" s="183">
        <f t="shared" si="58"/>
        <v>0</v>
      </c>
      <c r="AO334" s="183">
        <f t="shared" si="59"/>
        <v>2700000</v>
      </c>
      <c r="AP334" s="183">
        <f t="shared" si="60"/>
        <v>12680280</v>
      </c>
      <c r="AR334" s="183">
        <f t="shared" si="61"/>
        <v>0</v>
      </c>
      <c r="AS334" s="183">
        <f t="shared" si="62"/>
        <v>16980280</v>
      </c>
      <c r="AT334" s="175" t="s">
        <v>1632</v>
      </c>
      <c r="AU334" s="175" t="s">
        <v>1633</v>
      </c>
      <c r="AV334" s="175" t="s">
        <v>2206</v>
      </c>
      <c r="AW334" s="175" t="s">
        <v>1031</v>
      </c>
    </row>
    <row r="335" spans="1:49" ht="24.95" customHeight="1" x14ac:dyDescent="0.25">
      <c r="A335" s="175">
        <v>14475</v>
      </c>
      <c r="B335" s="175" t="s">
        <v>83</v>
      </c>
      <c r="C335" s="175" t="s">
        <v>1022</v>
      </c>
      <c r="D335" s="176">
        <v>1</v>
      </c>
      <c r="E335" s="176">
        <v>2025</v>
      </c>
      <c r="F335" s="176">
        <v>2025</v>
      </c>
      <c r="G335" s="175" t="s">
        <v>23</v>
      </c>
      <c r="H335" s="175" t="s">
        <v>83</v>
      </c>
      <c r="I335" s="175" t="s">
        <v>102</v>
      </c>
      <c r="J335" s="177" t="s">
        <v>2208</v>
      </c>
      <c r="K335" s="175" t="s">
        <v>21</v>
      </c>
      <c r="L335" s="175" t="s">
        <v>345</v>
      </c>
      <c r="M335" s="175" t="s">
        <v>346</v>
      </c>
      <c r="N335" s="175">
        <v>13</v>
      </c>
      <c r="O335" s="175" t="s">
        <v>382</v>
      </c>
      <c r="P335" s="175" t="s">
        <v>416</v>
      </c>
      <c r="Q335" s="175" t="s">
        <v>1201</v>
      </c>
      <c r="R335" s="175" t="s">
        <v>339</v>
      </c>
      <c r="S335" s="175" t="s">
        <v>19</v>
      </c>
      <c r="T335" s="175" t="s">
        <v>393</v>
      </c>
      <c r="U335" s="176">
        <v>12</v>
      </c>
      <c r="V335" s="176">
        <v>60</v>
      </c>
      <c r="W335" s="176">
        <v>12</v>
      </c>
      <c r="X335" s="179">
        <f t="shared" si="63"/>
        <v>72</v>
      </c>
      <c r="Y335" s="176">
        <v>4</v>
      </c>
      <c r="Z335" s="176" t="s">
        <v>20</v>
      </c>
      <c r="AA335" s="176" t="s">
        <v>18</v>
      </c>
      <c r="AB335" s="185" t="s">
        <v>18</v>
      </c>
      <c r="AC335" s="186" t="s">
        <v>2209</v>
      </c>
      <c r="AD335" s="181" t="s">
        <v>2210</v>
      </c>
      <c r="AE335" s="179" t="s">
        <v>18</v>
      </c>
      <c r="AF335" s="191"/>
      <c r="AG335" s="175" t="s">
        <v>1173</v>
      </c>
      <c r="AH335" s="179">
        <f t="shared" si="55"/>
        <v>18</v>
      </c>
      <c r="AI335" s="179">
        <v>2</v>
      </c>
      <c r="AJ335" s="183">
        <f t="shared" si="56"/>
        <v>6372</v>
      </c>
      <c r="AK335" s="179">
        <f t="shared" si="57"/>
        <v>18</v>
      </c>
      <c r="AL335" s="183">
        <v>0</v>
      </c>
      <c r="AM335" s="183">
        <f t="shared" si="64"/>
        <v>864000</v>
      </c>
      <c r="AN335" s="183">
        <f t="shared" si="58"/>
        <v>0</v>
      </c>
      <c r="AO335" s="183">
        <f t="shared" si="59"/>
        <v>0</v>
      </c>
      <c r="AP335" s="183">
        <f t="shared" si="60"/>
        <v>5505408</v>
      </c>
      <c r="AR335" s="183">
        <f t="shared" si="61"/>
        <v>0</v>
      </c>
      <c r="AS335" s="183">
        <f t="shared" si="62"/>
        <v>6369408</v>
      </c>
      <c r="AT335" s="175" t="s">
        <v>1535</v>
      </c>
      <c r="AU335" s="175" t="s">
        <v>1536</v>
      </c>
      <c r="AV335" s="175" t="s">
        <v>2036</v>
      </c>
      <c r="AW335" s="175" t="s">
        <v>2037</v>
      </c>
    </row>
    <row r="336" spans="1:49" ht="24.95" customHeight="1" x14ac:dyDescent="0.25">
      <c r="A336" s="175">
        <v>14478</v>
      </c>
      <c r="B336" s="175" t="s">
        <v>83</v>
      </c>
      <c r="C336" s="175" t="s">
        <v>1022</v>
      </c>
      <c r="D336" s="176">
        <v>1</v>
      </c>
      <c r="E336" s="176">
        <v>2025</v>
      </c>
      <c r="F336" s="176">
        <v>2025</v>
      </c>
      <c r="G336" s="175" t="s">
        <v>23</v>
      </c>
      <c r="H336" s="175" t="s">
        <v>83</v>
      </c>
      <c r="I336" s="175" t="s">
        <v>102</v>
      </c>
      <c r="J336" s="177" t="s">
        <v>2208</v>
      </c>
      <c r="K336" s="175" t="s">
        <v>21</v>
      </c>
      <c r="L336" s="175" t="s">
        <v>345</v>
      </c>
      <c r="M336" s="175" t="s">
        <v>346</v>
      </c>
      <c r="N336" s="175">
        <v>13</v>
      </c>
      <c r="O336" s="175" t="s">
        <v>382</v>
      </c>
      <c r="P336" s="175" t="s">
        <v>416</v>
      </c>
      <c r="Q336" s="175" t="s">
        <v>1201</v>
      </c>
      <c r="R336" s="175" t="s">
        <v>339</v>
      </c>
      <c r="S336" s="175" t="s">
        <v>19</v>
      </c>
      <c r="T336" s="175" t="s">
        <v>703</v>
      </c>
      <c r="U336" s="176">
        <v>12</v>
      </c>
      <c r="V336" s="176">
        <v>60</v>
      </c>
      <c r="W336" s="176">
        <v>12</v>
      </c>
      <c r="X336" s="179">
        <f t="shared" si="63"/>
        <v>72</v>
      </c>
      <c r="Y336" s="176">
        <v>4</v>
      </c>
      <c r="Z336" s="176" t="s">
        <v>20</v>
      </c>
      <c r="AA336" s="176" t="s">
        <v>18</v>
      </c>
      <c r="AB336" s="185" t="s">
        <v>18</v>
      </c>
      <c r="AC336" s="186" t="s">
        <v>2209</v>
      </c>
      <c r="AD336" s="181" t="s">
        <v>2210</v>
      </c>
      <c r="AE336" s="179" t="s">
        <v>18</v>
      </c>
      <c r="AF336" s="191"/>
      <c r="AG336" s="175" t="s">
        <v>1173</v>
      </c>
      <c r="AH336" s="179">
        <f t="shared" si="55"/>
        <v>18</v>
      </c>
      <c r="AI336" s="179">
        <v>2</v>
      </c>
      <c r="AJ336" s="183">
        <f t="shared" si="56"/>
        <v>6372</v>
      </c>
      <c r="AK336" s="179">
        <f t="shared" si="57"/>
        <v>18</v>
      </c>
      <c r="AL336" s="183">
        <v>0</v>
      </c>
      <c r="AM336" s="183">
        <f t="shared" si="64"/>
        <v>864000</v>
      </c>
      <c r="AN336" s="183">
        <f t="shared" si="58"/>
        <v>0</v>
      </c>
      <c r="AO336" s="183">
        <f t="shared" si="59"/>
        <v>0</v>
      </c>
      <c r="AP336" s="183">
        <f t="shared" si="60"/>
        <v>5505408</v>
      </c>
      <c r="AR336" s="183">
        <f t="shared" si="61"/>
        <v>0</v>
      </c>
      <c r="AS336" s="183">
        <f t="shared" si="62"/>
        <v>6369408</v>
      </c>
      <c r="AT336" s="175" t="s">
        <v>1535</v>
      </c>
      <c r="AU336" s="175" t="s">
        <v>1536</v>
      </c>
      <c r="AV336" s="175" t="s">
        <v>2036</v>
      </c>
      <c r="AW336" s="175" t="s">
        <v>2037</v>
      </c>
    </row>
    <row r="337" spans="1:49" ht="24.95" customHeight="1" x14ac:dyDescent="0.25">
      <c r="A337" s="175">
        <v>14249</v>
      </c>
      <c r="B337" s="175" t="s">
        <v>86</v>
      </c>
      <c r="C337" s="175" t="s">
        <v>29</v>
      </c>
      <c r="D337" s="176">
        <v>1</v>
      </c>
      <c r="E337" s="176">
        <v>2025</v>
      </c>
      <c r="F337" s="176">
        <v>2025</v>
      </c>
      <c r="G337" s="175" t="s">
        <v>23</v>
      </c>
      <c r="H337" s="175" t="s">
        <v>86</v>
      </c>
      <c r="I337" s="175" t="s">
        <v>105</v>
      </c>
      <c r="J337" s="177" t="s">
        <v>2211</v>
      </c>
      <c r="K337" s="175" t="s">
        <v>21</v>
      </c>
      <c r="L337" s="175" t="s">
        <v>345</v>
      </c>
      <c r="M337" s="175" t="s">
        <v>346</v>
      </c>
      <c r="N337" s="175">
        <v>4</v>
      </c>
      <c r="O337" s="175" t="s">
        <v>415</v>
      </c>
      <c r="P337" s="175" t="s">
        <v>840</v>
      </c>
      <c r="Q337" s="175" t="s">
        <v>1201</v>
      </c>
      <c r="R337" s="175" t="s">
        <v>339</v>
      </c>
      <c r="S337" s="175" t="s">
        <v>19</v>
      </c>
      <c r="T337" s="175" t="s">
        <v>1598</v>
      </c>
      <c r="U337" s="176">
        <v>20</v>
      </c>
      <c r="V337" s="176">
        <v>162</v>
      </c>
      <c r="W337" s="176">
        <v>12</v>
      </c>
      <c r="X337" s="179">
        <f t="shared" si="63"/>
        <v>174</v>
      </c>
      <c r="Y337" s="176">
        <v>4</v>
      </c>
      <c r="Z337" s="176" t="s">
        <v>20</v>
      </c>
      <c r="AA337" s="176" t="s">
        <v>18</v>
      </c>
      <c r="AB337" s="176" t="s">
        <v>20</v>
      </c>
      <c r="AC337" s="186" t="s">
        <v>2212</v>
      </c>
      <c r="AD337" s="181" t="s">
        <v>2213</v>
      </c>
      <c r="AE337" s="179" t="s">
        <v>18</v>
      </c>
      <c r="AF337" s="191"/>
      <c r="AG337" s="175" t="s">
        <v>1173</v>
      </c>
      <c r="AH337" s="179">
        <f t="shared" si="55"/>
        <v>44</v>
      </c>
      <c r="AI337" s="179">
        <v>2</v>
      </c>
      <c r="AJ337" s="183">
        <f t="shared" si="56"/>
        <v>6372</v>
      </c>
      <c r="AK337" s="179">
        <f t="shared" si="57"/>
        <v>43.5</v>
      </c>
      <c r="AL337" s="183">
        <v>0</v>
      </c>
      <c r="AM337" s="183">
        <f t="shared" si="64"/>
        <v>3520000</v>
      </c>
      <c r="AN337" s="183">
        <f t="shared" si="58"/>
        <v>0</v>
      </c>
      <c r="AO337" s="183">
        <f t="shared" si="59"/>
        <v>5400000</v>
      </c>
      <c r="AP337" s="183">
        <f t="shared" si="60"/>
        <v>22174560</v>
      </c>
      <c r="AR337" s="183">
        <f t="shared" si="61"/>
        <v>0</v>
      </c>
      <c r="AS337" s="183">
        <f t="shared" si="62"/>
        <v>31094560</v>
      </c>
      <c r="AT337" s="175" t="s">
        <v>1600</v>
      </c>
      <c r="AU337" s="175" t="s">
        <v>1601</v>
      </c>
      <c r="AV337" s="175" t="s">
        <v>2058</v>
      </c>
      <c r="AW337" s="175" t="s">
        <v>1029</v>
      </c>
    </row>
    <row r="338" spans="1:49" ht="24.95" customHeight="1" x14ac:dyDescent="0.25">
      <c r="A338" s="175">
        <v>14380</v>
      </c>
      <c r="B338" s="175" t="s">
        <v>83</v>
      </c>
      <c r="C338" s="175" t="s">
        <v>1022</v>
      </c>
      <c r="D338" s="176">
        <v>1</v>
      </c>
      <c r="E338" s="176">
        <v>2025</v>
      </c>
      <c r="F338" s="176">
        <v>2025</v>
      </c>
      <c r="G338" s="175" t="s">
        <v>23</v>
      </c>
      <c r="H338" s="175" t="s">
        <v>83</v>
      </c>
      <c r="I338" s="175" t="s">
        <v>102</v>
      </c>
      <c r="J338" s="177" t="s">
        <v>2214</v>
      </c>
      <c r="K338" s="175" t="s">
        <v>21</v>
      </c>
      <c r="L338" s="175" t="s">
        <v>345</v>
      </c>
      <c r="M338" s="175" t="s">
        <v>346</v>
      </c>
      <c r="N338" s="175">
        <v>13</v>
      </c>
      <c r="O338" s="175" t="s">
        <v>382</v>
      </c>
      <c r="P338" s="175" t="s">
        <v>416</v>
      </c>
      <c r="Q338" s="175" t="s">
        <v>1201</v>
      </c>
      <c r="R338" s="175" t="s">
        <v>339</v>
      </c>
      <c r="S338" s="175" t="s">
        <v>19</v>
      </c>
      <c r="T338" s="175" t="s">
        <v>784</v>
      </c>
      <c r="U338" s="176">
        <v>15</v>
      </c>
      <c r="V338" s="176">
        <v>24</v>
      </c>
      <c r="W338" s="176">
        <v>12</v>
      </c>
      <c r="X338" s="179">
        <f t="shared" si="63"/>
        <v>36</v>
      </c>
      <c r="Y338" s="176">
        <v>4</v>
      </c>
      <c r="Z338" s="176" t="s">
        <v>20</v>
      </c>
      <c r="AA338" s="176" t="s">
        <v>18</v>
      </c>
      <c r="AB338" s="185" t="s">
        <v>18</v>
      </c>
      <c r="AC338" s="186" t="s">
        <v>2215</v>
      </c>
      <c r="AD338" s="181" t="s">
        <v>2216</v>
      </c>
      <c r="AE338" s="179" t="s">
        <v>18</v>
      </c>
      <c r="AF338" s="191"/>
      <c r="AG338" s="175" t="s">
        <v>1173</v>
      </c>
      <c r="AH338" s="179">
        <f t="shared" si="55"/>
        <v>9</v>
      </c>
      <c r="AI338" s="179">
        <v>1</v>
      </c>
      <c r="AJ338" s="183">
        <f t="shared" si="56"/>
        <v>5074</v>
      </c>
      <c r="AK338" s="179">
        <f t="shared" si="57"/>
        <v>9</v>
      </c>
      <c r="AL338" s="183">
        <v>0</v>
      </c>
      <c r="AM338" s="183">
        <f t="shared" si="64"/>
        <v>540000</v>
      </c>
      <c r="AN338" s="183">
        <f t="shared" si="58"/>
        <v>0</v>
      </c>
      <c r="AO338" s="183">
        <f t="shared" si="59"/>
        <v>0</v>
      </c>
      <c r="AP338" s="183">
        <f t="shared" si="60"/>
        <v>2739960</v>
      </c>
      <c r="AR338" s="183">
        <f t="shared" si="61"/>
        <v>0</v>
      </c>
      <c r="AS338" s="183">
        <f t="shared" si="62"/>
        <v>3279960</v>
      </c>
      <c r="AT338" s="175" t="s">
        <v>1535</v>
      </c>
      <c r="AU338" s="175" t="s">
        <v>1536</v>
      </c>
      <c r="AV338" s="175" t="s">
        <v>2036</v>
      </c>
      <c r="AW338" s="175" t="s">
        <v>2037</v>
      </c>
    </row>
    <row r="339" spans="1:49" ht="24.95" customHeight="1" x14ac:dyDescent="0.25">
      <c r="A339" s="175">
        <v>14381</v>
      </c>
      <c r="B339" s="175" t="s">
        <v>83</v>
      </c>
      <c r="C339" s="175" t="s">
        <v>1022</v>
      </c>
      <c r="D339" s="176">
        <v>1</v>
      </c>
      <c r="E339" s="176">
        <v>2025</v>
      </c>
      <c r="F339" s="176">
        <v>2025</v>
      </c>
      <c r="G339" s="175" t="s">
        <v>23</v>
      </c>
      <c r="H339" s="175" t="s">
        <v>83</v>
      </c>
      <c r="I339" s="175" t="s">
        <v>102</v>
      </c>
      <c r="J339" s="177" t="s">
        <v>2214</v>
      </c>
      <c r="K339" s="175" t="s">
        <v>21</v>
      </c>
      <c r="L339" s="175" t="s">
        <v>345</v>
      </c>
      <c r="M339" s="175" t="s">
        <v>346</v>
      </c>
      <c r="N339" s="175">
        <v>13</v>
      </c>
      <c r="O339" s="175" t="s">
        <v>382</v>
      </c>
      <c r="P339" s="175" t="s">
        <v>416</v>
      </c>
      <c r="Q339" s="175" t="s">
        <v>1201</v>
      </c>
      <c r="R339" s="175" t="s">
        <v>339</v>
      </c>
      <c r="S339" s="175" t="s">
        <v>19</v>
      </c>
      <c r="T339" s="175" t="s">
        <v>777</v>
      </c>
      <c r="U339" s="176">
        <v>15</v>
      </c>
      <c r="V339" s="176">
        <v>24</v>
      </c>
      <c r="W339" s="176">
        <v>12</v>
      </c>
      <c r="X339" s="179">
        <f t="shared" si="63"/>
        <v>36</v>
      </c>
      <c r="Y339" s="176">
        <v>4</v>
      </c>
      <c r="Z339" s="176" t="s">
        <v>20</v>
      </c>
      <c r="AA339" s="176" t="s">
        <v>18</v>
      </c>
      <c r="AB339" s="185" t="s">
        <v>18</v>
      </c>
      <c r="AC339" s="186" t="s">
        <v>2215</v>
      </c>
      <c r="AD339" s="181" t="s">
        <v>2217</v>
      </c>
      <c r="AE339" s="179" t="s">
        <v>18</v>
      </c>
      <c r="AF339" s="191"/>
      <c r="AG339" s="175" t="s">
        <v>1173</v>
      </c>
      <c r="AH339" s="179">
        <f t="shared" si="55"/>
        <v>9</v>
      </c>
      <c r="AI339" s="179">
        <v>1</v>
      </c>
      <c r="AJ339" s="183">
        <f t="shared" si="56"/>
        <v>5074</v>
      </c>
      <c r="AK339" s="179">
        <f t="shared" si="57"/>
        <v>9</v>
      </c>
      <c r="AL339" s="183">
        <v>0</v>
      </c>
      <c r="AM339" s="183">
        <f t="shared" si="64"/>
        <v>540000</v>
      </c>
      <c r="AN339" s="183">
        <f t="shared" si="58"/>
        <v>0</v>
      </c>
      <c r="AO339" s="183">
        <f t="shared" si="59"/>
        <v>0</v>
      </c>
      <c r="AP339" s="183">
        <f t="shared" si="60"/>
        <v>2739960</v>
      </c>
      <c r="AR339" s="183">
        <f t="shared" si="61"/>
        <v>0</v>
      </c>
      <c r="AS339" s="183">
        <f t="shared" si="62"/>
        <v>3279960</v>
      </c>
      <c r="AT339" s="175" t="s">
        <v>1535</v>
      </c>
      <c r="AU339" s="175" t="s">
        <v>1536</v>
      </c>
      <c r="AV339" s="175" t="s">
        <v>2036</v>
      </c>
      <c r="AW339" s="175" t="s">
        <v>2037</v>
      </c>
    </row>
    <row r="340" spans="1:49" ht="24.95" customHeight="1" x14ac:dyDescent="0.25">
      <c r="A340" s="175">
        <v>14274</v>
      </c>
      <c r="B340" s="175" t="s">
        <v>98</v>
      </c>
      <c r="C340" s="175" t="s">
        <v>41</v>
      </c>
      <c r="D340" s="176">
        <v>1</v>
      </c>
      <c r="E340" s="176">
        <v>2025</v>
      </c>
      <c r="F340" s="176">
        <v>2025</v>
      </c>
      <c r="G340" s="175" t="s">
        <v>23</v>
      </c>
      <c r="H340" s="175" t="s">
        <v>98</v>
      </c>
      <c r="I340" s="175" t="s">
        <v>1175</v>
      </c>
      <c r="J340" s="177" t="s">
        <v>2218</v>
      </c>
      <c r="K340" s="175" t="s">
        <v>21</v>
      </c>
      <c r="L340" s="175" t="s">
        <v>345</v>
      </c>
      <c r="M340" s="175" t="s">
        <v>346</v>
      </c>
      <c r="N340" s="175">
        <v>2</v>
      </c>
      <c r="O340" s="175" t="s">
        <v>798</v>
      </c>
      <c r="P340" s="175" t="s">
        <v>1517</v>
      </c>
      <c r="Q340" s="175" t="s">
        <v>1201</v>
      </c>
      <c r="R340" s="175" t="s">
        <v>339</v>
      </c>
      <c r="S340" s="175" t="s">
        <v>19</v>
      </c>
      <c r="T340" s="175" t="s">
        <v>337</v>
      </c>
      <c r="U340" s="176">
        <v>20</v>
      </c>
      <c r="V340" s="176">
        <v>200</v>
      </c>
      <c r="W340" s="176">
        <v>12</v>
      </c>
      <c r="X340" s="179">
        <f t="shared" si="63"/>
        <v>212</v>
      </c>
      <c r="Y340" s="176">
        <v>3</v>
      </c>
      <c r="Z340" s="176" t="s">
        <v>20</v>
      </c>
      <c r="AA340" s="176" t="s">
        <v>18</v>
      </c>
      <c r="AB340" s="176" t="s">
        <v>20</v>
      </c>
      <c r="AC340" s="186" t="s">
        <v>2219</v>
      </c>
      <c r="AD340" s="181" t="s">
        <v>2220</v>
      </c>
      <c r="AE340" s="179" t="s">
        <v>18</v>
      </c>
      <c r="AF340" s="191"/>
      <c r="AG340" s="175" t="s">
        <v>1173</v>
      </c>
      <c r="AH340" s="179">
        <f t="shared" si="55"/>
        <v>71</v>
      </c>
      <c r="AI340" s="179">
        <v>3</v>
      </c>
      <c r="AJ340" s="183">
        <f t="shared" si="56"/>
        <v>7434</v>
      </c>
      <c r="AK340" s="179">
        <f t="shared" si="57"/>
        <v>70.666666666666671</v>
      </c>
      <c r="AL340" s="183">
        <v>0</v>
      </c>
      <c r="AM340" s="183">
        <f t="shared" si="64"/>
        <v>5680000</v>
      </c>
      <c r="AN340" s="183">
        <f t="shared" si="58"/>
        <v>0</v>
      </c>
      <c r="AO340" s="183">
        <f t="shared" si="59"/>
        <v>5400000</v>
      </c>
      <c r="AP340" s="183">
        <f t="shared" si="60"/>
        <v>31520160</v>
      </c>
      <c r="AR340" s="183">
        <f t="shared" si="61"/>
        <v>0</v>
      </c>
      <c r="AS340" s="183">
        <f t="shared" si="62"/>
        <v>42600160</v>
      </c>
      <c r="AT340" s="175" t="s">
        <v>1519</v>
      </c>
      <c r="AU340" s="175" t="s">
        <v>1520</v>
      </c>
      <c r="AV340" s="175" t="s">
        <v>1521</v>
      </c>
      <c r="AW340" s="175" t="s">
        <v>2221</v>
      </c>
    </row>
    <row r="341" spans="1:49" ht="24.95" customHeight="1" x14ac:dyDescent="0.25">
      <c r="A341" s="175">
        <v>14287</v>
      </c>
      <c r="B341" s="175" t="s">
        <v>98</v>
      </c>
      <c r="C341" s="175" t="s">
        <v>41</v>
      </c>
      <c r="D341" s="176">
        <v>1</v>
      </c>
      <c r="E341" s="176">
        <v>2025</v>
      </c>
      <c r="F341" s="176">
        <v>2025</v>
      </c>
      <c r="G341" s="175" t="s">
        <v>23</v>
      </c>
      <c r="H341" s="175" t="s">
        <v>98</v>
      </c>
      <c r="I341" s="175" t="s">
        <v>1175</v>
      </c>
      <c r="J341" s="177" t="s">
        <v>2222</v>
      </c>
      <c r="K341" s="175" t="s">
        <v>21</v>
      </c>
      <c r="L341" s="175" t="s">
        <v>345</v>
      </c>
      <c r="M341" s="175" t="s">
        <v>346</v>
      </c>
      <c r="N341" s="175">
        <v>2</v>
      </c>
      <c r="O341" s="175" t="s">
        <v>798</v>
      </c>
      <c r="P341" s="175" t="s">
        <v>2223</v>
      </c>
      <c r="Q341" s="175" t="s">
        <v>1201</v>
      </c>
      <c r="R341" s="175" t="s">
        <v>339</v>
      </c>
      <c r="S341" s="175" t="s">
        <v>19</v>
      </c>
      <c r="T341" s="175" t="s">
        <v>337</v>
      </c>
      <c r="U341" s="176">
        <v>20</v>
      </c>
      <c r="V341" s="176">
        <v>200</v>
      </c>
      <c r="W341" s="176">
        <v>12</v>
      </c>
      <c r="X341" s="179">
        <f t="shared" si="63"/>
        <v>212</v>
      </c>
      <c r="Y341" s="176">
        <v>3</v>
      </c>
      <c r="Z341" s="176" t="s">
        <v>20</v>
      </c>
      <c r="AA341" s="176" t="s">
        <v>18</v>
      </c>
      <c r="AB341" s="176" t="s">
        <v>20</v>
      </c>
      <c r="AC341" s="186" t="s">
        <v>2224</v>
      </c>
      <c r="AD341" s="181" t="s">
        <v>2225</v>
      </c>
      <c r="AE341" s="179" t="s">
        <v>18</v>
      </c>
      <c r="AF341" s="191"/>
      <c r="AG341" s="175" t="s">
        <v>1173</v>
      </c>
      <c r="AH341" s="179">
        <f t="shared" si="55"/>
        <v>71</v>
      </c>
      <c r="AI341" s="179">
        <v>3</v>
      </c>
      <c r="AJ341" s="183">
        <f t="shared" si="56"/>
        <v>7434</v>
      </c>
      <c r="AK341" s="179">
        <f t="shared" si="57"/>
        <v>70.666666666666671</v>
      </c>
      <c r="AL341" s="183">
        <v>0</v>
      </c>
      <c r="AM341" s="183">
        <f t="shared" si="64"/>
        <v>5680000</v>
      </c>
      <c r="AN341" s="183">
        <f t="shared" si="58"/>
        <v>0</v>
      </c>
      <c r="AO341" s="183">
        <f t="shared" si="59"/>
        <v>5400000</v>
      </c>
      <c r="AP341" s="183">
        <f t="shared" si="60"/>
        <v>31520160</v>
      </c>
      <c r="AR341" s="183">
        <f t="shared" si="61"/>
        <v>0</v>
      </c>
      <c r="AS341" s="183">
        <f t="shared" si="62"/>
        <v>42600160</v>
      </c>
      <c r="AT341" s="175" t="s">
        <v>1519</v>
      </c>
      <c r="AU341" s="175" t="s">
        <v>1520</v>
      </c>
      <c r="AV341" s="175" t="s">
        <v>2226</v>
      </c>
      <c r="AW341" s="175" t="s">
        <v>2227</v>
      </c>
    </row>
    <row r="342" spans="1:49" ht="24.95" customHeight="1" x14ac:dyDescent="0.25">
      <c r="A342" s="175">
        <v>14400</v>
      </c>
      <c r="B342" s="175" t="s">
        <v>83</v>
      </c>
      <c r="C342" s="175" t="s">
        <v>1022</v>
      </c>
      <c r="D342" s="176">
        <v>1</v>
      </c>
      <c r="E342" s="176">
        <v>2025</v>
      </c>
      <c r="F342" s="176">
        <v>2025</v>
      </c>
      <c r="G342" s="175" t="s">
        <v>23</v>
      </c>
      <c r="H342" s="175" t="s">
        <v>83</v>
      </c>
      <c r="I342" s="175" t="s">
        <v>102</v>
      </c>
      <c r="J342" s="177" t="s">
        <v>2228</v>
      </c>
      <c r="K342" s="175" t="s">
        <v>21</v>
      </c>
      <c r="L342" s="175" t="s">
        <v>345</v>
      </c>
      <c r="M342" s="175" t="s">
        <v>346</v>
      </c>
      <c r="N342" s="175">
        <v>13</v>
      </c>
      <c r="O342" s="175" t="s">
        <v>382</v>
      </c>
      <c r="P342" s="175" t="s">
        <v>730</v>
      </c>
      <c r="Q342" s="175" t="s">
        <v>1201</v>
      </c>
      <c r="R342" s="175" t="s">
        <v>339</v>
      </c>
      <c r="S342" s="175" t="s">
        <v>19</v>
      </c>
      <c r="T342" s="175" t="s">
        <v>393</v>
      </c>
      <c r="U342" s="176">
        <v>12</v>
      </c>
      <c r="V342" s="176">
        <v>100</v>
      </c>
      <c r="W342" s="176">
        <v>12</v>
      </c>
      <c r="X342" s="179">
        <f t="shared" si="63"/>
        <v>112</v>
      </c>
      <c r="Y342" s="176">
        <v>4</v>
      </c>
      <c r="Z342" s="176" t="s">
        <v>20</v>
      </c>
      <c r="AA342" s="176" t="s">
        <v>18</v>
      </c>
      <c r="AB342" s="176" t="s">
        <v>18</v>
      </c>
      <c r="AC342" s="186" t="s">
        <v>2229</v>
      </c>
      <c r="AD342" s="181" t="s">
        <v>2230</v>
      </c>
      <c r="AE342" s="179" t="s">
        <v>18</v>
      </c>
      <c r="AF342" s="191"/>
      <c r="AG342" s="175" t="s">
        <v>1173</v>
      </c>
      <c r="AH342" s="179">
        <f t="shared" si="55"/>
        <v>28</v>
      </c>
      <c r="AI342" s="179">
        <v>2</v>
      </c>
      <c r="AJ342" s="183">
        <f t="shared" si="56"/>
        <v>6372</v>
      </c>
      <c r="AK342" s="179">
        <f t="shared" si="57"/>
        <v>28</v>
      </c>
      <c r="AL342" s="183">
        <v>0</v>
      </c>
      <c r="AM342" s="183">
        <f t="shared" si="64"/>
        <v>1344000</v>
      </c>
      <c r="AN342" s="183">
        <f t="shared" si="58"/>
        <v>0</v>
      </c>
      <c r="AO342" s="183">
        <f t="shared" si="59"/>
        <v>0</v>
      </c>
      <c r="AP342" s="183">
        <f t="shared" si="60"/>
        <v>8563968</v>
      </c>
      <c r="AR342" s="183">
        <f t="shared" si="61"/>
        <v>0</v>
      </c>
      <c r="AS342" s="183">
        <f t="shared" si="62"/>
        <v>9907968</v>
      </c>
      <c r="AT342" s="175" t="s">
        <v>1535</v>
      </c>
      <c r="AU342" s="175" t="s">
        <v>1536</v>
      </c>
      <c r="AV342" s="175" t="s">
        <v>2036</v>
      </c>
      <c r="AW342" s="175" t="s">
        <v>2037</v>
      </c>
    </row>
    <row r="343" spans="1:49" ht="24.95" customHeight="1" x14ac:dyDescent="0.25">
      <c r="A343" s="175">
        <v>14403</v>
      </c>
      <c r="B343" s="175" t="s">
        <v>83</v>
      </c>
      <c r="C343" s="175" t="s">
        <v>1022</v>
      </c>
      <c r="D343" s="176">
        <v>1</v>
      </c>
      <c r="E343" s="176">
        <v>2025</v>
      </c>
      <c r="F343" s="176">
        <v>2025</v>
      </c>
      <c r="G343" s="175" t="s">
        <v>23</v>
      </c>
      <c r="H343" s="175" t="s">
        <v>83</v>
      </c>
      <c r="I343" s="175" t="s">
        <v>102</v>
      </c>
      <c r="J343" s="177" t="s">
        <v>2228</v>
      </c>
      <c r="K343" s="175" t="s">
        <v>21</v>
      </c>
      <c r="L343" s="175" t="s">
        <v>345</v>
      </c>
      <c r="M343" s="175" t="s">
        <v>346</v>
      </c>
      <c r="N343" s="175">
        <v>13</v>
      </c>
      <c r="O343" s="175" t="s">
        <v>382</v>
      </c>
      <c r="P343" s="175" t="s">
        <v>730</v>
      </c>
      <c r="Q343" s="175" t="s">
        <v>1201</v>
      </c>
      <c r="R343" s="175" t="s">
        <v>339</v>
      </c>
      <c r="S343" s="175" t="s">
        <v>19</v>
      </c>
      <c r="T343" s="175" t="s">
        <v>703</v>
      </c>
      <c r="U343" s="176">
        <v>12</v>
      </c>
      <c r="V343" s="176">
        <v>100</v>
      </c>
      <c r="W343" s="176">
        <v>12</v>
      </c>
      <c r="X343" s="179">
        <f t="shared" si="63"/>
        <v>112</v>
      </c>
      <c r="Y343" s="176">
        <v>4</v>
      </c>
      <c r="Z343" s="176" t="s">
        <v>20</v>
      </c>
      <c r="AA343" s="176" t="s">
        <v>18</v>
      </c>
      <c r="AB343" s="176" t="s">
        <v>18</v>
      </c>
      <c r="AC343" s="186" t="s">
        <v>2229</v>
      </c>
      <c r="AD343" s="181" t="s">
        <v>2230</v>
      </c>
      <c r="AE343" s="179" t="s">
        <v>18</v>
      </c>
      <c r="AF343" s="191"/>
      <c r="AG343" s="175" t="s">
        <v>1173</v>
      </c>
      <c r="AH343" s="179">
        <f t="shared" si="55"/>
        <v>28</v>
      </c>
      <c r="AI343" s="179">
        <v>2</v>
      </c>
      <c r="AJ343" s="183">
        <f t="shared" si="56"/>
        <v>6372</v>
      </c>
      <c r="AK343" s="179">
        <f t="shared" si="57"/>
        <v>28</v>
      </c>
      <c r="AL343" s="183">
        <v>0</v>
      </c>
      <c r="AM343" s="183">
        <f t="shared" si="64"/>
        <v>1344000</v>
      </c>
      <c r="AN343" s="183">
        <f t="shared" si="58"/>
        <v>0</v>
      </c>
      <c r="AO343" s="183">
        <f t="shared" si="59"/>
        <v>0</v>
      </c>
      <c r="AP343" s="183">
        <f t="shared" si="60"/>
        <v>8563968</v>
      </c>
      <c r="AR343" s="183">
        <f t="shared" si="61"/>
        <v>0</v>
      </c>
      <c r="AS343" s="183">
        <f t="shared" si="62"/>
        <v>9907968</v>
      </c>
      <c r="AT343" s="175" t="s">
        <v>1535</v>
      </c>
      <c r="AU343" s="175" t="s">
        <v>1536</v>
      </c>
      <c r="AV343" s="175" t="s">
        <v>2036</v>
      </c>
      <c r="AW343" s="175" t="s">
        <v>2037</v>
      </c>
    </row>
    <row r="344" spans="1:49" ht="24.95" customHeight="1" x14ac:dyDescent="0.25">
      <c r="A344" s="175">
        <v>14408</v>
      </c>
      <c r="B344" s="175" t="s">
        <v>83</v>
      </c>
      <c r="C344" s="175" t="s">
        <v>1022</v>
      </c>
      <c r="D344" s="176">
        <v>1</v>
      </c>
      <c r="E344" s="176">
        <v>2025</v>
      </c>
      <c r="F344" s="176">
        <v>2025</v>
      </c>
      <c r="G344" s="175" t="s">
        <v>23</v>
      </c>
      <c r="H344" s="175" t="s">
        <v>83</v>
      </c>
      <c r="I344" s="175" t="s">
        <v>102</v>
      </c>
      <c r="J344" s="177" t="s">
        <v>2228</v>
      </c>
      <c r="K344" s="175" t="s">
        <v>21</v>
      </c>
      <c r="L344" s="175" t="s">
        <v>345</v>
      </c>
      <c r="M344" s="175" t="s">
        <v>346</v>
      </c>
      <c r="N344" s="175">
        <v>13</v>
      </c>
      <c r="O344" s="175" t="s">
        <v>382</v>
      </c>
      <c r="P344" s="175" t="s">
        <v>730</v>
      </c>
      <c r="Q344" s="175" t="s">
        <v>1201</v>
      </c>
      <c r="R344" s="175" t="s">
        <v>339</v>
      </c>
      <c r="S344" s="175" t="s">
        <v>19</v>
      </c>
      <c r="T344" s="175" t="s">
        <v>393</v>
      </c>
      <c r="U344" s="176">
        <v>12</v>
      </c>
      <c r="V344" s="176">
        <v>100</v>
      </c>
      <c r="W344" s="176">
        <v>12</v>
      </c>
      <c r="X344" s="179">
        <f t="shared" si="63"/>
        <v>112</v>
      </c>
      <c r="Y344" s="176">
        <v>4</v>
      </c>
      <c r="Z344" s="176" t="s">
        <v>20</v>
      </c>
      <c r="AA344" s="176" t="s">
        <v>18</v>
      </c>
      <c r="AB344" s="176" t="s">
        <v>18</v>
      </c>
      <c r="AC344" s="186" t="s">
        <v>2229</v>
      </c>
      <c r="AD344" s="181" t="s">
        <v>2230</v>
      </c>
      <c r="AE344" s="179" t="s">
        <v>18</v>
      </c>
      <c r="AF344" s="191"/>
      <c r="AG344" s="175" t="s">
        <v>1173</v>
      </c>
      <c r="AH344" s="179">
        <f t="shared" si="55"/>
        <v>28</v>
      </c>
      <c r="AI344" s="179">
        <v>2</v>
      </c>
      <c r="AJ344" s="183">
        <f t="shared" si="56"/>
        <v>6372</v>
      </c>
      <c r="AK344" s="179">
        <f t="shared" si="57"/>
        <v>28</v>
      </c>
      <c r="AL344" s="183">
        <v>0</v>
      </c>
      <c r="AM344" s="183">
        <f t="shared" si="64"/>
        <v>1344000</v>
      </c>
      <c r="AN344" s="183">
        <f t="shared" si="58"/>
        <v>0</v>
      </c>
      <c r="AO344" s="183">
        <f t="shared" si="59"/>
        <v>0</v>
      </c>
      <c r="AP344" s="183">
        <f t="shared" si="60"/>
        <v>8563968</v>
      </c>
      <c r="AR344" s="183">
        <f t="shared" si="61"/>
        <v>0</v>
      </c>
      <c r="AS344" s="183">
        <f t="shared" si="62"/>
        <v>9907968</v>
      </c>
      <c r="AT344" s="175" t="s">
        <v>1535</v>
      </c>
      <c r="AU344" s="175" t="s">
        <v>1536</v>
      </c>
      <c r="AV344" s="175" t="s">
        <v>2036</v>
      </c>
      <c r="AW344" s="175" t="s">
        <v>2037</v>
      </c>
    </row>
    <row r="345" spans="1:49" ht="24.95" customHeight="1" x14ac:dyDescent="0.25">
      <c r="A345" s="175">
        <v>14410</v>
      </c>
      <c r="B345" s="175" t="s">
        <v>83</v>
      </c>
      <c r="C345" s="175" t="s">
        <v>1022</v>
      </c>
      <c r="D345" s="176">
        <v>1</v>
      </c>
      <c r="E345" s="176">
        <v>2025</v>
      </c>
      <c r="F345" s="176">
        <v>2025</v>
      </c>
      <c r="G345" s="175" t="s">
        <v>23</v>
      </c>
      <c r="H345" s="175" t="s">
        <v>83</v>
      </c>
      <c r="I345" s="175" t="s">
        <v>102</v>
      </c>
      <c r="J345" s="177" t="s">
        <v>2228</v>
      </c>
      <c r="K345" s="175" t="s">
        <v>21</v>
      </c>
      <c r="L345" s="175" t="s">
        <v>345</v>
      </c>
      <c r="M345" s="175" t="s">
        <v>346</v>
      </c>
      <c r="N345" s="175">
        <v>13</v>
      </c>
      <c r="O345" s="175" t="s">
        <v>382</v>
      </c>
      <c r="P345" s="175" t="s">
        <v>730</v>
      </c>
      <c r="Q345" s="175" t="s">
        <v>1201</v>
      </c>
      <c r="R345" s="175" t="s">
        <v>339</v>
      </c>
      <c r="S345" s="175" t="s">
        <v>19</v>
      </c>
      <c r="T345" s="175" t="s">
        <v>703</v>
      </c>
      <c r="U345" s="176">
        <v>12</v>
      </c>
      <c r="V345" s="176">
        <v>100</v>
      </c>
      <c r="W345" s="176">
        <v>12</v>
      </c>
      <c r="X345" s="179">
        <f t="shared" si="63"/>
        <v>112</v>
      </c>
      <c r="Y345" s="176">
        <v>4</v>
      </c>
      <c r="Z345" s="176" t="s">
        <v>20</v>
      </c>
      <c r="AA345" s="176" t="s">
        <v>18</v>
      </c>
      <c r="AB345" s="176" t="s">
        <v>18</v>
      </c>
      <c r="AC345" s="186" t="s">
        <v>2229</v>
      </c>
      <c r="AD345" s="181" t="s">
        <v>2230</v>
      </c>
      <c r="AE345" s="179" t="s">
        <v>18</v>
      </c>
      <c r="AF345" s="191"/>
      <c r="AG345" s="175" t="s">
        <v>1173</v>
      </c>
      <c r="AH345" s="179">
        <f t="shared" si="55"/>
        <v>28</v>
      </c>
      <c r="AI345" s="179">
        <v>2</v>
      </c>
      <c r="AJ345" s="183">
        <f t="shared" si="56"/>
        <v>6372</v>
      </c>
      <c r="AK345" s="179">
        <f t="shared" si="57"/>
        <v>28</v>
      </c>
      <c r="AL345" s="183">
        <v>0</v>
      </c>
      <c r="AM345" s="183">
        <f t="shared" si="64"/>
        <v>1344000</v>
      </c>
      <c r="AN345" s="183">
        <f t="shared" si="58"/>
        <v>0</v>
      </c>
      <c r="AO345" s="183">
        <f t="shared" si="59"/>
        <v>0</v>
      </c>
      <c r="AP345" s="183">
        <f t="shared" si="60"/>
        <v>8563968</v>
      </c>
      <c r="AR345" s="183">
        <f t="shared" si="61"/>
        <v>0</v>
      </c>
      <c r="AS345" s="183">
        <f t="shared" si="62"/>
        <v>9907968</v>
      </c>
      <c r="AT345" s="175" t="s">
        <v>1535</v>
      </c>
      <c r="AU345" s="175" t="s">
        <v>1536</v>
      </c>
      <c r="AV345" s="175" t="s">
        <v>2036</v>
      </c>
      <c r="AW345" s="175" t="s">
        <v>2037</v>
      </c>
    </row>
    <row r="346" spans="1:49" ht="24.95" customHeight="1" x14ac:dyDescent="0.25">
      <c r="A346" s="175">
        <v>14416</v>
      </c>
      <c r="B346" s="175" t="s">
        <v>98</v>
      </c>
      <c r="C346" s="175" t="s">
        <v>41</v>
      </c>
      <c r="D346" s="176">
        <v>1</v>
      </c>
      <c r="E346" s="176">
        <v>2025</v>
      </c>
      <c r="F346" s="176">
        <v>2025</v>
      </c>
      <c r="G346" s="175" t="s">
        <v>23</v>
      </c>
      <c r="H346" s="175" t="s">
        <v>98</v>
      </c>
      <c r="I346" s="175" t="s">
        <v>1175</v>
      </c>
      <c r="J346" s="177" t="s">
        <v>2231</v>
      </c>
      <c r="K346" s="175" t="s">
        <v>21</v>
      </c>
      <c r="L346" s="175" t="s">
        <v>345</v>
      </c>
      <c r="M346" s="175" t="s">
        <v>346</v>
      </c>
      <c r="N346" s="175">
        <v>14</v>
      </c>
      <c r="O346" s="175" t="s">
        <v>1722</v>
      </c>
      <c r="P346" s="175" t="s">
        <v>731</v>
      </c>
      <c r="Q346" s="175" t="s">
        <v>409</v>
      </c>
      <c r="R346" s="175" t="s">
        <v>339</v>
      </c>
      <c r="S346" s="175" t="s">
        <v>19</v>
      </c>
      <c r="T346" s="175" t="s">
        <v>2232</v>
      </c>
      <c r="U346" s="176">
        <v>20</v>
      </c>
      <c r="V346" s="176">
        <v>116</v>
      </c>
      <c r="W346" s="176">
        <v>12</v>
      </c>
      <c r="X346" s="179">
        <f t="shared" si="63"/>
        <v>128</v>
      </c>
      <c r="Y346" s="176">
        <v>7</v>
      </c>
      <c r="Z346" s="176" t="s">
        <v>20</v>
      </c>
      <c r="AA346" s="176" t="s">
        <v>18</v>
      </c>
      <c r="AB346" s="176" t="s">
        <v>20</v>
      </c>
      <c r="AC346" s="186" t="s">
        <v>2233</v>
      </c>
      <c r="AD346" s="181" t="s">
        <v>2234</v>
      </c>
      <c r="AE346" s="179" t="s">
        <v>18</v>
      </c>
      <c r="AF346" s="191"/>
      <c r="AG346" s="175" t="s">
        <v>1173</v>
      </c>
      <c r="AH346" s="179">
        <f t="shared" si="55"/>
        <v>19</v>
      </c>
      <c r="AI346" s="179">
        <v>2</v>
      </c>
      <c r="AJ346" s="183">
        <f t="shared" si="56"/>
        <v>6372</v>
      </c>
      <c r="AK346" s="179">
        <f t="shared" si="57"/>
        <v>18.285714285714285</v>
      </c>
      <c r="AL346" s="183">
        <v>0</v>
      </c>
      <c r="AM346" s="183">
        <f t="shared" si="64"/>
        <v>1520000</v>
      </c>
      <c r="AN346" s="183">
        <f t="shared" si="58"/>
        <v>0</v>
      </c>
      <c r="AO346" s="183">
        <f t="shared" si="59"/>
        <v>5400000</v>
      </c>
      <c r="AP346" s="183">
        <f t="shared" si="60"/>
        <v>16312320</v>
      </c>
      <c r="AR346" s="183">
        <f t="shared" si="61"/>
        <v>0</v>
      </c>
      <c r="AS346" s="183">
        <f t="shared" si="62"/>
        <v>23232320</v>
      </c>
      <c r="AT346" s="175" t="s">
        <v>1724</v>
      </c>
      <c r="AU346" s="175" t="s">
        <v>1725</v>
      </c>
      <c r="AV346" s="175" t="s">
        <v>1726</v>
      </c>
      <c r="AW346" s="175" t="s">
        <v>2235</v>
      </c>
    </row>
    <row r="347" spans="1:49" ht="24.95" customHeight="1" x14ac:dyDescent="0.25">
      <c r="A347" s="175">
        <v>14230</v>
      </c>
      <c r="B347" s="175" t="s">
        <v>86</v>
      </c>
      <c r="C347" s="175" t="s">
        <v>29</v>
      </c>
      <c r="D347" s="176">
        <v>1</v>
      </c>
      <c r="E347" s="176">
        <v>2025</v>
      </c>
      <c r="F347" s="176">
        <v>2025</v>
      </c>
      <c r="G347" s="175" t="s">
        <v>23</v>
      </c>
      <c r="H347" s="175" t="s">
        <v>86</v>
      </c>
      <c r="I347" s="175" t="s">
        <v>105</v>
      </c>
      <c r="J347" s="177" t="s">
        <v>1034</v>
      </c>
      <c r="K347" s="175" t="s">
        <v>21</v>
      </c>
      <c r="L347" s="175" t="s">
        <v>345</v>
      </c>
      <c r="M347" s="175" t="s">
        <v>346</v>
      </c>
      <c r="N347" s="175">
        <v>6</v>
      </c>
      <c r="O347" s="175" t="s">
        <v>796</v>
      </c>
      <c r="P347" s="175" t="s">
        <v>825</v>
      </c>
      <c r="Q347" s="175" t="s">
        <v>1201</v>
      </c>
      <c r="R347" s="175" t="s">
        <v>339</v>
      </c>
      <c r="S347" s="175" t="s">
        <v>19</v>
      </c>
      <c r="T347" s="175" t="s">
        <v>2236</v>
      </c>
      <c r="U347" s="176">
        <v>15</v>
      </c>
      <c r="V347" s="176">
        <v>200</v>
      </c>
      <c r="W347" s="176">
        <v>12</v>
      </c>
      <c r="X347" s="179">
        <f t="shared" si="63"/>
        <v>212</v>
      </c>
      <c r="Y347" s="176">
        <v>7</v>
      </c>
      <c r="Z347" s="176" t="s">
        <v>20</v>
      </c>
      <c r="AA347" s="176" t="s">
        <v>18</v>
      </c>
      <c r="AB347" s="176" t="s">
        <v>20</v>
      </c>
      <c r="AC347" s="186" t="s">
        <v>2237</v>
      </c>
      <c r="AD347" s="181" t="s">
        <v>2238</v>
      </c>
      <c r="AE347" s="179" t="s">
        <v>18</v>
      </c>
      <c r="AF347" s="191"/>
      <c r="AG347" s="175" t="s">
        <v>1173</v>
      </c>
      <c r="AH347" s="179">
        <f t="shared" si="55"/>
        <v>31</v>
      </c>
      <c r="AI347" s="179">
        <v>2</v>
      </c>
      <c r="AJ347" s="183">
        <f t="shared" si="56"/>
        <v>6372</v>
      </c>
      <c r="AK347" s="179">
        <f t="shared" si="57"/>
        <v>30.285714285714285</v>
      </c>
      <c r="AL347" s="183">
        <v>0</v>
      </c>
      <c r="AM347" s="183">
        <f t="shared" si="64"/>
        <v>1860000</v>
      </c>
      <c r="AN347" s="183">
        <f t="shared" si="58"/>
        <v>0</v>
      </c>
      <c r="AO347" s="183">
        <f t="shared" si="59"/>
        <v>4050000</v>
      </c>
      <c r="AP347" s="183">
        <f t="shared" si="60"/>
        <v>20262960</v>
      </c>
      <c r="AR347" s="183">
        <f t="shared" si="61"/>
        <v>0</v>
      </c>
      <c r="AS347" s="183">
        <f t="shared" si="62"/>
        <v>26172960</v>
      </c>
      <c r="AT347" s="175" t="s">
        <v>2239</v>
      </c>
      <c r="AU347" s="175" t="s">
        <v>2240</v>
      </c>
      <c r="AV347" s="175" t="s">
        <v>2241</v>
      </c>
      <c r="AW347" s="175" t="s">
        <v>2242</v>
      </c>
    </row>
    <row r="348" spans="1:49" ht="24.95" customHeight="1" x14ac:dyDescent="0.25">
      <c r="A348" s="175">
        <v>14229</v>
      </c>
      <c r="B348" s="175" t="s">
        <v>86</v>
      </c>
      <c r="C348" s="175" t="s">
        <v>29</v>
      </c>
      <c r="D348" s="176">
        <v>1</v>
      </c>
      <c r="E348" s="176">
        <v>2025</v>
      </c>
      <c r="F348" s="176">
        <v>2025</v>
      </c>
      <c r="G348" s="175" t="s">
        <v>23</v>
      </c>
      <c r="H348" s="175" t="s">
        <v>86</v>
      </c>
      <c r="I348" s="175" t="s">
        <v>105</v>
      </c>
      <c r="J348" s="177" t="s">
        <v>1036</v>
      </c>
      <c r="K348" s="175" t="s">
        <v>21</v>
      </c>
      <c r="L348" s="175" t="s">
        <v>345</v>
      </c>
      <c r="M348" s="175" t="s">
        <v>346</v>
      </c>
      <c r="N348" s="175">
        <v>6</v>
      </c>
      <c r="O348" s="175" t="s">
        <v>796</v>
      </c>
      <c r="P348" s="175" t="s">
        <v>825</v>
      </c>
      <c r="Q348" s="175" t="s">
        <v>1201</v>
      </c>
      <c r="R348" s="175" t="s">
        <v>339</v>
      </c>
      <c r="S348" s="175" t="s">
        <v>19</v>
      </c>
      <c r="T348" s="175" t="s">
        <v>2243</v>
      </c>
      <c r="U348" s="176">
        <v>15</v>
      </c>
      <c r="V348" s="176">
        <v>250</v>
      </c>
      <c r="W348" s="176">
        <v>12</v>
      </c>
      <c r="X348" s="179">
        <f t="shared" si="63"/>
        <v>262</v>
      </c>
      <c r="Y348" s="176">
        <v>7</v>
      </c>
      <c r="Z348" s="176" t="s">
        <v>20</v>
      </c>
      <c r="AA348" s="176" t="s">
        <v>18</v>
      </c>
      <c r="AB348" s="176" t="s">
        <v>20</v>
      </c>
      <c r="AC348" s="186" t="s">
        <v>2244</v>
      </c>
      <c r="AD348" s="181" t="s">
        <v>2245</v>
      </c>
      <c r="AE348" s="179" t="s">
        <v>18</v>
      </c>
      <c r="AF348" s="191"/>
      <c r="AG348" s="175" t="s">
        <v>1173</v>
      </c>
      <c r="AH348" s="179">
        <f t="shared" si="55"/>
        <v>38</v>
      </c>
      <c r="AI348" s="179">
        <v>2</v>
      </c>
      <c r="AJ348" s="183">
        <f t="shared" si="56"/>
        <v>6372</v>
      </c>
      <c r="AK348" s="179">
        <f t="shared" si="57"/>
        <v>37.428571428571431</v>
      </c>
      <c r="AL348" s="183">
        <v>0</v>
      </c>
      <c r="AM348" s="183">
        <f t="shared" si="64"/>
        <v>2280000</v>
      </c>
      <c r="AN348" s="183">
        <f t="shared" si="58"/>
        <v>0</v>
      </c>
      <c r="AO348" s="183">
        <f t="shared" si="59"/>
        <v>4050000</v>
      </c>
      <c r="AP348" s="183">
        <f t="shared" si="60"/>
        <v>25041960</v>
      </c>
      <c r="AR348" s="183">
        <f t="shared" si="61"/>
        <v>0</v>
      </c>
      <c r="AS348" s="183">
        <f t="shared" si="62"/>
        <v>31371960</v>
      </c>
      <c r="AT348" s="175" t="s">
        <v>2239</v>
      </c>
      <c r="AU348" s="175" t="s">
        <v>2240</v>
      </c>
      <c r="AV348" s="175" t="s">
        <v>2241</v>
      </c>
      <c r="AW348" s="175" t="s">
        <v>2242</v>
      </c>
    </row>
    <row r="349" spans="1:49" ht="24.95" customHeight="1" x14ac:dyDescent="0.25">
      <c r="A349" s="175">
        <v>14228</v>
      </c>
      <c r="B349" s="175" t="s">
        <v>86</v>
      </c>
      <c r="C349" s="175" t="s">
        <v>29</v>
      </c>
      <c r="D349" s="176">
        <v>1</v>
      </c>
      <c r="E349" s="176">
        <v>2025</v>
      </c>
      <c r="F349" s="176">
        <v>2025</v>
      </c>
      <c r="G349" s="175" t="s">
        <v>23</v>
      </c>
      <c r="H349" s="175" t="s">
        <v>86</v>
      </c>
      <c r="I349" s="175" t="s">
        <v>105</v>
      </c>
      <c r="J349" s="177" t="s">
        <v>2246</v>
      </c>
      <c r="K349" s="175" t="s">
        <v>21</v>
      </c>
      <c r="L349" s="175" t="s">
        <v>345</v>
      </c>
      <c r="M349" s="175" t="s">
        <v>346</v>
      </c>
      <c r="N349" s="175">
        <v>6</v>
      </c>
      <c r="O349" s="175" t="s">
        <v>796</v>
      </c>
      <c r="P349" s="175" t="s">
        <v>825</v>
      </c>
      <c r="Q349" s="175" t="s">
        <v>1201</v>
      </c>
      <c r="R349" s="175" t="s">
        <v>339</v>
      </c>
      <c r="S349" s="175" t="s">
        <v>19</v>
      </c>
      <c r="T349" s="175" t="s">
        <v>1035</v>
      </c>
      <c r="U349" s="176">
        <v>20</v>
      </c>
      <c r="V349" s="176">
        <v>300</v>
      </c>
      <c r="W349" s="176">
        <v>12</v>
      </c>
      <c r="X349" s="179">
        <f t="shared" si="63"/>
        <v>312</v>
      </c>
      <c r="Y349" s="176">
        <v>7</v>
      </c>
      <c r="Z349" s="176" t="s">
        <v>20</v>
      </c>
      <c r="AA349" s="176" t="s">
        <v>18</v>
      </c>
      <c r="AB349" s="176" t="s">
        <v>20</v>
      </c>
      <c r="AC349" s="186" t="s">
        <v>2247</v>
      </c>
      <c r="AD349" s="181" t="s">
        <v>2248</v>
      </c>
      <c r="AE349" s="179" t="s">
        <v>18</v>
      </c>
      <c r="AF349" s="191"/>
      <c r="AG349" s="175" t="s">
        <v>1173</v>
      </c>
      <c r="AH349" s="179">
        <f t="shared" si="55"/>
        <v>45</v>
      </c>
      <c r="AI349" s="179">
        <v>2</v>
      </c>
      <c r="AJ349" s="183">
        <f t="shared" si="56"/>
        <v>6372</v>
      </c>
      <c r="AK349" s="179">
        <f t="shared" si="57"/>
        <v>44.571428571428569</v>
      </c>
      <c r="AL349" s="183">
        <v>0</v>
      </c>
      <c r="AM349" s="183">
        <f t="shared" si="64"/>
        <v>3600000</v>
      </c>
      <c r="AN349" s="183">
        <f t="shared" si="58"/>
        <v>0</v>
      </c>
      <c r="AO349" s="183">
        <f t="shared" si="59"/>
        <v>5400000</v>
      </c>
      <c r="AP349" s="183">
        <f t="shared" si="60"/>
        <v>39761280</v>
      </c>
      <c r="AR349" s="183">
        <f t="shared" si="61"/>
        <v>0</v>
      </c>
      <c r="AS349" s="183">
        <f t="shared" si="62"/>
        <v>48761280</v>
      </c>
      <c r="AT349" s="175" t="s">
        <v>2239</v>
      </c>
      <c r="AU349" s="175" t="s">
        <v>2240</v>
      </c>
      <c r="AV349" s="175" t="s">
        <v>2241</v>
      </c>
      <c r="AW349" s="175" t="s">
        <v>2242</v>
      </c>
    </row>
    <row r="350" spans="1:49" ht="24.95" customHeight="1" x14ac:dyDescent="0.25">
      <c r="A350" s="175">
        <v>14498</v>
      </c>
      <c r="B350" s="175" t="s">
        <v>96</v>
      </c>
      <c r="C350" s="175" t="s">
        <v>39</v>
      </c>
      <c r="D350" s="176">
        <v>4</v>
      </c>
      <c r="E350" s="176">
        <v>2025</v>
      </c>
      <c r="F350" s="176">
        <v>2025</v>
      </c>
      <c r="G350" s="175" t="s">
        <v>23</v>
      </c>
      <c r="H350" s="175" t="s">
        <v>96</v>
      </c>
      <c r="I350" s="175" t="s">
        <v>1042</v>
      </c>
      <c r="J350" s="177" t="s">
        <v>2249</v>
      </c>
      <c r="K350" s="175" t="s">
        <v>21</v>
      </c>
      <c r="L350" s="175" t="s">
        <v>345</v>
      </c>
      <c r="M350" s="175" t="s">
        <v>346</v>
      </c>
      <c r="N350" s="175">
        <v>14</v>
      </c>
      <c r="O350" s="175" t="s">
        <v>1722</v>
      </c>
      <c r="P350" s="175" t="s">
        <v>731</v>
      </c>
      <c r="Q350" s="175" t="s">
        <v>1201</v>
      </c>
      <c r="R350" s="175" t="s">
        <v>339</v>
      </c>
      <c r="S350" s="175" t="s">
        <v>19</v>
      </c>
      <c r="T350" s="175" t="s">
        <v>337</v>
      </c>
      <c r="U350" s="176">
        <v>13</v>
      </c>
      <c r="V350" s="176">
        <v>120</v>
      </c>
      <c r="W350" s="176">
        <v>12</v>
      </c>
      <c r="X350" s="179">
        <f t="shared" si="63"/>
        <v>132</v>
      </c>
      <c r="Y350" s="176">
        <v>5</v>
      </c>
      <c r="Z350" s="176" t="s">
        <v>20</v>
      </c>
      <c r="AA350" s="176" t="s">
        <v>18</v>
      </c>
      <c r="AB350" s="176" t="s">
        <v>20</v>
      </c>
      <c r="AC350" s="186" t="s">
        <v>2250</v>
      </c>
      <c r="AD350" s="181" t="s">
        <v>2251</v>
      </c>
      <c r="AE350" s="179" t="s">
        <v>18</v>
      </c>
      <c r="AF350" s="191"/>
      <c r="AG350" s="175" t="s">
        <v>1173</v>
      </c>
      <c r="AH350" s="179">
        <f t="shared" si="55"/>
        <v>27</v>
      </c>
      <c r="AI350" s="179">
        <v>1</v>
      </c>
      <c r="AJ350" s="183">
        <f t="shared" si="56"/>
        <v>5074</v>
      </c>
      <c r="AK350" s="179">
        <f t="shared" si="57"/>
        <v>26.4</v>
      </c>
      <c r="AL350" s="183">
        <v>0</v>
      </c>
      <c r="AM350" s="183">
        <f t="shared" si="64"/>
        <v>1404000</v>
      </c>
      <c r="AN350" s="183">
        <f t="shared" si="58"/>
        <v>0</v>
      </c>
      <c r="AO350" s="183">
        <f t="shared" si="59"/>
        <v>3510000</v>
      </c>
      <c r="AP350" s="183">
        <f t="shared" si="60"/>
        <v>8706984</v>
      </c>
      <c r="AR350" s="183">
        <f t="shared" si="61"/>
        <v>0</v>
      </c>
      <c r="AS350" s="183">
        <f t="shared" si="62"/>
        <v>13620984</v>
      </c>
      <c r="AT350" s="175" t="s">
        <v>2252</v>
      </c>
      <c r="AU350" s="175" t="s">
        <v>2253</v>
      </c>
      <c r="AV350" s="175" t="s">
        <v>2254</v>
      </c>
      <c r="AW350" s="175" t="s">
        <v>2255</v>
      </c>
    </row>
    <row r="351" spans="1:49" ht="24.95" customHeight="1" x14ac:dyDescent="0.25">
      <c r="A351" s="175">
        <v>14499</v>
      </c>
      <c r="B351" s="175" t="s">
        <v>96</v>
      </c>
      <c r="C351" s="175" t="s">
        <v>39</v>
      </c>
      <c r="D351" s="176">
        <v>4</v>
      </c>
      <c r="E351" s="176">
        <v>2025</v>
      </c>
      <c r="F351" s="176">
        <v>2025</v>
      </c>
      <c r="G351" s="175" t="s">
        <v>23</v>
      </c>
      <c r="H351" s="175" t="s">
        <v>96</v>
      </c>
      <c r="I351" s="175" t="s">
        <v>1042</v>
      </c>
      <c r="J351" s="177" t="s">
        <v>2256</v>
      </c>
      <c r="K351" s="175" t="s">
        <v>21</v>
      </c>
      <c r="L351" s="175" t="s">
        <v>345</v>
      </c>
      <c r="M351" s="175" t="s">
        <v>346</v>
      </c>
      <c r="N351" s="175">
        <v>14</v>
      </c>
      <c r="O351" s="175" t="s">
        <v>1722</v>
      </c>
      <c r="P351" s="175" t="s">
        <v>812</v>
      </c>
      <c r="Q351" s="175" t="s">
        <v>1201</v>
      </c>
      <c r="R351" s="175" t="s">
        <v>339</v>
      </c>
      <c r="S351" s="175" t="s">
        <v>19</v>
      </c>
      <c r="T351" s="175" t="s">
        <v>337</v>
      </c>
      <c r="U351" s="176">
        <v>10</v>
      </c>
      <c r="V351" s="176">
        <v>120</v>
      </c>
      <c r="W351" s="176">
        <v>12</v>
      </c>
      <c r="X351" s="179">
        <f>((SUM(V351:W351))*1)*1</f>
        <v>132</v>
      </c>
      <c r="Y351" s="176">
        <v>5</v>
      </c>
      <c r="Z351" s="176" t="s">
        <v>20</v>
      </c>
      <c r="AA351" s="176" t="s">
        <v>18</v>
      </c>
      <c r="AB351" s="176" t="s">
        <v>20</v>
      </c>
      <c r="AC351" s="186" t="s">
        <v>2250</v>
      </c>
      <c r="AD351" s="181" t="s">
        <v>2257</v>
      </c>
      <c r="AE351" s="179" t="s">
        <v>18</v>
      </c>
      <c r="AF351" s="191"/>
      <c r="AG351" s="175" t="s">
        <v>1173</v>
      </c>
      <c r="AH351" s="179">
        <f t="shared" si="55"/>
        <v>27</v>
      </c>
      <c r="AI351" s="179">
        <v>1</v>
      </c>
      <c r="AJ351" s="183">
        <f t="shared" si="56"/>
        <v>5074</v>
      </c>
      <c r="AK351" s="179">
        <f t="shared" si="57"/>
        <v>26.4</v>
      </c>
      <c r="AL351" s="183">
        <v>0</v>
      </c>
      <c r="AM351" s="183">
        <f t="shared" si="64"/>
        <v>1080000</v>
      </c>
      <c r="AN351" s="183">
        <f t="shared" si="58"/>
        <v>0</v>
      </c>
      <c r="AO351" s="183">
        <f t="shared" si="59"/>
        <v>2700000</v>
      </c>
      <c r="AP351" s="183">
        <f t="shared" si="60"/>
        <v>6697680</v>
      </c>
      <c r="AR351" s="183">
        <f t="shared" si="61"/>
        <v>0</v>
      </c>
      <c r="AS351" s="183">
        <f t="shared" si="62"/>
        <v>10477680</v>
      </c>
      <c r="AT351" s="175" t="s">
        <v>2252</v>
      </c>
      <c r="AU351" s="175" t="s">
        <v>2253</v>
      </c>
      <c r="AV351" s="175" t="s">
        <v>2254</v>
      </c>
      <c r="AW351" s="175" t="s">
        <v>2255</v>
      </c>
    </row>
    <row r="352" spans="1:49" ht="24.95" customHeight="1" x14ac:dyDescent="0.25">
      <c r="A352" s="175">
        <v>14326</v>
      </c>
      <c r="B352" s="175" t="s">
        <v>94</v>
      </c>
      <c r="C352" s="175" t="s">
        <v>37</v>
      </c>
      <c r="D352" s="176">
        <v>1</v>
      </c>
      <c r="E352" s="176">
        <v>2025</v>
      </c>
      <c r="F352" s="176">
        <v>2025</v>
      </c>
      <c r="G352" s="175" t="s">
        <v>23</v>
      </c>
      <c r="H352" s="175" t="s">
        <v>94</v>
      </c>
      <c r="I352" s="175" t="s">
        <v>113</v>
      </c>
      <c r="J352" s="177" t="s">
        <v>2258</v>
      </c>
      <c r="K352" s="175" t="s">
        <v>21</v>
      </c>
      <c r="L352" s="175" t="s">
        <v>345</v>
      </c>
      <c r="M352" s="175" t="s">
        <v>346</v>
      </c>
      <c r="N352" s="175">
        <v>6</v>
      </c>
      <c r="O352" s="175" t="s">
        <v>796</v>
      </c>
      <c r="P352" s="175" t="s">
        <v>819</v>
      </c>
      <c r="Q352" s="175" t="s">
        <v>1201</v>
      </c>
      <c r="R352" s="175" t="s">
        <v>339</v>
      </c>
      <c r="S352" s="175" t="s">
        <v>19</v>
      </c>
      <c r="T352" s="175" t="s">
        <v>347</v>
      </c>
      <c r="U352" s="176">
        <v>15</v>
      </c>
      <c r="V352" s="176">
        <v>168</v>
      </c>
      <c r="W352" s="176">
        <v>12</v>
      </c>
      <c r="X352" s="179">
        <f>((SUM(V352:W352))*1)*1</f>
        <v>180</v>
      </c>
      <c r="Y352" s="176">
        <v>4</v>
      </c>
      <c r="Z352" s="176" t="s">
        <v>20</v>
      </c>
      <c r="AA352" s="176" t="s">
        <v>18</v>
      </c>
      <c r="AB352" s="176" t="s">
        <v>20</v>
      </c>
      <c r="AC352" s="186" t="s">
        <v>2259</v>
      </c>
      <c r="AD352" s="181" t="s">
        <v>2260</v>
      </c>
      <c r="AE352" s="179" t="s">
        <v>18</v>
      </c>
      <c r="AF352" s="191"/>
      <c r="AG352" s="175" t="s">
        <v>1173</v>
      </c>
      <c r="AH352" s="179">
        <f t="shared" si="55"/>
        <v>45</v>
      </c>
      <c r="AI352" s="179">
        <v>2</v>
      </c>
      <c r="AJ352" s="183">
        <f t="shared" si="56"/>
        <v>6372</v>
      </c>
      <c r="AK352" s="179">
        <f t="shared" si="57"/>
        <v>45</v>
      </c>
      <c r="AL352" s="183">
        <v>0</v>
      </c>
      <c r="AM352" s="183">
        <f t="shared" si="64"/>
        <v>2700000</v>
      </c>
      <c r="AN352" s="183">
        <f t="shared" si="58"/>
        <v>0</v>
      </c>
      <c r="AO352" s="183">
        <f t="shared" si="59"/>
        <v>4050000</v>
      </c>
      <c r="AP352" s="183">
        <f t="shared" si="60"/>
        <v>17204400</v>
      </c>
      <c r="AR352" s="183">
        <f t="shared" si="61"/>
        <v>0</v>
      </c>
      <c r="AS352" s="183">
        <f t="shared" si="62"/>
        <v>23954400</v>
      </c>
      <c r="AT352" s="175" t="s">
        <v>2261</v>
      </c>
      <c r="AU352" s="175" t="s">
        <v>2262</v>
      </c>
      <c r="AV352" s="175" t="s">
        <v>2263</v>
      </c>
      <c r="AW352" s="175" t="s">
        <v>2264</v>
      </c>
    </row>
    <row r="353" spans="1:49" ht="24.95" customHeight="1" x14ac:dyDescent="0.25">
      <c r="A353" s="175">
        <v>14343</v>
      </c>
      <c r="B353" s="175" t="s">
        <v>94</v>
      </c>
      <c r="C353" s="175" t="s">
        <v>37</v>
      </c>
      <c r="D353" s="176">
        <v>1</v>
      </c>
      <c r="E353" s="176">
        <v>2025</v>
      </c>
      <c r="F353" s="176">
        <v>2025</v>
      </c>
      <c r="G353" s="175" t="s">
        <v>23</v>
      </c>
      <c r="H353" s="175" t="s">
        <v>94</v>
      </c>
      <c r="I353" s="175" t="s">
        <v>113</v>
      </c>
      <c r="J353" s="177" t="s">
        <v>2265</v>
      </c>
      <c r="K353" s="175" t="s">
        <v>21</v>
      </c>
      <c r="L353" s="175" t="s">
        <v>345</v>
      </c>
      <c r="M353" s="175" t="s">
        <v>346</v>
      </c>
      <c r="N353" s="175">
        <v>6</v>
      </c>
      <c r="O353" s="175" t="s">
        <v>796</v>
      </c>
      <c r="P353" s="175" t="s">
        <v>2266</v>
      </c>
      <c r="Q353" s="175" t="s">
        <v>1201</v>
      </c>
      <c r="R353" s="175" t="s">
        <v>339</v>
      </c>
      <c r="S353" s="175" t="s">
        <v>19</v>
      </c>
      <c r="T353" s="175" t="s">
        <v>394</v>
      </c>
      <c r="U353" s="176">
        <v>15</v>
      </c>
      <c r="V353" s="176">
        <v>168</v>
      </c>
      <c r="W353" s="176">
        <v>12</v>
      </c>
      <c r="X353" s="179">
        <f>((SUM(V353:W353))*1)*1</f>
        <v>180</v>
      </c>
      <c r="Y353" s="176">
        <v>4</v>
      </c>
      <c r="Z353" s="176" t="s">
        <v>20</v>
      </c>
      <c r="AA353" s="176" t="s">
        <v>18</v>
      </c>
      <c r="AB353" s="176" t="s">
        <v>20</v>
      </c>
      <c r="AC353" s="186" t="s">
        <v>2267</v>
      </c>
      <c r="AD353" s="181" t="s">
        <v>2268</v>
      </c>
      <c r="AE353" s="179" t="s">
        <v>18</v>
      </c>
      <c r="AF353" s="191"/>
      <c r="AG353" s="175" t="s">
        <v>1173</v>
      </c>
      <c r="AH353" s="179">
        <f t="shared" si="55"/>
        <v>45</v>
      </c>
      <c r="AI353" s="179">
        <v>2</v>
      </c>
      <c r="AJ353" s="183">
        <f t="shared" si="56"/>
        <v>6372</v>
      </c>
      <c r="AK353" s="179">
        <f t="shared" si="57"/>
        <v>45</v>
      </c>
      <c r="AL353" s="183">
        <v>0</v>
      </c>
      <c r="AM353" s="183">
        <f t="shared" si="64"/>
        <v>2700000</v>
      </c>
      <c r="AN353" s="183">
        <f t="shared" si="58"/>
        <v>0</v>
      </c>
      <c r="AO353" s="183">
        <f t="shared" si="59"/>
        <v>4050000</v>
      </c>
      <c r="AP353" s="183">
        <f t="shared" si="60"/>
        <v>17204400</v>
      </c>
      <c r="AR353" s="183">
        <f t="shared" si="61"/>
        <v>0</v>
      </c>
      <c r="AS353" s="183">
        <f t="shared" si="62"/>
        <v>23954400</v>
      </c>
      <c r="AT353" s="175" t="s">
        <v>2261</v>
      </c>
      <c r="AU353" s="175" t="s">
        <v>2262</v>
      </c>
      <c r="AV353" s="175" t="s">
        <v>2269</v>
      </c>
      <c r="AW353" s="175" t="s">
        <v>2270</v>
      </c>
    </row>
    <row r="354" spans="1:49" ht="24.95" customHeight="1" x14ac:dyDescent="0.25">
      <c r="A354" s="175">
        <v>14356</v>
      </c>
      <c r="B354" s="175" t="s">
        <v>94</v>
      </c>
      <c r="C354" s="175" t="s">
        <v>37</v>
      </c>
      <c r="D354" s="176">
        <v>1</v>
      </c>
      <c r="E354" s="176">
        <v>2025</v>
      </c>
      <c r="F354" s="176">
        <v>2025</v>
      </c>
      <c r="G354" s="175" t="s">
        <v>23</v>
      </c>
      <c r="H354" s="175" t="s">
        <v>94</v>
      </c>
      <c r="I354" s="175" t="s">
        <v>113</v>
      </c>
      <c r="J354" s="177" t="s">
        <v>2265</v>
      </c>
      <c r="K354" s="175" t="s">
        <v>21</v>
      </c>
      <c r="L354" s="175" t="s">
        <v>345</v>
      </c>
      <c r="M354" s="175" t="s">
        <v>346</v>
      </c>
      <c r="N354" s="175">
        <v>6</v>
      </c>
      <c r="O354" s="175" t="s">
        <v>796</v>
      </c>
      <c r="P354" s="175" t="s">
        <v>820</v>
      </c>
      <c r="Q354" s="175" t="s">
        <v>1201</v>
      </c>
      <c r="R354" s="175" t="s">
        <v>339</v>
      </c>
      <c r="S354" s="175" t="s">
        <v>19</v>
      </c>
      <c r="T354" s="175" t="s">
        <v>775</v>
      </c>
      <c r="U354" s="176">
        <v>15</v>
      </c>
      <c r="V354" s="176">
        <v>168</v>
      </c>
      <c r="W354" s="176">
        <v>12</v>
      </c>
      <c r="X354" s="179">
        <f>((SUM(V354:W354))*1)*1</f>
        <v>180</v>
      </c>
      <c r="Y354" s="176">
        <v>4</v>
      </c>
      <c r="Z354" s="176" t="s">
        <v>20</v>
      </c>
      <c r="AA354" s="176" t="s">
        <v>18</v>
      </c>
      <c r="AB354" s="176" t="s">
        <v>20</v>
      </c>
      <c r="AC354" s="186" t="s">
        <v>2267</v>
      </c>
      <c r="AD354" s="181" t="s">
        <v>2271</v>
      </c>
      <c r="AE354" s="179" t="s">
        <v>18</v>
      </c>
      <c r="AF354" s="191"/>
      <c r="AG354" s="175" t="s">
        <v>1173</v>
      </c>
      <c r="AH354" s="179">
        <f t="shared" si="55"/>
        <v>45</v>
      </c>
      <c r="AI354" s="179">
        <v>2</v>
      </c>
      <c r="AJ354" s="183">
        <f t="shared" si="56"/>
        <v>6372</v>
      </c>
      <c r="AK354" s="179">
        <f t="shared" si="57"/>
        <v>45</v>
      </c>
      <c r="AL354" s="183">
        <v>0</v>
      </c>
      <c r="AM354" s="183">
        <f t="shared" si="64"/>
        <v>2700000</v>
      </c>
      <c r="AN354" s="183">
        <f t="shared" si="58"/>
        <v>0</v>
      </c>
      <c r="AO354" s="183">
        <f t="shared" si="59"/>
        <v>4050000</v>
      </c>
      <c r="AP354" s="183">
        <f t="shared" si="60"/>
        <v>17204400</v>
      </c>
      <c r="AR354" s="183">
        <f t="shared" si="61"/>
        <v>0</v>
      </c>
      <c r="AS354" s="183">
        <f t="shared" si="62"/>
        <v>23954400</v>
      </c>
      <c r="AT354" s="175" t="s">
        <v>2272</v>
      </c>
      <c r="AU354" s="175" t="s">
        <v>2273</v>
      </c>
      <c r="AV354" s="175" t="s">
        <v>2274</v>
      </c>
      <c r="AW354" s="175" t="s">
        <v>2273</v>
      </c>
    </row>
    <row r="355" spans="1:49" ht="24.95" customHeight="1" x14ac:dyDescent="0.25">
      <c r="A355" s="175">
        <v>14466</v>
      </c>
      <c r="B355" s="175" t="s">
        <v>98</v>
      </c>
      <c r="C355" s="175" t="s">
        <v>41</v>
      </c>
      <c r="D355" s="176">
        <v>1</v>
      </c>
      <c r="E355" s="176">
        <v>2025</v>
      </c>
      <c r="F355" s="176">
        <v>2025</v>
      </c>
      <c r="G355" s="175" t="s">
        <v>23</v>
      </c>
      <c r="H355" s="175" t="s">
        <v>98</v>
      </c>
      <c r="I355" s="175" t="s">
        <v>1175</v>
      </c>
      <c r="J355" s="177" t="s">
        <v>1965</v>
      </c>
      <c r="K355" s="175" t="s">
        <v>21</v>
      </c>
      <c r="L355" s="175" t="s">
        <v>760</v>
      </c>
      <c r="M355" s="175" t="s">
        <v>759</v>
      </c>
      <c r="N355" s="175">
        <v>13</v>
      </c>
      <c r="O355" s="175" t="s">
        <v>382</v>
      </c>
      <c r="P355" s="175" t="s">
        <v>1887</v>
      </c>
      <c r="Q355" s="175" t="s">
        <v>1201</v>
      </c>
      <c r="R355" s="175" t="s">
        <v>339</v>
      </c>
      <c r="S355" s="175" t="s">
        <v>19</v>
      </c>
      <c r="T355" s="175" t="s">
        <v>1966</v>
      </c>
      <c r="U355" s="176">
        <v>20</v>
      </c>
      <c r="V355" s="176">
        <v>50</v>
      </c>
      <c r="W355" s="176">
        <v>8</v>
      </c>
      <c r="X355" s="179">
        <f>((SUM(V355:W355))*1)*1</f>
        <v>58</v>
      </c>
      <c r="Y355" s="176">
        <v>3</v>
      </c>
      <c r="Z355" s="176" t="s">
        <v>20</v>
      </c>
      <c r="AA355" s="176" t="s">
        <v>18</v>
      </c>
      <c r="AB355" s="185" t="s">
        <v>18</v>
      </c>
      <c r="AC355" s="186" t="s">
        <v>1967</v>
      </c>
      <c r="AD355" s="181" t="s">
        <v>2275</v>
      </c>
      <c r="AE355" s="179" t="s">
        <v>18</v>
      </c>
      <c r="AF355" s="191"/>
      <c r="AG355" s="175" t="s">
        <v>1173</v>
      </c>
      <c r="AH355" s="179">
        <f t="shared" si="55"/>
        <v>20</v>
      </c>
      <c r="AI355" s="179">
        <v>1</v>
      </c>
      <c r="AJ355" s="183">
        <f t="shared" si="56"/>
        <v>5074</v>
      </c>
      <c r="AK355" s="179">
        <f t="shared" si="57"/>
        <v>19.333333333333332</v>
      </c>
      <c r="AL355" s="183">
        <v>0</v>
      </c>
      <c r="AM355" s="183">
        <f t="shared" si="64"/>
        <v>1600000</v>
      </c>
      <c r="AN355" s="183">
        <f t="shared" si="58"/>
        <v>0</v>
      </c>
      <c r="AO355" s="183">
        <f t="shared" si="59"/>
        <v>0</v>
      </c>
      <c r="AP355" s="183">
        <f t="shared" si="60"/>
        <v>5885840</v>
      </c>
      <c r="AR355" s="183">
        <f t="shared" si="61"/>
        <v>0</v>
      </c>
      <c r="AS355" s="183">
        <f t="shared" si="62"/>
        <v>7485840</v>
      </c>
      <c r="AT355" s="175" t="s">
        <v>1806</v>
      </c>
      <c r="AU355" s="175" t="s">
        <v>1807</v>
      </c>
      <c r="AV355" s="175" t="s">
        <v>2276</v>
      </c>
      <c r="AW355" s="175" t="s">
        <v>2277</v>
      </c>
    </row>
    <row r="356" spans="1:49" ht="20.100000000000001" customHeight="1" x14ac:dyDescent="0.25">
      <c r="A356" s="189">
        <v>14633</v>
      </c>
      <c r="B356" s="175" t="s">
        <v>96</v>
      </c>
      <c r="C356" s="175" t="s">
        <v>39</v>
      </c>
      <c r="D356" s="190">
        <v>4</v>
      </c>
      <c r="E356" s="176">
        <v>2025</v>
      </c>
      <c r="F356" s="189">
        <v>2005</v>
      </c>
      <c r="G356" s="189" t="s">
        <v>1466</v>
      </c>
      <c r="H356" s="189" t="s">
        <v>336</v>
      </c>
      <c r="I356" s="189" t="s">
        <v>1467</v>
      </c>
      <c r="J356" s="189" t="s">
        <v>386</v>
      </c>
      <c r="K356" s="189" t="s">
        <v>387</v>
      </c>
      <c r="L356" s="189" t="s">
        <v>345</v>
      </c>
      <c r="M356" s="189" t="s">
        <v>346</v>
      </c>
      <c r="N356" s="189">
        <v>16</v>
      </c>
      <c r="O356" s="189" t="s">
        <v>808</v>
      </c>
      <c r="P356" s="189" t="s">
        <v>870</v>
      </c>
      <c r="Q356" s="189" t="s">
        <v>1493</v>
      </c>
      <c r="R356" s="189" t="s">
        <v>339</v>
      </c>
      <c r="S356" s="189" t="s">
        <v>19</v>
      </c>
      <c r="T356" s="189" t="s">
        <v>337</v>
      </c>
      <c r="U356" s="190">
        <v>15</v>
      </c>
      <c r="V356" s="190">
        <v>150</v>
      </c>
      <c r="W356" s="190">
        <v>12</v>
      </c>
      <c r="X356" s="190">
        <f>SUM(V356:W356)</f>
        <v>162</v>
      </c>
      <c r="Y356" s="190">
        <v>4</v>
      </c>
      <c r="Z356" s="190" t="s">
        <v>20</v>
      </c>
      <c r="AA356" s="190" t="s">
        <v>20</v>
      </c>
      <c r="AB356" s="189" t="s">
        <v>20</v>
      </c>
      <c r="AC356" s="189"/>
      <c r="AD356" s="189" t="s">
        <v>2278</v>
      </c>
      <c r="AE356" s="189" t="s">
        <v>18</v>
      </c>
      <c r="AF356" s="189"/>
      <c r="AG356" s="189" t="s">
        <v>1173</v>
      </c>
      <c r="AH356" s="190">
        <f t="shared" si="55"/>
        <v>41</v>
      </c>
      <c r="AI356" s="190">
        <v>2</v>
      </c>
      <c r="AJ356" s="183">
        <f t="shared" si="56"/>
        <v>6372</v>
      </c>
      <c r="AK356" s="190">
        <f t="shared" si="57"/>
        <v>40.5</v>
      </c>
      <c r="AL356" s="183">
        <v>0</v>
      </c>
      <c r="AM356" s="183">
        <f t="shared" si="64"/>
        <v>2460000</v>
      </c>
      <c r="AN356" s="183">
        <f t="shared" si="58"/>
        <v>3075000</v>
      </c>
      <c r="AO356" s="183">
        <f t="shared" si="59"/>
        <v>4050000</v>
      </c>
      <c r="AP356" s="183">
        <f t="shared" si="60"/>
        <v>15483960</v>
      </c>
      <c r="AR356" s="183">
        <f t="shared" si="61"/>
        <v>0</v>
      </c>
      <c r="AS356" s="183">
        <f t="shared" si="62"/>
        <v>25068960</v>
      </c>
    </row>
    <row r="357" spans="1:49" ht="20.100000000000001" customHeight="1" x14ac:dyDescent="0.25">
      <c r="A357" s="189">
        <v>14656</v>
      </c>
      <c r="B357" s="175" t="s">
        <v>96</v>
      </c>
      <c r="C357" s="175" t="s">
        <v>39</v>
      </c>
      <c r="D357" s="190">
        <v>4</v>
      </c>
      <c r="E357" s="176">
        <v>2025</v>
      </c>
      <c r="F357" s="189">
        <v>2005</v>
      </c>
      <c r="G357" s="189" t="s">
        <v>1466</v>
      </c>
      <c r="H357" s="189" t="s">
        <v>336</v>
      </c>
      <c r="I357" s="189" t="s">
        <v>1467</v>
      </c>
      <c r="J357" s="189" t="s">
        <v>386</v>
      </c>
      <c r="K357" s="189" t="s">
        <v>387</v>
      </c>
      <c r="L357" s="189" t="s">
        <v>345</v>
      </c>
      <c r="M357" s="189" t="s">
        <v>346</v>
      </c>
      <c r="N357" s="189">
        <v>16</v>
      </c>
      <c r="O357" s="189" t="s">
        <v>808</v>
      </c>
      <c r="P357" s="189" t="s">
        <v>870</v>
      </c>
      <c r="Q357" s="189" t="s">
        <v>1493</v>
      </c>
      <c r="R357" s="189" t="s">
        <v>339</v>
      </c>
      <c r="S357" s="189" t="s">
        <v>19</v>
      </c>
      <c r="T357" s="189" t="s">
        <v>337</v>
      </c>
      <c r="U357" s="190">
        <v>15</v>
      </c>
      <c r="V357" s="190">
        <v>150</v>
      </c>
      <c r="W357" s="190">
        <v>12</v>
      </c>
      <c r="X357" s="190">
        <f>SUM(V357:W357)</f>
        <v>162</v>
      </c>
      <c r="Y357" s="190">
        <v>4</v>
      </c>
      <c r="Z357" s="190" t="s">
        <v>20</v>
      </c>
      <c r="AA357" s="190" t="s">
        <v>20</v>
      </c>
      <c r="AB357" s="189" t="s">
        <v>20</v>
      </c>
      <c r="AC357" s="189"/>
      <c r="AD357" s="189" t="s">
        <v>2278</v>
      </c>
      <c r="AE357" s="189" t="s">
        <v>18</v>
      </c>
      <c r="AF357" s="189"/>
      <c r="AG357" s="189" t="s">
        <v>1173</v>
      </c>
      <c r="AH357" s="190">
        <f t="shared" si="55"/>
        <v>41</v>
      </c>
      <c r="AI357" s="190">
        <v>2</v>
      </c>
      <c r="AJ357" s="183">
        <f t="shared" si="56"/>
        <v>6372</v>
      </c>
      <c r="AK357" s="190">
        <f t="shared" si="57"/>
        <v>40.5</v>
      </c>
      <c r="AL357" s="183">
        <v>0</v>
      </c>
      <c r="AM357" s="183">
        <f t="shared" si="64"/>
        <v>2460000</v>
      </c>
      <c r="AN357" s="183">
        <f t="shared" si="58"/>
        <v>3075000</v>
      </c>
      <c r="AO357" s="183">
        <f t="shared" si="59"/>
        <v>4050000</v>
      </c>
      <c r="AP357" s="183">
        <f t="shared" si="60"/>
        <v>15483960</v>
      </c>
      <c r="AR357" s="183">
        <f t="shared" si="61"/>
        <v>0</v>
      </c>
      <c r="AS357" s="183">
        <f t="shared" si="62"/>
        <v>25068960</v>
      </c>
    </row>
    <row r="358" spans="1:49" ht="20.100000000000001" customHeight="1" x14ac:dyDescent="0.25">
      <c r="A358" s="189">
        <v>14657</v>
      </c>
      <c r="B358" s="175" t="s">
        <v>96</v>
      </c>
      <c r="C358" s="175" t="s">
        <v>39</v>
      </c>
      <c r="D358" s="190">
        <v>4</v>
      </c>
      <c r="E358" s="176">
        <v>2025</v>
      </c>
      <c r="F358" s="189">
        <v>2005</v>
      </c>
      <c r="G358" s="189" t="s">
        <v>1466</v>
      </c>
      <c r="H358" s="189" t="s">
        <v>336</v>
      </c>
      <c r="I358" s="189" t="s">
        <v>1467</v>
      </c>
      <c r="J358" s="189" t="s">
        <v>386</v>
      </c>
      <c r="K358" s="189" t="s">
        <v>387</v>
      </c>
      <c r="L358" s="189" t="s">
        <v>345</v>
      </c>
      <c r="M358" s="189" t="s">
        <v>346</v>
      </c>
      <c r="N358" s="189">
        <v>16</v>
      </c>
      <c r="O358" s="189" t="s">
        <v>808</v>
      </c>
      <c r="P358" s="189" t="s">
        <v>807</v>
      </c>
      <c r="Q358" s="189" t="s">
        <v>1493</v>
      </c>
      <c r="R358" s="189" t="s">
        <v>339</v>
      </c>
      <c r="S358" s="189" t="s">
        <v>19</v>
      </c>
      <c r="T358" s="189" t="s">
        <v>337</v>
      </c>
      <c r="U358" s="190">
        <v>15</v>
      </c>
      <c r="V358" s="190">
        <v>150</v>
      </c>
      <c r="W358" s="190">
        <v>12</v>
      </c>
      <c r="X358" s="190">
        <f>SUM(V358:W358)</f>
        <v>162</v>
      </c>
      <c r="Y358" s="190">
        <v>4</v>
      </c>
      <c r="Z358" s="190" t="s">
        <v>20</v>
      </c>
      <c r="AA358" s="190" t="s">
        <v>20</v>
      </c>
      <c r="AB358" s="189" t="s">
        <v>20</v>
      </c>
      <c r="AC358" s="189"/>
      <c r="AD358" s="189" t="s">
        <v>2279</v>
      </c>
      <c r="AE358" s="189" t="s">
        <v>18</v>
      </c>
      <c r="AF358" s="189"/>
      <c r="AG358" s="189" t="s">
        <v>1173</v>
      </c>
      <c r="AH358" s="190">
        <f t="shared" si="55"/>
        <v>41</v>
      </c>
      <c r="AI358" s="190">
        <v>2</v>
      </c>
      <c r="AJ358" s="183">
        <f t="shared" si="56"/>
        <v>6372</v>
      </c>
      <c r="AK358" s="190">
        <f t="shared" si="57"/>
        <v>40.5</v>
      </c>
      <c r="AL358" s="183">
        <v>0</v>
      </c>
      <c r="AM358" s="183">
        <f t="shared" si="64"/>
        <v>2460000</v>
      </c>
      <c r="AN358" s="183">
        <f t="shared" si="58"/>
        <v>3075000</v>
      </c>
      <c r="AO358" s="183">
        <f t="shared" si="59"/>
        <v>4050000</v>
      </c>
      <c r="AP358" s="183">
        <f t="shared" si="60"/>
        <v>15483960</v>
      </c>
      <c r="AR358" s="183">
        <f t="shared" si="61"/>
        <v>0</v>
      </c>
      <c r="AS358" s="183">
        <f t="shared" si="62"/>
        <v>25068960</v>
      </c>
    </row>
    <row r="359" spans="1:49" ht="20.100000000000001" customHeight="1" x14ac:dyDescent="0.25">
      <c r="A359" s="189">
        <v>14658</v>
      </c>
      <c r="B359" s="175" t="s">
        <v>96</v>
      </c>
      <c r="C359" s="175" t="s">
        <v>39</v>
      </c>
      <c r="D359" s="190">
        <v>4</v>
      </c>
      <c r="E359" s="176">
        <v>2025</v>
      </c>
      <c r="F359" s="189">
        <v>2005</v>
      </c>
      <c r="G359" s="189" t="s">
        <v>1466</v>
      </c>
      <c r="H359" s="189" t="s">
        <v>336</v>
      </c>
      <c r="I359" s="189" t="s">
        <v>1467</v>
      </c>
      <c r="J359" s="189" t="s">
        <v>386</v>
      </c>
      <c r="K359" s="189" t="s">
        <v>387</v>
      </c>
      <c r="L359" s="189" t="s">
        <v>345</v>
      </c>
      <c r="M359" s="189" t="s">
        <v>346</v>
      </c>
      <c r="N359" s="189">
        <v>16</v>
      </c>
      <c r="O359" s="189" t="s">
        <v>808</v>
      </c>
      <c r="P359" s="189" t="s">
        <v>855</v>
      </c>
      <c r="Q359" s="189" t="s">
        <v>1493</v>
      </c>
      <c r="R359" s="189" t="s">
        <v>339</v>
      </c>
      <c r="S359" s="189" t="s">
        <v>19</v>
      </c>
      <c r="T359" s="189" t="s">
        <v>337</v>
      </c>
      <c r="U359" s="190">
        <v>15</v>
      </c>
      <c r="V359" s="190">
        <v>150</v>
      </c>
      <c r="W359" s="190">
        <v>12</v>
      </c>
      <c r="X359" s="190">
        <f>SUM(V359:W359)</f>
        <v>162</v>
      </c>
      <c r="Y359" s="190">
        <v>4</v>
      </c>
      <c r="Z359" s="190" t="s">
        <v>20</v>
      </c>
      <c r="AA359" s="190" t="s">
        <v>20</v>
      </c>
      <c r="AB359" s="189" t="s">
        <v>20</v>
      </c>
      <c r="AC359" s="189"/>
      <c r="AD359" s="189" t="s">
        <v>2280</v>
      </c>
      <c r="AE359" s="189" t="s">
        <v>18</v>
      </c>
      <c r="AF359" s="189"/>
      <c r="AG359" s="189" t="s">
        <v>1173</v>
      </c>
      <c r="AH359" s="190">
        <f t="shared" si="55"/>
        <v>41</v>
      </c>
      <c r="AI359" s="190">
        <v>2</v>
      </c>
      <c r="AJ359" s="183">
        <f t="shared" si="56"/>
        <v>6372</v>
      </c>
      <c r="AK359" s="190">
        <f t="shared" si="57"/>
        <v>40.5</v>
      </c>
      <c r="AL359" s="183">
        <v>0</v>
      </c>
      <c r="AM359" s="183">
        <f t="shared" si="64"/>
        <v>2460000</v>
      </c>
      <c r="AN359" s="183">
        <f t="shared" si="58"/>
        <v>3075000</v>
      </c>
      <c r="AO359" s="183">
        <f t="shared" si="59"/>
        <v>4050000</v>
      </c>
      <c r="AP359" s="183">
        <f t="shared" si="60"/>
        <v>15483960</v>
      </c>
      <c r="AR359" s="183">
        <f t="shared" si="61"/>
        <v>0</v>
      </c>
      <c r="AS359" s="183">
        <f t="shared" si="62"/>
        <v>25068960</v>
      </c>
    </row>
    <row r="360" spans="1:49" ht="20.100000000000001" customHeight="1" x14ac:dyDescent="0.25">
      <c r="A360" s="189">
        <v>14660</v>
      </c>
      <c r="B360" s="175" t="s">
        <v>96</v>
      </c>
      <c r="C360" s="175" t="s">
        <v>39</v>
      </c>
      <c r="D360" s="190">
        <v>4</v>
      </c>
      <c r="E360" s="176">
        <v>2025</v>
      </c>
      <c r="F360" s="189">
        <v>2005</v>
      </c>
      <c r="G360" s="189" t="s">
        <v>1466</v>
      </c>
      <c r="H360" s="189" t="s">
        <v>336</v>
      </c>
      <c r="I360" s="189" t="s">
        <v>1467</v>
      </c>
      <c r="J360" s="189" t="s">
        <v>865</v>
      </c>
      <c r="K360" s="189" t="s">
        <v>864</v>
      </c>
      <c r="L360" s="189" t="s">
        <v>345</v>
      </c>
      <c r="M360" s="189" t="s">
        <v>346</v>
      </c>
      <c r="N360" s="189">
        <v>16</v>
      </c>
      <c r="O360" s="189" t="s">
        <v>808</v>
      </c>
      <c r="P360" s="189" t="s">
        <v>830</v>
      </c>
      <c r="Q360" s="189" t="s">
        <v>1493</v>
      </c>
      <c r="R360" s="189" t="s">
        <v>339</v>
      </c>
      <c r="S360" s="189" t="s">
        <v>19</v>
      </c>
      <c r="T360" s="189" t="s">
        <v>337</v>
      </c>
      <c r="U360" s="190">
        <v>15</v>
      </c>
      <c r="V360" s="190">
        <v>190</v>
      </c>
      <c r="W360" s="190">
        <v>12</v>
      </c>
      <c r="X360" s="190">
        <f>SUM(V360:W360)</f>
        <v>202</v>
      </c>
      <c r="Y360" s="190">
        <v>4</v>
      </c>
      <c r="Z360" s="190" t="s">
        <v>20</v>
      </c>
      <c r="AA360" s="190" t="s">
        <v>20</v>
      </c>
      <c r="AB360" s="189" t="s">
        <v>20</v>
      </c>
      <c r="AC360" s="189"/>
      <c r="AD360" s="189" t="s">
        <v>2281</v>
      </c>
      <c r="AE360" s="190" t="s">
        <v>20</v>
      </c>
      <c r="AF360" s="189" t="s">
        <v>1009</v>
      </c>
      <c r="AG360" s="189" t="s">
        <v>1173</v>
      </c>
      <c r="AH360" s="190">
        <f t="shared" si="55"/>
        <v>51</v>
      </c>
      <c r="AI360" s="190">
        <v>2</v>
      </c>
      <c r="AJ360" s="183">
        <f t="shared" si="56"/>
        <v>6372</v>
      </c>
      <c r="AK360" s="190">
        <f t="shared" si="57"/>
        <v>50.5</v>
      </c>
      <c r="AL360" s="183">
        <v>300000</v>
      </c>
      <c r="AM360" s="183">
        <f t="shared" si="64"/>
        <v>3060000</v>
      </c>
      <c r="AN360" s="183">
        <f t="shared" si="58"/>
        <v>3825000</v>
      </c>
      <c r="AO360" s="183">
        <f t="shared" si="59"/>
        <v>4050000</v>
      </c>
      <c r="AP360" s="183">
        <f t="shared" si="60"/>
        <v>19307160</v>
      </c>
      <c r="AR360" s="183">
        <f t="shared" si="61"/>
        <v>4500000</v>
      </c>
      <c r="AS360" s="183">
        <f t="shared" si="62"/>
        <v>34742160</v>
      </c>
    </row>
    <row r="361" spans="1:49" ht="20.100000000000001" customHeight="1" x14ac:dyDescent="0.25">
      <c r="A361" s="184">
        <v>14542</v>
      </c>
      <c r="B361" s="184" t="s">
        <v>1491</v>
      </c>
      <c r="C361" s="184" t="s">
        <v>1492</v>
      </c>
      <c r="D361" s="179">
        <v>1</v>
      </c>
      <c r="E361" s="179">
        <v>2025</v>
      </c>
      <c r="F361" s="179">
        <v>2025</v>
      </c>
      <c r="G361" s="177" t="s">
        <v>1466</v>
      </c>
      <c r="H361" s="184" t="s">
        <v>336</v>
      </c>
      <c r="I361" s="184" t="s">
        <v>1467</v>
      </c>
      <c r="J361" s="177" t="s">
        <v>410</v>
      </c>
      <c r="K361" s="184" t="s">
        <v>411</v>
      </c>
      <c r="L361" s="184" t="s">
        <v>345</v>
      </c>
      <c r="M361" s="184" t="s">
        <v>346</v>
      </c>
      <c r="N361" s="184">
        <v>9</v>
      </c>
      <c r="O361" s="184" t="s">
        <v>424</v>
      </c>
      <c r="P361" s="184" t="s">
        <v>2282</v>
      </c>
      <c r="Q361" s="184" t="s">
        <v>1493</v>
      </c>
      <c r="R361" s="184" t="s">
        <v>339</v>
      </c>
      <c r="S361" s="184" t="s">
        <v>19</v>
      </c>
      <c r="T361" s="184" t="s">
        <v>337</v>
      </c>
      <c r="U361" s="185">
        <v>20</v>
      </c>
      <c r="V361" s="185">
        <v>260</v>
      </c>
      <c r="W361" s="185">
        <v>12</v>
      </c>
      <c r="X361" s="179">
        <f>(SUM(V361:W361))*1</f>
        <v>272</v>
      </c>
      <c r="Y361" s="185">
        <v>4</v>
      </c>
      <c r="Z361" s="185" t="s">
        <v>20</v>
      </c>
      <c r="AA361" s="185" t="s">
        <v>20</v>
      </c>
      <c r="AB361" s="185" t="s">
        <v>20</v>
      </c>
      <c r="AC361" s="186"/>
      <c r="AD361" s="181" t="s">
        <v>2283</v>
      </c>
      <c r="AE361" s="185" t="s">
        <v>20</v>
      </c>
      <c r="AF361" s="186" t="s">
        <v>2284</v>
      </c>
      <c r="AG361" s="184" t="s">
        <v>1495</v>
      </c>
      <c r="AH361" s="179">
        <f t="shared" si="55"/>
        <v>68</v>
      </c>
      <c r="AI361" s="179">
        <v>2</v>
      </c>
      <c r="AJ361" s="183">
        <f t="shared" si="56"/>
        <v>6372</v>
      </c>
      <c r="AK361" s="179">
        <f t="shared" si="57"/>
        <v>68</v>
      </c>
      <c r="AL361" s="183">
        <v>300000</v>
      </c>
      <c r="AM361" s="183">
        <f t="shared" si="64"/>
        <v>5440000</v>
      </c>
      <c r="AN361" s="183">
        <f t="shared" si="58"/>
        <v>6800000</v>
      </c>
      <c r="AO361" s="183">
        <f t="shared" si="59"/>
        <v>5400000</v>
      </c>
      <c r="AP361" s="183">
        <f t="shared" si="60"/>
        <v>34663680</v>
      </c>
      <c r="AR361" s="183">
        <f>+(AL361*U361)</f>
        <v>6000000</v>
      </c>
      <c r="AS361" s="183">
        <f>+(AM361+AN361+AO361+AP361+AR361)</f>
        <v>58303680</v>
      </c>
    </row>
    <row r="362" spans="1:49" ht="20.100000000000001" customHeight="1" x14ac:dyDescent="0.25">
      <c r="A362" s="194">
        <v>14661</v>
      </c>
      <c r="B362" s="175" t="s">
        <v>96</v>
      </c>
      <c r="C362" s="175" t="s">
        <v>39</v>
      </c>
      <c r="D362" s="190">
        <v>4</v>
      </c>
      <c r="E362" s="176">
        <v>2025</v>
      </c>
      <c r="F362" s="194">
        <v>2005</v>
      </c>
      <c r="G362" s="194" t="s">
        <v>1466</v>
      </c>
      <c r="H362" s="194" t="s">
        <v>336</v>
      </c>
      <c r="I362" s="194" t="s">
        <v>1467</v>
      </c>
      <c r="J362" s="194" t="s">
        <v>2285</v>
      </c>
      <c r="K362" s="194" t="s">
        <v>2286</v>
      </c>
      <c r="L362" s="194" t="s">
        <v>345</v>
      </c>
      <c r="M362" s="194" t="s">
        <v>346</v>
      </c>
      <c r="N362" s="194">
        <v>16</v>
      </c>
      <c r="O362" s="194" t="s">
        <v>808</v>
      </c>
      <c r="P362" s="194" t="s">
        <v>845</v>
      </c>
      <c r="Q362" s="194" t="s">
        <v>1493</v>
      </c>
      <c r="R362" s="194" t="s">
        <v>339</v>
      </c>
      <c r="S362" s="194" t="s">
        <v>19</v>
      </c>
      <c r="T362" s="194" t="s">
        <v>337</v>
      </c>
      <c r="U362" s="195">
        <v>15</v>
      </c>
      <c r="V362" s="195">
        <v>150</v>
      </c>
      <c r="W362" s="195">
        <v>12</v>
      </c>
      <c r="X362" s="195">
        <f t="shared" ref="X362:X372" si="65">SUM(V362:W362)</f>
        <v>162</v>
      </c>
      <c r="Y362" s="195">
        <v>4</v>
      </c>
      <c r="Z362" s="195" t="s">
        <v>20</v>
      </c>
      <c r="AA362" s="195" t="s">
        <v>20</v>
      </c>
      <c r="AB362" s="194" t="s">
        <v>20</v>
      </c>
      <c r="AC362" s="189"/>
      <c r="AD362" s="194" t="s">
        <v>2287</v>
      </c>
      <c r="AE362" s="194" t="s">
        <v>18</v>
      </c>
      <c r="AF362" s="194"/>
      <c r="AG362" s="194" t="s">
        <v>1173</v>
      </c>
      <c r="AH362" s="195">
        <f t="shared" si="55"/>
        <v>41</v>
      </c>
      <c r="AI362" s="195">
        <v>2</v>
      </c>
      <c r="AJ362" s="183">
        <f t="shared" si="56"/>
        <v>6372</v>
      </c>
      <c r="AK362" s="195">
        <f t="shared" si="57"/>
        <v>40.5</v>
      </c>
      <c r="AL362" s="183">
        <v>0</v>
      </c>
      <c r="AM362" s="183">
        <f t="shared" si="64"/>
        <v>2460000</v>
      </c>
      <c r="AN362" s="183">
        <f t="shared" si="58"/>
        <v>3075000</v>
      </c>
      <c r="AO362" s="183">
        <f t="shared" si="59"/>
        <v>4050000</v>
      </c>
      <c r="AP362" s="183">
        <f t="shared" si="60"/>
        <v>15483960</v>
      </c>
      <c r="AR362" s="183">
        <f t="shared" ref="AR362:AR372" si="66">+(AL362*U362)</f>
        <v>0</v>
      </c>
      <c r="AS362" s="183">
        <f t="shared" ref="AS362:AS372" si="67">+(AM362+AN362+AO362+AP362+AR362)</f>
        <v>25068960</v>
      </c>
    </row>
    <row r="363" spans="1:49" ht="20.100000000000001" customHeight="1" x14ac:dyDescent="0.25">
      <c r="A363" s="194">
        <v>14662</v>
      </c>
      <c r="B363" s="175" t="s">
        <v>96</v>
      </c>
      <c r="C363" s="175" t="s">
        <v>39</v>
      </c>
      <c r="D363" s="190">
        <v>4</v>
      </c>
      <c r="E363" s="176">
        <v>2025</v>
      </c>
      <c r="F363" s="194">
        <v>2005</v>
      </c>
      <c r="G363" s="194" t="s">
        <v>1466</v>
      </c>
      <c r="H363" s="194" t="s">
        <v>336</v>
      </c>
      <c r="I363" s="194" t="s">
        <v>1467</v>
      </c>
      <c r="J363" s="194" t="s">
        <v>2285</v>
      </c>
      <c r="K363" s="194" t="s">
        <v>2286</v>
      </c>
      <c r="L363" s="194" t="s">
        <v>345</v>
      </c>
      <c r="M363" s="194" t="s">
        <v>346</v>
      </c>
      <c r="N363" s="194">
        <v>16</v>
      </c>
      <c r="O363" s="194" t="s">
        <v>808</v>
      </c>
      <c r="P363" s="194" t="s">
        <v>2288</v>
      </c>
      <c r="Q363" s="194" t="s">
        <v>1493</v>
      </c>
      <c r="R363" s="194" t="s">
        <v>339</v>
      </c>
      <c r="S363" s="194" t="s">
        <v>19</v>
      </c>
      <c r="T363" s="194" t="s">
        <v>337</v>
      </c>
      <c r="U363" s="195">
        <v>15</v>
      </c>
      <c r="V363" s="195">
        <v>150</v>
      </c>
      <c r="W363" s="195">
        <v>12</v>
      </c>
      <c r="X363" s="195">
        <f t="shared" si="65"/>
        <v>162</v>
      </c>
      <c r="Y363" s="195">
        <v>4</v>
      </c>
      <c r="Z363" s="195" t="s">
        <v>20</v>
      </c>
      <c r="AA363" s="195" t="s">
        <v>20</v>
      </c>
      <c r="AB363" s="194" t="s">
        <v>20</v>
      </c>
      <c r="AC363" s="189"/>
      <c r="AD363" s="194" t="s">
        <v>2289</v>
      </c>
      <c r="AE363" s="194" t="s">
        <v>18</v>
      </c>
      <c r="AF363" s="194"/>
      <c r="AG363" s="194" t="s">
        <v>1173</v>
      </c>
      <c r="AH363" s="195">
        <f t="shared" si="55"/>
        <v>41</v>
      </c>
      <c r="AI363" s="195">
        <v>2</v>
      </c>
      <c r="AJ363" s="183">
        <f t="shared" si="56"/>
        <v>6372</v>
      </c>
      <c r="AK363" s="195">
        <f t="shared" si="57"/>
        <v>40.5</v>
      </c>
      <c r="AL363" s="183">
        <v>0</v>
      </c>
      <c r="AM363" s="183">
        <f t="shared" si="64"/>
        <v>2460000</v>
      </c>
      <c r="AN363" s="183">
        <f t="shared" si="58"/>
        <v>3075000</v>
      </c>
      <c r="AO363" s="183">
        <f t="shared" si="59"/>
        <v>4050000</v>
      </c>
      <c r="AP363" s="183">
        <f t="shared" si="60"/>
        <v>15483960</v>
      </c>
      <c r="AR363" s="183">
        <f t="shared" si="66"/>
        <v>0</v>
      </c>
      <c r="AS363" s="183">
        <f t="shared" si="67"/>
        <v>25068960</v>
      </c>
    </row>
    <row r="364" spans="1:49" ht="20.100000000000001" customHeight="1" x14ac:dyDescent="0.25">
      <c r="A364" s="194">
        <v>14663</v>
      </c>
      <c r="B364" s="175" t="s">
        <v>96</v>
      </c>
      <c r="C364" s="175" t="s">
        <v>39</v>
      </c>
      <c r="D364" s="190">
        <v>4</v>
      </c>
      <c r="E364" s="176">
        <v>2025</v>
      </c>
      <c r="F364" s="194">
        <v>2005</v>
      </c>
      <c r="G364" s="194" t="s">
        <v>1466</v>
      </c>
      <c r="H364" s="194" t="s">
        <v>336</v>
      </c>
      <c r="I364" s="194" t="s">
        <v>1467</v>
      </c>
      <c r="J364" s="194" t="s">
        <v>2285</v>
      </c>
      <c r="K364" s="194" t="s">
        <v>2286</v>
      </c>
      <c r="L364" s="194" t="s">
        <v>345</v>
      </c>
      <c r="M364" s="194" t="s">
        <v>346</v>
      </c>
      <c r="N364" s="194">
        <v>16</v>
      </c>
      <c r="O364" s="194" t="s">
        <v>808</v>
      </c>
      <c r="P364" s="194" t="s">
        <v>860</v>
      </c>
      <c r="Q364" s="194" t="s">
        <v>1493</v>
      </c>
      <c r="R364" s="194" t="s">
        <v>339</v>
      </c>
      <c r="S364" s="194" t="s">
        <v>19</v>
      </c>
      <c r="T364" s="194" t="s">
        <v>337</v>
      </c>
      <c r="U364" s="195">
        <v>15</v>
      </c>
      <c r="V364" s="195">
        <v>150</v>
      </c>
      <c r="W364" s="195">
        <v>12</v>
      </c>
      <c r="X364" s="195">
        <f t="shared" si="65"/>
        <v>162</v>
      </c>
      <c r="Y364" s="195">
        <v>4</v>
      </c>
      <c r="Z364" s="195" t="s">
        <v>20</v>
      </c>
      <c r="AA364" s="195" t="s">
        <v>20</v>
      </c>
      <c r="AB364" s="194" t="s">
        <v>20</v>
      </c>
      <c r="AC364" s="189"/>
      <c r="AD364" s="194" t="s">
        <v>2290</v>
      </c>
      <c r="AE364" s="194" t="s">
        <v>18</v>
      </c>
      <c r="AF364" s="194"/>
      <c r="AG364" s="194" t="s">
        <v>1173</v>
      </c>
      <c r="AH364" s="195">
        <f t="shared" si="55"/>
        <v>41</v>
      </c>
      <c r="AI364" s="195">
        <v>2</v>
      </c>
      <c r="AJ364" s="183">
        <f t="shared" si="56"/>
        <v>6372</v>
      </c>
      <c r="AK364" s="195">
        <f t="shared" si="57"/>
        <v>40.5</v>
      </c>
      <c r="AL364" s="183">
        <v>0</v>
      </c>
      <c r="AM364" s="183">
        <f t="shared" si="64"/>
        <v>2460000</v>
      </c>
      <c r="AN364" s="183">
        <f t="shared" si="58"/>
        <v>3075000</v>
      </c>
      <c r="AO364" s="183">
        <f t="shared" si="59"/>
        <v>4050000</v>
      </c>
      <c r="AP364" s="183">
        <f t="shared" si="60"/>
        <v>15483960</v>
      </c>
      <c r="AR364" s="183">
        <f t="shared" si="66"/>
        <v>0</v>
      </c>
      <c r="AS364" s="183">
        <f t="shared" si="67"/>
        <v>25068960</v>
      </c>
    </row>
    <row r="365" spans="1:49" ht="20.100000000000001" customHeight="1" x14ac:dyDescent="0.25">
      <c r="A365" s="194">
        <v>14664</v>
      </c>
      <c r="B365" s="175" t="s">
        <v>96</v>
      </c>
      <c r="C365" s="175" t="s">
        <v>39</v>
      </c>
      <c r="D365" s="190">
        <v>4</v>
      </c>
      <c r="E365" s="176">
        <v>2025</v>
      </c>
      <c r="F365" s="194">
        <v>2005</v>
      </c>
      <c r="G365" s="194" t="s">
        <v>1466</v>
      </c>
      <c r="H365" s="194" t="s">
        <v>336</v>
      </c>
      <c r="I365" s="194" t="s">
        <v>1467</v>
      </c>
      <c r="J365" s="194" t="s">
        <v>1171</v>
      </c>
      <c r="K365" s="194" t="s">
        <v>1172</v>
      </c>
      <c r="L365" s="194" t="s">
        <v>345</v>
      </c>
      <c r="M365" s="194" t="s">
        <v>346</v>
      </c>
      <c r="N365" s="194">
        <v>16</v>
      </c>
      <c r="O365" s="194" t="s">
        <v>808</v>
      </c>
      <c r="P365" s="194" t="s">
        <v>2291</v>
      </c>
      <c r="Q365" s="194" t="s">
        <v>1493</v>
      </c>
      <c r="R365" s="194" t="s">
        <v>339</v>
      </c>
      <c r="S365" s="194" t="s">
        <v>19</v>
      </c>
      <c r="T365" s="194" t="s">
        <v>337</v>
      </c>
      <c r="U365" s="195">
        <v>15</v>
      </c>
      <c r="V365" s="195">
        <v>120</v>
      </c>
      <c r="W365" s="195">
        <v>12</v>
      </c>
      <c r="X365" s="195">
        <f t="shared" si="65"/>
        <v>132</v>
      </c>
      <c r="Y365" s="195">
        <v>4</v>
      </c>
      <c r="Z365" s="195" t="s">
        <v>20</v>
      </c>
      <c r="AA365" s="195" t="s">
        <v>20</v>
      </c>
      <c r="AB365" s="194" t="s">
        <v>20</v>
      </c>
      <c r="AC365" s="189"/>
      <c r="AD365" s="194" t="s">
        <v>2292</v>
      </c>
      <c r="AE365" s="194" t="s">
        <v>18</v>
      </c>
      <c r="AF365" s="194"/>
      <c r="AG365" s="194" t="s">
        <v>1173</v>
      </c>
      <c r="AH365" s="195">
        <f t="shared" si="55"/>
        <v>33</v>
      </c>
      <c r="AI365" s="195">
        <v>2</v>
      </c>
      <c r="AJ365" s="183">
        <f t="shared" si="56"/>
        <v>6372</v>
      </c>
      <c r="AK365" s="195">
        <f t="shared" si="57"/>
        <v>33</v>
      </c>
      <c r="AL365" s="183">
        <v>0</v>
      </c>
      <c r="AM365" s="183">
        <f t="shared" si="64"/>
        <v>1980000</v>
      </c>
      <c r="AN365" s="183">
        <f t="shared" si="58"/>
        <v>2475000</v>
      </c>
      <c r="AO365" s="183">
        <f t="shared" si="59"/>
        <v>4050000</v>
      </c>
      <c r="AP365" s="183">
        <f t="shared" si="60"/>
        <v>12616560</v>
      </c>
      <c r="AR365" s="183">
        <f t="shared" si="66"/>
        <v>0</v>
      </c>
      <c r="AS365" s="183">
        <f t="shared" si="67"/>
        <v>21121560</v>
      </c>
    </row>
    <row r="366" spans="1:49" ht="20.100000000000001" customHeight="1" x14ac:dyDescent="0.25">
      <c r="A366" s="189">
        <v>14665</v>
      </c>
      <c r="B366" s="175" t="s">
        <v>96</v>
      </c>
      <c r="C366" s="175" t="s">
        <v>39</v>
      </c>
      <c r="D366" s="190">
        <v>4</v>
      </c>
      <c r="E366" s="176">
        <v>2025</v>
      </c>
      <c r="F366" s="189">
        <v>2005</v>
      </c>
      <c r="G366" s="189" t="s">
        <v>1466</v>
      </c>
      <c r="H366" s="189" t="s">
        <v>336</v>
      </c>
      <c r="I366" s="189" t="s">
        <v>1467</v>
      </c>
      <c r="J366" s="189" t="s">
        <v>747</v>
      </c>
      <c r="K366" s="189" t="s">
        <v>746</v>
      </c>
      <c r="L366" s="189" t="s">
        <v>345</v>
      </c>
      <c r="M366" s="189" t="s">
        <v>346</v>
      </c>
      <c r="N366" s="189">
        <v>16</v>
      </c>
      <c r="O366" s="189" t="s">
        <v>808</v>
      </c>
      <c r="P366" s="189" t="s">
        <v>725</v>
      </c>
      <c r="Q366" s="189" t="s">
        <v>1493</v>
      </c>
      <c r="R366" s="189" t="s">
        <v>339</v>
      </c>
      <c r="S366" s="189" t="s">
        <v>19</v>
      </c>
      <c r="T366" s="189" t="s">
        <v>337</v>
      </c>
      <c r="U366" s="190">
        <v>15</v>
      </c>
      <c r="V366" s="190">
        <v>240</v>
      </c>
      <c r="W366" s="190">
        <v>12</v>
      </c>
      <c r="X366" s="190">
        <f t="shared" si="65"/>
        <v>252</v>
      </c>
      <c r="Y366" s="190">
        <v>4</v>
      </c>
      <c r="Z366" s="190" t="s">
        <v>20</v>
      </c>
      <c r="AA366" s="190" t="s">
        <v>20</v>
      </c>
      <c r="AB366" s="189" t="s">
        <v>20</v>
      </c>
      <c r="AC366" s="189"/>
      <c r="AD366" s="189" t="s">
        <v>2293</v>
      </c>
      <c r="AE366" s="189" t="s">
        <v>18</v>
      </c>
      <c r="AF366" s="189"/>
      <c r="AG366" s="189" t="s">
        <v>1173</v>
      </c>
      <c r="AH366" s="190">
        <f t="shared" si="55"/>
        <v>63</v>
      </c>
      <c r="AI366" s="190">
        <v>2</v>
      </c>
      <c r="AJ366" s="183">
        <f t="shared" si="56"/>
        <v>6372</v>
      </c>
      <c r="AK366" s="190">
        <f t="shared" si="57"/>
        <v>63</v>
      </c>
      <c r="AL366" s="183">
        <v>0</v>
      </c>
      <c r="AM366" s="183">
        <f t="shared" si="64"/>
        <v>3780000</v>
      </c>
      <c r="AN366" s="183">
        <f t="shared" si="58"/>
        <v>4725000</v>
      </c>
      <c r="AO366" s="183">
        <f t="shared" si="59"/>
        <v>4050000</v>
      </c>
      <c r="AP366" s="183">
        <f t="shared" si="60"/>
        <v>24086160</v>
      </c>
      <c r="AR366" s="183">
        <f t="shared" si="66"/>
        <v>0</v>
      </c>
      <c r="AS366" s="183">
        <f t="shared" si="67"/>
        <v>36641160</v>
      </c>
    </row>
    <row r="367" spans="1:49" ht="20.100000000000001" customHeight="1" x14ac:dyDescent="0.25">
      <c r="A367" s="189">
        <v>14666</v>
      </c>
      <c r="B367" s="175" t="s">
        <v>96</v>
      </c>
      <c r="C367" s="175" t="s">
        <v>39</v>
      </c>
      <c r="D367" s="190">
        <v>4</v>
      </c>
      <c r="E367" s="176">
        <v>2025</v>
      </c>
      <c r="F367" s="189">
        <v>2005</v>
      </c>
      <c r="G367" s="189" t="s">
        <v>1466</v>
      </c>
      <c r="H367" s="189" t="s">
        <v>336</v>
      </c>
      <c r="I367" s="189" t="s">
        <v>1467</v>
      </c>
      <c r="J367" s="189" t="s">
        <v>413</v>
      </c>
      <c r="K367" s="189" t="s">
        <v>414</v>
      </c>
      <c r="L367" s="189" t="s">
        <v>345</v>
      </c>
      <c r="M367" s="189" t="s">
        <v>346</v>
      </c>
      <c r="N367" s="189">
        <v>16</v>
      </c>
      <c r="O367" s="189" t="s">
        <v>808</v>
      </c>
      <c r="P367" s="189" t="s">
        <v>431</v>
      </c>
      <c r="Q367" s="189" t="s">
        <v>2294</v>
      </c>
      <c r="R367" s="189" t="s">
        <v>339</v>
      </c>
      <c r="S367" s="189" t="s">
        <v>19</v>
      </c>
      <c r="T367" s="189" t="s">
        <v>337</v>
      </c>
      <c r="U367" s="190">
        <v>15</v>
      </c>
      <c r="V367" s="190">
        <v>100</v>
      </c>
      <c r="W367" s="190">
        <v>12</v>
      </c>
      <c r="X367" s="190">
        <f t="shared" si="65"/>
        <v>112</v>
      </c>
      <c r="Y367" s="190">
        <v>4</v>
      </c>
      <c r="Z367" s="190" t="s">
        <v>20</v>
      </c>
      <c r="AA367" s="190" t="s">
        <v>20</v>
      </c>
      <c r="AB367" s="189" t="s">
        <v>20</v>
      </c>
      <c r="AC367" s="189"/>
      <c r="AD367" s="189" t="s">
        <v>2295</v>
      </c>
      <c r="AE367" s="189" t="s">
        <v>18</v>
      </c>
      <c r="AF367" s="189"/>
      <c r="AG367" s="189" t="s">
        <v>1173</v>
      </c>
      <c r="AH367" s="190">
        <f t="shared" si="55"/>
        <v>28</v>
      </c>
      <c r="AI367" s="190">
        <v>1</v>
      </c>
      <c r="AJ367" s="183">
        <f t="shared" si="56"/>
        <v>5074</v>
      </c>
      <c r="AK367" s="190">
        <f t="shared" si="57"/>
        <v>28</v>
      </c>
      <c r="AL367" s="183">
        <v>0</v>
      </c>
      <c r="AM367" s="183">
        <f t="shared" si="64"/>
        <v>1680000</v>
      </c>
      <c r="AN367" s="183">
        <f t="shared" si="58"/>
        <v>2100000</v>
      </c>
      <c r="AO367" s="183">
        <f t="shared" si="59"/>
        <v>4050000</v>
      </c>
      <c r="AP367" s="183">
        <f t="shared" si="60"/>
        <v>8524320</v>
      </c>
      <c r="AR367" s="183">
        <f t="shared" si="66"/>
        <v>0</v>
      </c>
      <c r="AS367" s="183">
        <f t="shared" si="67"/>
        <v>16354320</v>
      </c>
    </row>
    <row r="368" spans="1:49" ht="20.100000000000001" customHeight="1" x14ac:dyDescent="0.25">
      <c r="A368" s="189">
        <v>14667</v>
      </c>
      <c r="B368" s="175" t="s">
        <v>96</v>
      </c>
      <c r="C368" s="175" t="s">
        <v>39</v>
      </c>
      <c r="D368" s="190">
        <v>4</v>
      </c>
      <c r="E368" s="176">
        <v>2025</v>
      </c>
      <c r="F368" s="189">
        <v>2005</v>
      </c>
      <c r="G368" s="189" t="s">
        <v>1466</v>
      </c>
      <c r="H368" s="189" t="s">
        <v>336</v>
      </c>
      <c r="I368" s="189" t="s">
        <v>1467</v>
      </c>
      <c r="J368" s="189" t="s">
        <v>413</v>
      </c>
      <c r="K368" s="189" t="s">
        <v>414</v>
      </c>
      <c r="L368" s="189" t="s">
        <v>345</v>
      </c>
      <c r="M368" s="189" t="s">
        <v>346</v>
      </c>
      <c r="N368" s="189">
        <v>16</v>
      </c>
      <c r="O368" s="189" t="s">
        <v>808</v>
      </c>
      <c r="P368" s="189" t="s">
        <v>431</v>
      </c>
      <c r="Q368" s="189" t="s">
        <v>2294</v>
      </c>
      <c r="R368" s="189" t="s">
        <v>339</v>
      </c>
      <c r="S368" s="189" t="s">
        <v>19</v>
      </c>
      <c r="T368" s="189" t="s">
        <v>337</v>
      </c>
      <c r="U368" s="190">
        <v>15</v>
      </c>
      <c r="V368" s="190">
        <v>100</v>
      </c>
      <c r="W368" s="190">
        <v>12</v>
      </c>
      <c r="X368" s="190">
        <f t="shared" si="65"/>
        <v>112</v>
      </c>
      <c r="Y368" s="190">
        <v>4</v>
      </c>
      <c r="Z368" s="190" t="s">
        <v>20</v>
      </c>
      <c r="AA368" s="190" t="s">
        <v>20</v>
      </c>
      <c r="AB368" s="189" t="s">
        <v>20</v>
      </c>
      <c r="AC368" s="189"/>
      <c r="AD368" s="189" t="s">
        <v>2296</v>
      </c>
      <c r="AE368" s="189" t="s">
        <v>18</v>
      </c>
      <c r="AF368" s="189"/>
      <c r="AG368" s="189" t="s">
        <v>1173</v>
      </c>
      <c r="AH368" s="190">
        <f t="shared" si="55"/>
        <v>28</v>
      </c>
      <c r="AI368" s="190">
        <v>1</v>
      </c>
      <c r="AJ368" s="183">
        <f t="shared" si="56"/>
        <v>5074</v>
      </c>
      <c r="AK368" s="190">
        <f t="shared" si="57"/>
        <v>28</v>
      </c>
      <c r="AL368" s="183">
        <v>0</v>
      </c>
      <c r="AM368" s="183">
        <f t="shared" si="64"/>
        <v>1680000</v>
      </c>
      <c r="AN368" s="183">
        <f t="shared" si="58"/>
        <v>2100000</v>
      </c>
      <c r="AO368" s="183">
        <f t="shared" si="59"/>
        <v>4050000</v>
      </c>
      <c r="AP368" s="183">
        <f t="shared" si="60"/>
        <v>8524320</v>
      </c>
      <c r="AR368" s="183">
        <f t="shared" si="66"/>
        <v>0</v>
      </c>
      <c r="AS368" s="183">
        <f t="shared" si="67"/>
        <v>16354320</v>
      </c>
    </row>
    <row r="369" spans="1:49" ht="20.100000000000001" customHeight="1" x14ac:dyDescent="0.25">
      <c r="A369" s="189">
        <v>14668</v>
      </c>
      <c r="B369" s="175" t="s">
        <v>96</v>
      </c>
      <c r="C369" s="175" t="s">
        <v>39</v>
      </c>
      <c r="D369" s="190">
        <v>4</v>
      </c>
      <c r="E369" s="176">
        <v>2025</v>
      </c>
      <c r="F369" s="189">
        <v>2005</v>
      </c>
      <c r="G369" s="189" t="s">
        <v>1466</v>
      </c>
      <c r="H369" s="189" t="s">
        <v>336</v>
      </c>
      <c r="I369" s="189" t="s">
        <v>1467</v>
      </c>
      <c r="J369" s="189" t="s">
        <v>993</v>
      </c>
      <c r="K369" s="189" t="s">
        <v>994</v>
      </c>
      <c r="L369" s="189" t="s">
        <v>345</v>
      </c>
      <c r="M369" s="189" t="s">
        <v>346</v>
      </c>
      <c r="N369" s="189">
        <v>16</v>
      </c>
      <c r="O369" s="189" t="s">
        <v>808</v>
      </c>
      <c r="P369" s="189" t="s">
        <v>2297</v>
      </c>
      <c r="Q369" s="189" t="s">
        <v>1493</v>
      </c>
      <c r="R369" s="189" t="s">
        <v>339</v>
      </c>
      <c r="S369" s="189" t="s">
        <v>19</v>
      </c>
      <c r="T369" s="189" t="s">
        <v>337</v>
      </c>
      <c r="U369" s="190">
        <v>15</v>
      </c>
      <c r="V369" s="190">
        <v>108</v>
      </c>
      <c r="W369" s="190">
        <v>12</v>
      </c>
      <c r="X369" s="190">
        <f t="shared" si="65"/>
        <v>120</v>
      </c>
      <c r="Y369" s="190">
        <v>4</v>
      </c>
      <c r="Z369" s="190" t="s">
        <v>20</v>
      </c>
      <c r="AA369" s="190" t="s">
        <v>20</v>
      </c>
      <c r="AB369" s="189" t="s">
        <v>20</v>
      </c>
      <c r="AC369" s="189"/>
      <c r="AD369" s="189" t="s">
        <v>2298</v>
      </c>
      <c r="AE369" s="189" t="s">
        <v>18</v>
      </c>
      <c r="AF369" s="189"/>
      <c r="AG369" s="189" t="s">
        <v>1173</v>
      </c>
      <c r="AH369" s="190">
        <f t="shared" si="55"/>
        <v>30</v>
      </c>
      <c r="AI369" s="190">
        <v>2</v>
      </c>
      <c r="AJ369" s="183">
        <f t="shared" si="56"/>
        <v>6372</v>
      </c>
      <c r="AK369" s="190">
        <f t="shared" si="57"/>
        <v>30</v>
      </c>
      <c r="AL369" s="183">
        <v>0</v>
      </c>
      <c r="AM369" s="183">
        <f t="shared" si="64"/>
        <v>1800000</v>
      </c>
      <c r="AN369" s="183">
        <f t="shared" si="58"/>
        <v>2250000</v>
      </c>
      <c r="AO369" s="183">
        <f t="shared" si="59"/>
        <v>4050000</v>
      </c>
      <c r="AP369" s="183">
        <f t="shared" si="60"/>
        <v>11469600</v>
      </c>
      <c r="AR369" s="183">
        <f t="shared" si="66"/>
        <v>0</v>
      </c>
      <c r="AS369" s="183">
        <f t="shared" si="67"/>
        <v>19569600</v>
      </c>
    </row>
    <row r="370" spans="1:49" ht="20.100000000000001" customHeight="1" x14ac:dyDescent="0.25">
      <c r="A370" s="189">
        <v>14669</v>
      </c>
      <c r="B370" s="175" t="s">
        <v>96</v>
      </c>
      <c r="C370" s="175" t="s">
        <v>39</v>
      </c>
      <c r="D370" s="190">
        <v>4</v>
      </c>
      <c r="E370" s="176">
        <v>2025</v>
      </c>
      <c r="F370" s="189">
        <v>2005</v>
      </c>
      <c r="G370" s="189" t="s">
        <v>1466</v>
      </c>
      <c r="H370" s="189" t="s">
        <v>336</v>
      </c>
      <c r="I370" s="189" t="s">
        <v>1467</v>
      </c>
      <c r="J370" s="189" t="s">
        <v>993</v>
      </c>
      <c r="K370" s="189" t="s">
        <v>994</v>
      </c>
      <c r="L370" s="189" t="s">
        <v>345</v>
      </c>
      <c r="M370" s="189" t="s">
        <v>346</v>
      </c>
      <c r="N370" s="189">
        <v>16</v>
      </c>
      <c r="O370" s="189" t="s">
        <v>808</v>
      </c>
      <c r="P370" s="189" t="s">
        <v>725</v>
      </c>
      <c r="Q370" s="189" t="s">
        <v>1493</v>
      </c>
      <c r="R370" s="189" t="s">
        <v>339</v>
      </c>
      <c r="S370" s="189" t="s">
        <v>19</v>
      </c>
      <c r="T370" s="189" t="s">
        <v>337</v>
      </c>
      <c r="U370" s="190">
        <v>15</v>
      </c>
      <c r="V370" s="190">
        <v>108</v>
      </c>
      <c r="W370" s="190">
        <v>12</v>
      </c>
      <c r="X370" s="190">
        <f t="shared" si="65"/>
        <v>120</v>
      </c>
      <c r="Y370" s="190">
        <v>4</v>
      </c>
      <c r="Z370" s="190" t="s">
        <v>20</v>
      </c>
      <c r="AA370" s="190" t="s">
        <v>20</v>
      </c>
      <c r="AB370" s="189" t="s">
        <v>20</v>
      </c>
      <c r="AC370" s="189"/>
      <c r="AD370" s="189" t="s">
        <v>2299</v>
      </c>
      <c r="AE370" s="189" t="s">
        <v>18</v>
      </c>
      <c r="AF370" s="189"/>
      <c r="AG370" s="189" t="s">
        <v>1173</v>
      </c>
      <c r="AH370" s="190">
        <f t="shared" si="55"/>
        <v>30</v>
      </c>
      <c r="AI370" s="190">
        <v>2</v>
      </c>
      <c r="AJ370" s="183">
        <f t="shared" si="56"/>
        <v>6372</v>
      </c>
      <c r="AK370" s="190">
        <f t="shared" si="57"/>
        <v>30</v>
      </c>
      <c r="AL370" s="183">
        <v>0</v>
      </c>
      <c r="AM370" s="183">
        <f t="shared" si="64"/>
        <v>1800000</v>
      </c>
      <c r="AN370" s="183">
        <f t="shared" si="58"/>
        <v>2250000</v>
      </c>
      <c r="AO370" s="183">
        <f t="shared" si="59"/>
        <v>4050000</v>
      </c>
      <c r="AP370" s="183">
        <f t="shared" si="60"/>
        <v>11469600</v>
      </c>
      <c r="AR370" s="183">
        <f t="shared" si="66"/>
        <v>0</v>
      </c>
      <c r="AS370" s="183">
        <f t="shared" si="67"/>
        <v>19569600</v>
      </c>
    </row>
    <row r="371" spans="1:49" ht="20.100000000000001" customHeight="1" x14ac:dyDescent="0.25">
      <c r="A371" s="189">
        <v>14871</v>
      </c>
      <c r="B371" s="175" t="s">
        <v>96</v>
      </c>
      <c r="C371" s="175" t="s">
        <v>39</v>
      </c>
      <c r="D371" s="190">
        <v>4</v>
      </c>
      <c r="E371" s="176">
        <v>2025</v>
      </c>
      <c r="F371" s="189">
        <v>2005</v>
      </c>
      <c r="G371" s="189" t="s">
        <v>1466</v>
      </c>
      <c r="H371" s="189" t="s">
        <v>336</v>
      </c>
      <c r="I371" s="189" t="s">
        <v>1467</v>
      </c>
      <c r="J371" s="189" t="s">
        <v>772</v>
      </c>
      <c r="K371" s="189" t="s">
        <v>771</v>
      </c>
      <c r="L371" s="189" t="s">
        <v>345</v>
      </c>
      <c r="M371" s="189" t="s">
        <v>346</v>
      </c>
      <c r="N371" s="189">
        <v>16</v>
      </c>
      <c r="O371" s="189" t="s">
        <v>808</v>
      </c>
      <c r="P371" s="189" t="s">
        <v>2291</v>
      </c>
      <c r="Q371" s="189" t="s">
        <v>1493</v>
      </c>
      <c r="R371" s="189" t="s">
        <v>339</v>
      </c>
      <c r="S371" s="189" t="s">
        <v>19</v>
      </c>
      <c r="T371" s="189" t="s">
        <v>337</v>
      </c>
      <c r="U371" s="190">
        <v>15</v>
      </c>
      <c r="V371" s="190">
        <v>100</v>
      </c>
      <c r="W371" s="190">
        <v>12</v>
      </c>
      <c r="X371" s="190">
        <f t="shared" si="65"/>
        <v>112</v>
      </c>
      <c r="Y371" s="190">
        <v>4</v>
      </c>
      <c r="Z371" s="190" t="s">
        <v>20</v>
      </c>
      <c r="AA371" s="190" t="s">
        <v>20</v>
      </c>
      <c r="AB371" s="189" t="s">
        <v>20</v>
      </c>
      <c r="AC371" s="189"/>
      <c r="AD371" s="189" t="s">
        <v>2300</v>
      </c>
      <c r="AE371" s="189" t="s">
        <v>18</v>
      </c>
      <c r="AF371" s="189"/>
      <c r="AG371" s="189" t="s">
        <v>1173</v>
      </c>
      <c r="AH371" s="190">
        <f t="shared" si="55"/>
        <v>28</v>
      </c>
      <c r="AI371" s="190">
        <v>2</v>
      </c>
      <c r="AJ371" s="183">
        <f t="shared" si="56"/>
        <v>6372</v>
      </c>
      <c r="AK371" s="190">
        <f t="shared" si="57"/>
        <v>28</v>
      </c>
      <c r="AL371" s="183">
        <v>0</v>
      </c>
      <c r="AM371" s="183">
        <f t="shared" si="64"/>
        <v>1680000</v>
      </c>
      <c r="AN371" s="183">
        <f t="shared" si="58"/>
        <v>2100000</v>
      </c>
      <c r="AO371" s="183">
        <f t="shared" si="59"/>
        <v>4050000</v>
      </c>
      <c r="AP371" s="183">
        <f t="shared" si="60"/>
        <v>10704960</v>
      </c>
      <c r="AR371" s="183">
        <f t="shared" si="66"/>
        <v>0</v>
      </c>
      <c r="AS371" s="183">
        <f t="shared" si="67"/>
        <v>18534960</v>
      </c>
    </row>
    <row r="372" spans="1:49" ht="20.100000000000001" customHeight="1" x14ac:dyDescent="0.25">
      <c r="A372" s="189">
        <v>14873</v>
      </c>
      <c r="B372" s="175" t="s">
        <v>96</v>
      </c>
      <c r="C372" s="175" t="s">
        <v>39</v>
      </c>
      <c r="D372" s="190">
        <v>4</v>
      </c>
      <c r="E372" s="176">
        <v>2025</v>
      </c>
      <c r="F372" s="189">
        <v>2005</v>
      </c>
      <c r="G372" s="189" t="s">
        <v>1466</v>
      </c>
      <c r="H372" s="189" t="s">
        <v>336</v>
      </c>
      <c r="I372" s="189" t="s">
        <v>1467</v>
      </c>
      <c r="J372" s="189" t="s">
        <v>786</v>
      </c>
      <c r="K372" s="189" t="s">
        <v>785</v>
      </c>
      <c r="L372" s="189" t="s">
        <v>345</v>
      </c>
      <c r="M372" s="189" t="s">
        <v>346</v>
      </c>
      <c r="N372" s="189">
        <v>16</v>
      </c>
      <c r="O372" s="189" t="s">
        <v>808</v>
      </c>
      <c r="P372" s="189" t="s">
        <v>2291</v>
      </c>
      <c r="Q372" s="189" t="s">
        <v>1493</v>
      </c>
      <c r="R372" s="189" t="s">
        <v>339</v>
      </c>
      <c r="S372" s="189" t="s">
        <v>19</v>
      </c>
      <c r="T372" s="189" t="s">
        <v>337</v>
      </c>
      <c r="U372" s="190">
        <v>15</v>
      </c>
      <c r="V372" s="190">
        <v>120</v>
      </c>
      <c r="W372" s="190">
        <v>12</v>
      </c>
      <c r="X372" s="190">
        <f t="shared" si="65"/>
        <v>132</v>
      </c>
      <c r="Y372" s="190">
        <v>4</v>
      </c>
      <c r="Z372" s="190" t="s">
        <v>20</v>
      </c>
      <c r="AA372" s="190" t="s">
        <v>20</v>
      </c>
      <c r="AB372" s="189" t="s">
        <v>20</v>
      </c>
      <c r="AC372" s="189"/>
      <c r="AD372" s="189" t="s">
        <v>2301</v>
      </c>
      <c r="AE372" s="189" t="s">
        <v>18</v>
      </c>
      <c r="AF372" s="189"/>
      <c r="AG372" s="189" t="s">
        <v>1173</v>
      </c>
      <c r="AH372" s="190">
        <f t="shared" si="55"/>
        <v>33</v>
      </c>
      <c r="AI372" s="190">
        <v>2</v>
      </c>
      <c r="AJ372" s="183">
        <f t="shared" si="56"/>
        <v>6372</v>
      </c>
      <c r="AK372" s="190">
        <f t="shared" si="57"/>
        <v>33</v>
      </c>
      <c r="AL372" s="183">
        <v>0</v>
      </c>
      <c r="AM372" s="183">
        <f t="shared" si="64"/>
        <v>1980000</v>
      </c>
      <c r="AN372" s="183">
        <f t="shared" si="58"/>
        <v>2475000</v>
      </c>
      <c r="AO372" s="183">
        <f t="shared" si="59"/>
        <v>4050000</v>
      </c>
      <c r="AP372" s="183">
        <f t="shared" si="60"/>
        <v>12616560</v>
      </c>
      <c r="AR372" s="183">
        <f t="shared" si="66"/>
        <v>0</v>
      </c>
      <c r="AS372" s="183">
        <f t="shared" si="67"/>
        <v>21121560</v>
      </c>
    </row>
    <row r="373" spans="1:49" ht="20.100000000000001" customHeight="1" x14ac:dyDescent="0.25">
      <c r="A373" s="184">
        <v>14543</v>
      </c>
      <c r="B373" s="184" t="s">
        <v>1491</v>
      </c>
      <c r="C373" s="184" t="s">
        <v>1492</v>
      </c>
      <c r="D373" s="179">
        <v>1</v>
      </c>
      <c r="E373" s="179">
        <v>2025</v>
      </c>
      <c r="F373" s="179">
        <v>2025</v>
      </c>
      <c r="G373" s="177" t="s">
        <v>1466</v>
      </c>
      <c r="H373" s="184" t="s">
        <v>336</v>
      </c>
      <c r="I373" s="184" t="s">
        <v>1467</v>
      </c>
      <c r="J373" s="177" t="s">
        <v>410</v>
      </c>
      <c r="K373" s="184" t="s">
        <v>411</v>
      </c>
      <c r="L373" s="184" t="s">
        <v>345</v>
      </c>
      <c r="M373" s="184" t="s">
        <v>346</v>
      </c>
      <c r="N373" s="184">
        <v>9</v>
      </c>
      <c r="O373" s="184" t="s">
        <v>424</v>
      </c>
      <c r="P373" s="184" t="s">
        <v>2302</v>
      </c>
      <c r="Q373" s="184" t="s">
        <v>1493</v>
      </c>
      <c r="R373" s="184" t="s">
        <v>339</v>
      </c>
      <c r="S373" s="184" t="s">
        <v>19</v>
      </c>
      <c r="T373" s="184" t="s">
        <v>337</v>
      </c>
      <c r="U373" s="185">
        <v>20</v>
      </c>
      <c r="V373" s="185">
        <v>260</v>
      </c>
      <c r="W373" s="185">
        <v>12</v>
      </c>
      <c r="X373" s="179">
        <f>(SUM(V373:W373))*1</f>
        <v>272</v>
      </c>
      <c r="Y373" s="185">
        <v>4</v>
      </c>
      <c r="Z373" s="185" t="s">
        <v>20</v>
      </c>
      <c r="AA373" s="185" t="s">
        <v>20</v>
      </c>
      <c r="AB373" s="185" t="s">
        <v>20</v>
      </c>
      <c r="AC373" s="186"/>
      <c r="AD373" s="181" t="s">
        <v>2283</v>
      </c>
      <c r="AE373" s="185" t="s">
        <v>20</v>
      </c>
      <c r="AF373" s="186" t="s">
        <v>2284</v>
      </c>
      <c r="AG373" s="184" t="s">
        <v>1495</v>
      </c>
      <c r="AH373" s="179">
        <f t="shared" si="55"/>
        <v>68</v>
      </c>
      <c r="AI373" s="179">
        <v>2</v>
      </c>
      <c r="AJ373" s="183">
        <f t="shared" si="56"/>
        <v>6372</v>
      </c>
      <c r="AK373" s="179">
        <f t="shared" si="57"/>
        <v>68</v>
      </c>
      <c r="AL373" s="183">
        <v>300000</v>
      </c>
      <c r="AM373" s="183">
        <f t="shared" si="64"/>
        <v>5440000</v>
      </c>
      <c r="AN373" s="183">
        <f t="shared" si="58"/>
        <v>6800000</v>
      </c>
      <c r="AO373" s="183">
        <f t="shared" si="59"/>
        <v>5400000</v>
      </c>
      <c r="AP373" s="183">
        <f t="shared" si="60"/>
        <v>34663680</v>
      </c>
      <c r="AR373" s="183">
        <f>+(AL373*U373)</f>
        <v>6000000</v>
      </c>
      <c r="AS373" s="183">
        <f>+(AM373+AN373+AO373+AP373+AR373)</f>
        <v>58303680</v>
      </c>
    </row>
    <row r="374" spans="1:49" ht="20.100000000000001" customHeight="1" x14ac:dyDescent="0.25">
      <c r="A374" s="175">
        <v>14519</v>
      </c>
      <c r="B374" s="175" t="s">
        <v>83</v>
      </c>
      <c r="C374" s="175" t="s">
        <v>1022</v>
      </c>
      <c r="D374" s="176">
        <v>1</v>
      </c>
      <c r="E374" s="176">
        <v>2025</v>
      </c>
      <c r="F374" s="176">
        <v>2025</v>
      </c>
      <c r="G374" s="175" t="s">
        <v>23</v>
      </c>
      <c r="H374" s="175" t="s">
        <v>83</v>
      </c>
      <c r="I374" s="175" t="s">
        <v>102</v>
      </c>
      <c r="J374" s="177" t="s">
        <v>832</v>
      </c>
      <c r="K374" s="175" t="s">
        <v>831</v>
      </c>
      <c r="L374" s="175" t="s">
        <v>21</v>
      </c>
      <c r="M374" s="175" t="s">
        <v>21</v>
      </c>
      <c r="N374" s="175">
        <v>8</v>
      </c>
      <c r="O374" s="175" t="s">
        <v>709</v>
      </c>
      <c r="P374" s="175" t="s">
        <v>710</v>
      </c>
      <c r="Q374" s="175" t="s">
        <v>1201</v>
      </c>
      <c r="R374" s="175" t="s">
        <v>339</v>
      </c>
      <c r="S374" s="175" t="s">
        <v>22</v>
      </c>
      <c r="T374" s="175" t="s">
        <v>337</v>
      </c>
      <c r="U374" s="176">
        <v>15</v>
      </c>
      <c r="V374" s="176">
        <v>176</v>
      </c>
      <c r="W374" s="176" t="s">
        <v>21</v>
      </c>
      <c r="X374" s="179">
        <f>(SUM(V374:W374))*1</f>
        <v>176</v>
      </c>
      <c r="Y374" s="176">
        <v>5</v>
      </c>
      <c r="Z374" s="176" t="s">
        <v>20</v>
      </c>
      <c r="AA374" s="176" t="s">
        <v>18</v>
      </c>
      <c r="AB374" s="185" t="s">
        <v>18</v>
      </c>
      <c r="AC374" s="186" t="s">
        <v>21</v>
      </c>
      <c r="AD374" s="181" t="s">
        <v>2303</v>
      </c>
      <c r="AE374" s="179" t="s">
        <v>20</v>
      </c>
      <c r="AF374" s="181" t="s">
        <v>996</v>
      </c>
      <c r="AG374" s="175" t="s">
        <v>1173</v>
      </c>
      <c r="AH374" s="179">
        <f t="shared" si="55"/>
        <v>36</v>
      </c>
      <c r="AI374" s="179">
        <f>VLOOKUP(K374,[1]TRAMO!$A:$B,2,0)</f>
        <v>3</v>
      </c>
      <c r="AJ374" s="183">
        <f t="shared" si="56"/>
        <v>7434</v>
      </c>
      <c r="AK374" s="179">
        <f t="shared" si="57"/>
        <v>35.200000000000003</v>
      </c>
      <c r="AL374" s="183">
        <v>60000</v>
      </c>
      <c r="AM374" s="183">
        <f t="shared" si="64"/>
        <v>2160000</v>
      </c>
      <c r="AN374" s="183">
        <f t="shared" si="58"/>
        <v>0</v>
      </c>
      <c r="AO374" s="183">
        <f t="shared" si="59"/>
        <v>0</v>
      </c>
      <c r="AP374" s="183">
        <f t="shared" si="60"/>
        <v>19625760</v>
      </c>
      <c r="AR374" s="183">
        <f>+(AL374*U374)</f>
        <v>900000</v>
      </c>
      <c r="AS374" s="183">
        <f>+(AM374+AN374+AO374+AP374+AR374)</f>
        <v>22685760</v>
      </c>
      <c r="AT374" s="175" t="s">
        <v>1535</v>
      </c>
      <c r="AU374" s="175" t="s">
        <v>1536</v>
      </c>
      <c r="AV374" s="175" t="s">
        <v>1594</v>
      </c>
      <c r="AW374" s="175" t="s">
        <v>1595</v>
      </c>
    </row>
    <row r="375" spans="1:49" ht="20.100000000000001" customHeight="1" x14ac:dyDescent="0.25">
      <c r="A375" s="179">
        <v>14631</v>
      </c>
      <c r="B375" s="175" t="s">
        <v>96</v>
      </c>
      <c r="C375" s="175" t="s">
        <v>39</v>
      </c>
      <c r="D375" s="179">
        <v>4</v>
      </c>
      <c r="E375" s="179">
        <v>2025</v>
      </c>
      <c r="F375" s="179">
        <v>2025</v>
      </c>
      <c r="G375" s="177" t="s">
        <v>1466</v>
      </c>
      <c r="H375" s="196" t="s">
        <v>336</v>
      </c>
      <c r="I375" s="177" t="s">
        <v>1467</v>
      </c>
      <c r="J375" s="177" t="s">
        <v>883</v>
      </c>
      <c r="K375" s="181" t="s">
        <v>882</v>
      </c>
      <c r="N375" s="179">
        <v>6</v>
      </c>
      <c r="O375" s="181" t="s">
        <v>796</v>
      </c>
      <c r="P375" s="177" t="s">
        <v>1681</v>
      </c>
      <c r="Q375" s="177" t="s">
        <v>2304</v>
      </c>
      <c r="R375" s="177" t="s">
        <v>339</v>
      </c>
      <c r="S375" s="181" t="s">
        <v>22</v>
      </c>
      <c r="T375" s="177" t="s">
        <v>347</v>
      </c>
      <c r="U375" s="179">
        <v>15</v>
      </c>
      <c r="V375" s="179">
        <v>80</v>
      </c>
      <c r="X375" s="179">
        <v>80</v>
      </c>
      <c r="Y375" s="179">
        <v>3</v>
      </c>
      <c r="Z375" s="179" t="s">
        <v>20</v>
      </c>
      <c r="AA375" s="179" t="s">
        <v>20</v>
      </c>
      <c r="AB375" s="179" t="s">
        <v>21</v>
      </c>
      <c r="AC375" s="179" t="s">
        <v>21</v>
      </c>
      <c r="AD375" s="181" t="s">
        <v>2305</v>
      </c>
      <c r="AE375" s="179" t="s">
        <v>18</v>
      </c>
      <c r="AG375" s="177" t="s">
        <v>1173</v>
      </c>
      <c r="AH375" s="179">
        <v>27</v>
      </c>
      <c r="AI375" s="179">
        <v>2</v>
      </c>
      <c r="AJ375" s="183">
        <f t="shared" si="56"/>
        <v>6372</v>
      </c>
      <c r="AK375" s="197">
        <v>26.666666666666668</v>
      </c>
      <c r="AL375" s="183">
        <v>0</v>
      </c>
      <c r="AM375" s="183">
        <f t="shared" si="64"/>
        <v>1620000</v>
      </c>
      <c r="AN375" s="183">
        <f t="shared" si="58"/>
        <v>2025000</v>
      </c>
      <c r="AO375" s="183">
        <f t="shared" si="59"/>
        <v>0</v>
      </c>
      <c r="AP375" s="183">
        <f t="shared" si="60"/>
        <v>7646400</v>
      </c>
      <c r="AQ375" s="183" t="s">
        <v>21</v>
      </c>
      <c r="AR375" s="183">
        <f t="shared" ref="AR375:AR395" si="68">+(AL375*U375)</f>
        <v>0</v>
      </c>
      <c r="AS375" s="183">
        <f t="shared" ref="AS375:AS395" si="69">+(AM375+AN375+AO375+AP375+AR375)</f>
        <v>11291400</v>
      </c>
    </row>
    <row r="376" spans="1:49" ht="20.100000000000001" customHeight="1" x14ac:dyDescent="0.25">
      <c r="A376" s="179">
        <v>14632</v>
      </c>
      <c r="B376" s="175" t="s">
        <v>96</v>
      </c>
      <c r="C376" s="175" t="s">
        <v>39</v>
      </c>
      <c r="D376" s="179">
        <v>4</v>
      </c>
      <c r="E376" s="179">
        <v>2025</v>
      </c>
      <c r="F376" s="179">
        <v>2025</v>
      </c>
      <c r="G376" s="177" t="s">
        <v>1466</v>
      </c>
      <c r="H376" s="196" t="s">
        <v>336</v>
      </c>
      <c r="I376" s="177" t="s">
        <v>1467</v>
      </c>
      <c r="J376" s="177" t="s">
        <v>869</v>
      </c>
      <c r="K376" s="181" t="s">
        <v>868</v>
      </c>
      <c r="L376" s="181" t="s">
        <v>760</v>
      </c>
      <c r="M376" s="177" t="s">
        <v>759</v>
      </c>
      <c r="N376" s="179">
        <v>6</v>
      </c>
      <c r="O376" s="181" t="s">
        <v>796</v>
      </c>
      <c r="P376" s="177" t="s">
        <v>818</v>
      </c>
      <c r="Q376" s="177" t="s">
        <v>2306</v>
      </c>
      <c r="R376" s="177" t="s">
        <v>339</v>
      </c>
      <c r="S376" s="181" t="s">
        <v>22</v>
      </c>
      <c r="T376" s="177" t="s">
        <v>337</v>
      </c>
      <c r="U376" s="179">
        <v>10</v>
      </c>
      <c r="V376" s="179">
        <v>176</v>
      </c>
      <c r="W376" s="179">
        <v>8</v>
      </c>
      <c r="X376" s="179">
        <v>184</v>
      </c>
      <c r="Y376" s="179">
        <v>3</v>
      </c>
      <c r="Z376" s="179" t="s">
        <v>20</v>
      </c>
      <c r="AA376" s="179" t="s">
        <v>20</v>
      </c>
      <c r="AB376" s="179" t="s">
        <v>21</v>
      </c>
      <c r="AC376" s="179" t="s">
        <v>21</v>
      </c>
      <c r="AD376" s="181" t="s">
        <v>2307</v>
      </c>
      <c r="AE376" s="179" t="s">
        <v>18</v>
      </c>
      <c r="AG376" s="177" t="s">
        <v>1173</v>
      </c>
      <c r="AH376" s="179">
        <v>62</v>
      </c>
      <c r="AI376" s="179">
        <v>2</v>
      </c>
      <c r="AJ376" s="183">
        <f t="shared" si="56"/>
        <v>6372</v>
      </c>
      <c r="AK376" s="197">
        <v>61.333333333333336</v>
      </c>
      <c r="AL376" s="183">
        <v>0</v>
      </c>
      <c r="AM376" s="183">
        <f t="shared" si="64"/>
        <v>2480000</v>
      </c>
      <c r="AN376" s="183">
        <f t="shared" si="58"/>
        <v>3100000</v>
      </c>
      <c r="AO376" s="183">
        <f t="shared" si="59"/>
        <v>0</v>
      </c>
      <c r="AP376" s="183">
        <f t="shared" si="60"/>
        <v>11724480</v>
      </c>
      <c r="AQ376" s="183" t="s">
        <v>21</v>
      </c>
      <c r="AR376" s="183">
        <f t="shared" si="68"/>
        <v>0</v>
      </c>
      <c r="AS376" s="183">
        <f t="shared" si="69"/>
        <v>17304480</v>
      </c>
    </row>
    <row r="377" spans="1:49" ht="20.100000000000001" customHeight="1" x14ac:dyDescent="0.25">
      <c r="A377" s="179">
        <v>14634</v>
      </c>
      <c r="B377" s="175" t="s">
        <v>96</v>
      </c>
      <c r="C377" s="175" t="s">
        <v>39</v>
      </c>
      <c r="D377" s="179">
        <v>4</v>
      </c>
      <c r="E377" s="179">
        <v>2025</v>
      </c>
      <c r="F377" s="179">
        <v>2025</v>
      </c>
      <c r="G377" s="177" t="s">
        <v>1466</v>
      </c>
      <c r="H377" s="196" t="s">
        <v>336</v>
      </c>
      <c r="I377" s="177" t="s">
        <v>1467</v>
      </c>
      <c r="J377" s="177" t="s">
        <v>2308</v>
      </c>
      <c r="K377" s="181" t="s">
        <v>2309</v>
      </c>
      <c r="N377" s="179">
        <v>6</v>
      </c>
      <c r="O377" s="181" t="s">
        <v>796</v>
      </c>
      <c r="P377" s="177" t="s">
        <v>821</v>
      </c>
      <c r="Q377" s="177" t="s">
        <v>1493</v>
      </c>
      <c r="R377" s="177" t="s">
        <v>339</v>
      </c>
      <c r="S377" s="181" t="s">
        <v>22</v>
      </c>
      <c r="T377" s="177" t="s">
        <v>337</v>
      </c>
      <c r="U377" s="179">
        <v>15</v>
      </c>
      <c r="V377" s="179">
        <v>160</v>
      </c>
      <c r="X377" s="179">
        <v>160</v>
      </c>
      <c r="Y377" s="179">
        <v>3</v>
      </c>
      <c r="Z377" s="179" t="s">
        <v>20</v>
      </c>
      <c r="AA377" s="179" t="s">
        <v>20</v>
      </c>
      <c r="AB377" s="179" t="s">
        <v>21</v>
      </c>
      <c r="AC377" s="179" t="s">
        <v>21</v>
      </c>
      <c r="AD377" s="181" t="s">
        <v>2310</v>
      </c>
      <c r="AE377" s="179" t="s">
        <v>18</v>
      </c>
      <c r="AG377" s="177" t="s">
        <v>1173</v>
      </c>
      <c r="AH377" s="179">
        <v>54</v>
      </c>
      <c r="AI377" s="179">
        <v>3</v>
      </c>
      <c r="AJ377" s="183">
        <f t="shared" si="56"/>
        <v>7434</v>
      </c>
      <c r="AK377" s="197">
        <v>53.333333333333336</v>
      </c>
      <c r="AL377" s="183">
        <v>0</v>
      </c>
      <c r="AM377" s="183">
        <f t="shared" si="64"/>
        <v>3240000</v>
      </c>
      <c r="AN377" s="183">
        <f t="shared" si="58"/>
        <v>4050000</v>
      </c>
      <c r="AO377" s="183">
        <f t="shared" si="59"/>
        <v>0</v>
      </c>
      <c r="AP377" s="183">
        <f t="shared" si="60"/>
        <v>17841600</v>
      </c>
      <c r="AQ377" s="183" t="s">
        <v>21</v>
      </c>
      <c r="AR377" s="183">
        <f t="shared" si="68"/>
        <v>0</v>
      </c>
      <c r="AS377" s="183">
        <f t="shared" si="69"/>
        <v>25131600</v>
      </c>
    </row>
    <row r="378" spans="1:49" ht="20.100000000000001" customHeight="1" x14ac:dyDescent="0.25">
      <c r="A378" s="179">
        <v>15124</v>
      </c>
      <c r="B378" s="175" t="s">
        <v>96</v>
      </c>
      <c r="C378" s="175" t="s">
        <v>39</v>
      </c>
      <c r="D378" s="179">
        <v>4</v>
      </c>
      <c r="E378" s="179">
        <v>2025</v>
      </c>
      <c r="F378" s="179">
        <v>2025</v>
      </c>
      <c r="G378" s="177" t="s">
        <v>1466</v>
      </c>
      <c r="H378" s="196" t="s">
        <v>336</v>
      </c>
      <c r="I378" s="177" t="s">
        <v>1467</v>
      </c>
      <c r="J378" s="177" t="s">
        <v>788</v>
      </c>
      <c r="K378" s="181" t="s">
        <v>787</v>
      </c>
      <c r="N378" s="179">
        <v>6</v>
      </c>
      <c r="O378" s="181" t="s">
        <v>796</v>
      </c>
      <c r="P378" s="177" t="s">
        <v>2311</v>
      </c>
      <c r="Q378" s="177" t="s">
        <v>2312</v>
      </c>
      <c r="R378" s="177" t="s">
        <v>339</v>
      </c>
      <c r="S378" s="181" t="s">
        <v>22</v>
      </c>
      <c r="T378" s="177" t="s">
        <v>347</v>
      </c>
      <c r="U378" s="179">
        <v>15</v>
      </c>
      <c r="V378" s="179">
        <v>20</v>
      </c>
      <c r="X378" s="179">
        <v>20</v>
      </c>
      <c r="Y378" s="179">
        <v>3</v>
      </c>
      <c r="Z378" s="179" t="s">
        <v>20</v>
      </c>
      <c r="AA378" s="179" t="s">
        <v>20</v>
      </c>
      <c r="AB378" s="179" t="s">
        <v>21</v>
      </c>
      <c r="AC378" s="179" t="s">
        <v>21</v>
      </c>
      <c r="AD378" s="181" t="s">
        <v>2313</v>
      </c>
      <c r="AE378" s="179" t="s">
        <v>18</v>
      </c>
      <c r="AG378" s="177" t="s">
        <v>1173</v>
      </c>
      <c r="AH378" s="179">
        <v>7</v>
      </c>
      <c r="AI378" s="179">
        <v>1</v>
      </c>
      <c r="AJ378" s="183">
        <f t="shared" si="56"/>
        <v>5074</v>
      </c>
      <c r="AK378" s="197">
        <v>6.666666666666667</v>
      </c>
      <c r="AL378" s="183">
        <v>0</v>
      </c>
      <c r="AM378" s="183">
        <f t="shared" si="64"/>
        <v>420000</v>
      </c>
      <c r="AN378" s="183">
        <f t="shared" si="58"/>
        <v>525000</v>
      </c>
      <c r="AO378" s="183">
        <f t="shared" si="59"/>
        <v>0</v>
      </c>
      <c r="AP378" s="183">
        <f t="shared" si="60"/>
        <v>1522200</v>
      </c>
      <c r="AQ378" s="183" t="s">
        <v>21</v>
      </c>
      <c r="AR378" s="183">
        <f t="shared" si="68"/>
        <v>0</v>
      </c>
      <c r="AS378" s="183">
        <f t="shared" si="69"/>
        <v>2467200</v>
      </c>
    </row>
    <row r="379" spans="1:49" ht="20.100000000000001" customHeight="1" x14ac:dyDescent="0.25">
      <c r="A379" s="179">
        <v>15294</v>
      </c>
      <c r="B379" s="175" t="s">
        <v>96</v>
      </c>
      <c r="C379" s="175" t="s">
        <v>39</v>
      </c>
      <c r="D379" s="179">
        <v>4</v>
      </c>
      <c r="E379" s="179">
        <v>2025</v>
      </c>
      <c r="F379" s="179">
        <v>2025</v>
      </c>
      <c r="G379" s="177" t="s">
        <v>1466</v>
      </c>
      <c r="H379" s="196" t="s">
        <v>336</v>
      </c>
      <c r="I379" s="177" t="s">
        <v>1467</v>
      </c>
      <c r="J379" s="177" t="s">
        <v>857</v>
      </c>
      <c r="K379" s="181" t="s">
        <v>856</v>
      </c>
      <c r="N379" s="179">
        <v>6</v>
      </c>
      <c r="O379" s="181" t="s">
        <v>796</v>
      </c>
      <c r="P379" s="177" t="s">
        <v>1933</v>
      </c>
      <c r="Q379" s="177" t="s">
        <v>1493</v>
      </c>
      <c r="R379" s="177" t="s">
        <v>339</v>
      </c>
      <c r="S379" s="181" t="s">
        <v>22</v>
      </c>
      <c r="T379" s="177" t="s">
        <v>337</v>
      </c>
      <c r="U379" s="198">
        <v>10</v>
      </c>
      <c r="V379" s="179">
        <v>70</v>
      </c>
      <c r="X379" s="179">
        <v>70</v>
      </c>
      <c r="Y379" s="179">
        <v>3</v>
      </c>
      <c r="Z379" s="179" t="s">
        <v>20</v>
      </c>
      <c r="AA379" s="179" t="s">
        <v>20</v>
      </c>
      <c r="AB379" s="179" t="s">
        <v>21</v>
      </c>
      <c r="AC379" s="179" t="s">
        <v>21</v>
      </c>
      <c r="AD379" s="181" t="s">
        <v>2314</v>
      </c>
      <c r="AE379" s="179" t="s">
        <v>18</v>
      </c>
      <c r="AG379" s="177" t="s">
        <v>1495</v>
      </c>
      <c r="AH379" s="179">
        <v>24</v>
      </c>
      <c r="AI379" s="179">
        <v>1</v>
      </c>
      <c r="AJ379" s="183">
        <f t="shared" si="56"/>
        <v>5074</v>
      </c>
      <c r="AK379" s="197">
        <v>23.333333333333332</v>
      </c>
      <c r="AL379" s="183">
        <v>0</v>
      </c>
      <c r="AM379" s="183">
        <f t="shared" si="64"/>
        <v>960000</v>
      </c>
      <c r="AN379" s="183">
        <f t="shared" si="58"/>
        <v>1200000</v>
      </c>
      <c r="AO379" s="183">
        <f t="shared" si="59"/>
        <v>0</v>
      </c>
      <c r="AP379" s="183">
        <f t="shared" si="60"/>
        <v>3551800</v>
      </c>
      <c r="AQ379" s="183" t="s">
        <v>21</v>
      </c>
      <c r="AR379" s="183">
        <f t="shared" si="68"/>
        <v>0</v>
      </c>
      <c r="AS379" s="183">
        <f t="shared" si="69"/>
        <v>5711800</v>
      </c>
    </row>
    <row r="380" spans="1:49" ht="20.100000000000001" customHeight="1" x14ac:dyDescent="0.25">
      <c r="A380" s="179">
        <v>15355</v>
      </c>
      <c r="B380" s="175" t="s">
        <v>96</v>
      </c>
      <c r="C380" s="175" t="s">
        <v>39</v>
      </c>
      <c r="D380" s="179">
        <v>4</v>
      </c>
      <c r="E380" s="179">
        <v>2025</v>
      </c>
      <c r="F380" s="179">
        <v>2025</v>
      </c>
      <c r="G380" s="177" t="s">
        <v>1466</v>
      </c>
      <c r="H380" s="196" t="s">
        <v>336</v>
      </c>
      <c r="I380" s="177" t="s">
        <v>1467</v>
      </c>
      <c r="J380" s="177" t="s">
        <v>857</v>
      </c>
      <c r="K380" s="181" t="s">
        <v>856</v>
      </c>
      <c r="N380" s="179">
        <v>6</v>
      </c>
      <c r="O380" s="181" t="s">
        <v>796</v>
      </c>
      <c r="P380" s="177" t="s">
        <v>2315</v>
      </c>
      <c r="Q380" s="177" t="s">
        <v>1493</v>
      </c>
      <c r="R380" s="177" t="s">
        <v>339</v>
      </c>
      <c r="S380" s="181" t="s">
        <v>22</v>
      </c>
      <c r="T380" s="177" t="s">
        <v>347</v>
      </c>
      <c r="U380" s="179">
        <v>10</v>
      </c>
      <c r="V380" s="179">
        <v>70</v>
      </c>
      <c r="X380" s="179">
        <v>70</v>
      </c>
      <c r="Y380" s="179">
        <v>3</v>
      </c>
      <c r="Z380" s="179" t="s">
        <v>20</v>
      </c>
      <c r="AA380" s="179" t="s">
        <v>20</v>
      </c>
      <c r="AB380" s="179" t="s">
        <v>21</v>
      </c>
      <c r="AC380" s="179" t="s">
        <v>21</v>
      </c>
      <c r="AD380" s="181" t="s">
        <v>2316</v>
      </c>
      <c r="AE380" s="179" t="s">
        <v>18</v>
      </c>
      <c r="AG380" s="177" t="s">
        <v>1495</v>
      </c>
      <c r="AH380" s="179">
        <v>24</v>
      </c>
      <c r="AI380" s="179">
        <v>1</v>
      </c>
      <c r="AJ380" s="183">
        <f t="shared" si="56"/>
        <v>5074</v>
      </c>
      <c r="AK380" s="197">
        <v>23.333333333333332</v>
      </c>
      <c r="AL380" s="183">
        <v>0</v>
      </c>
      <c r="AM380" s="183">
        <f t="shared" si="64"/>
        <v>960000</v>
      </c>
      <c r="AN380" s="183">
        <f t="shared" si="58"/>
        <v>1200000</v>
      </c>
      <c r="AO380" s="183">
        <f t="shared" si="59"/>
        <v>0</v>
      </c>
      <c r="AP380" s="183">
        <f t="shared" si="60"/>
        <v>3551800</v>
      </c>
      <c r="AQ380" s="183" t="s">
        <v>21</v>
      </c>
      <c r="AR380" s="183">
        <f t="shared" si="68"/>
        <v>0</v>
      </c>
      <c r="AS380" s="183">
        <f t="shared" si="69"/>
        <v>5711800</v>
      </c>
    </row>
    <row r="381" spans="1:49" ht="20.100000000000001" customHeight="1" x14ac:dyDescent="0.25">
      <c r="A381" s="179">
        <v>15359</v>
      </c>
      <c r="B381" s="175" t="s">
        <v>96</v>
      </c>
      <c r="C381" s="175" t="s">
        <v>39</v>
      </c>
      <c r="D381" s="179">
        <v>4</v>
      </c>
      <c r="E381" s="179">
        <v>2025</v>
      </c>
      <c r="F381" s="179">
        <v>2025</v>
      </c>
      <c r="G381" s="177" t="s">
        <v>1466</v>
      </c>
      <c r="H381" s="196" t="s">
        <v>336</v>
      </c>
      <c r="I381" s="177" t="s">
        <v>1467</v>
      </c>
      <c r="J381" s="177" t="s">
        <v>2317</v>
      </c>
      <c r="K381" s="181" t="s">
        <v>2318</v>
      </c>
      <c r="N381" s="179">
        <v>6</v>
      </c>
      <c r="O381" s="181" t="s">
        <v>796</v>
      </c>
      <c r="P381" s="177" t="s">
        <v>2319</v>
      </c>
      <c r="Q381" s="177" t="s">
        <v>1493</v>
      </c>
      <c r="R381" s="177" t="s">
        <v>339</v>
      </c>
      <c r="S381" s="181" t="s">
        <v>22</v>
      </c>
      <c r="T381" s="177" t="s">
        <v>337</v>
      </c>
      <c r="U381" s="198">
        <v>12</v>
      </c>
      <c r="V381" s="179">
        <v>40</v>
      </c>
      <c r="X381" s="179">
        <v>40</v>
      </c>
      <c r="Y381" s="179">
        <v>3</v>
      </c>
      <c r="Z381" s="179" t="s">
        <v>20</v>
      </c>
      <c r="AA381" s="179" t="s">
        <v>20</v>
      </c>
      <c r="AB381" s="179" t="s">
        <v>21</v>
      </c>
      <c r="AC381" s="179" t="s">
        <v>21</v>
      </c>
      <c r="AD381" s="181" t="s">
        <v>2320</v>
      </c>
      <c r="AE381" s="179" t="s">
        <v>18</v>
      </c>
      <c r="AG381" s="177" t="s">
        <v>1495</v>
      </c>
      <c r="AH381" s="179">
        <v>14</v>
      </c>
      <c r="AI381" s="179">
        <v>1</v>
      </c>
      <c r="AJ381" s="183">
        <f t="shared" si="56"/>
        <v>5074</v>
      </c>
      <c r="AK381" s="197">
        <v>13.333333333333334</v>
      </c>
      <c r="AL381" s="183">
        <v>0</v>
      </c>
      <c r="AM381" s="183">
        <f t="shared" si="64"/>
        <v>672000</v>
      </c>
      <c r="AN381" s="183">
        <f t="shared" si="58"/>
        <v>840000</v>
      </c>
      <c r="AO381" s="183">
        <f t="shared" si="59"/>
        <v>0</v>
      </c>
      <c r="AP381" s="183">
        <f t="shared" si="60"/>
        <v>2435520</v>
      </c>
      <c r="AQ381" s="183" t="s">
        <v>21</v>
      </c>
      <c r="AR381" s="183">
        <f t="shared" si="68"/>
        <v>0</v>
      </c>
      <c r="AS381" s="183">
        <f t="shared" si="69"/>
        <v>3947520</v>
      </c>
    </row>
    <row r="382" spans="1:49" ht="20.100000000000001" customHeight="1" x14ac:dyDescent="0.25">
      <c r="A382" s="179">
        <v>15364</v>
      </c>
      <c r="B382" s="175" t="s">
        <v>96</v>
      </c>
      <c r="C382" s="175" t="s">
        <v>39</v>
      </c>
      <c r="D382" s="179">
        <v>4</v>
      </c>
      <c r="E382" s="179">
        <v>2025</v>
      </c>
      <c r="F382" s="179">
        <v>2025</v>
      </c>
      <c r="G382" s="177" t="s">
        <v>1466</v>
      </c>
      <c r="H382" s="196" t="s">
        <v>336</v>
      </c>
      <c r="I382" s="177" t="s">
        <v>1467</v>
      </c>
      <c r="J382" s="177" t="s">
        <v>741</v>
      </c>
      <c r="K382" s="181" t="s">
        <v>357</v>
      </c>
      <c r="N382" s="179">
        <v>6</v>
      </c>
      <c r="O382" s="181" t="s">
        <v>796</v>
      </c>
      <c r="P382" s="177" t="s">
        <v>818</v>
      </c>
      <c r="Q382" s="177" t="s">
        <v>1493</v>
      </c>
      <c r="R382" s="177" t="s">
        <v>339</v>
      </c>
      <c r="S382" s="181" t="s">
        <v>22</v>
      </c>
      <c r="T382" s="177" t="s">
        <v>337</v>
      </c>
      <c r="U382" s="179">
        <v>15</v>
      </c>
      <c r="V382" s="179">
        <v>90</v>
      </c>
      <c r="X382" s="179">
        <v>90</v>
      </c>
      <c r="Y382" s="179">
        <v>3</v>
      </c>
      <c r="Z382" s="179" t="s">
        <v>20</v>
      </c>
      <c r="AA382" s="179" t="s">
        <v>20</v>
      </c>
      <c r="AB382" s="179" t="s">
        <v>21</v>
      </c>
      <c r="AC382" s="179" t="s">
        <v>21</v>
      </c>
      <c r="AD382" s="181" t="s">
        <v>2321</v>
      </c>
      <c r="AE382" s="179" t="s">
        <v>18</v>
      </c>
      <c r="AG382" s="177" t="s">
        <v>1495</v>
      </c>
      <c r="AH382" s="179">
        <v>30</v>
      </c>
      <c r="AI382" s="179">
        <v>2</v>
      </c>
      <c r="AJ382" s="183">
        <f t="shared" si="56"/>
        <v>6372</v>
      </c>
      <c r="AK382" s="197">
        <v>30</v>
      </c>
      <c r="AL382" s="183">
        <v>0</v>
      </c>
      <c r="AM382" s="183">
        <f t="shared" si="64"/>
        <v>1800000</v>
      </c>
      <c r="AN382" s="183">
        <f t="shared" si="58"/>
        <v>2250000</v>
      </c>
      <c r="AO382" s="183">
        <f t="shared" si="59"/>
        <v>0</v>
      </c>
      <c r="AP382" s="183">
        <f t="shared" si="60"/>
        <v>8602200</v>
      </c>
      <c r="AQ382" s="183" t="s">
        <v>21</v>
      </c>
      <c r="AR382" s="183">
        <f t="shared" si="68"/>
        <v>0</v>
      </c>
      <c r="AS382" s="183">
        <f t="shared" si="69"/>
        <v>12652200</v>
      </c>
    </row>
    <row r="383" spans="1:49" ht="20.100000000000001" customHeight="1" x14ac:dyDescent="0.25">
      <c r="A383" s="179">
        <v>15366</v>
      </c>
      <c r="B383" s="175" t="s">
        <v>96</v>
      </c>
      <c r="C383" s="175" t="s">
        <v>39</v>
      </c>
      <c r="D383" s="179">
        <v>4</v>
      </c>
      <c r="E383" s="179">
        <v>2025</v>
      </c>
      <c r="F383" s="179">
        <v>2025</v>
      </c>
      <c r="G383" s="177" t="s">
        <v>1466</v>
      </c>
      <c r="H383" s="196" t="s">
        <v>336</v>
      </c>
      <c r="I383" s="177" t="s">
        <v>1467</v>
      </c>
      <c r="J383" s="177" t="s">
        <v>741</v>
      </c>
      <c r="K383" s="181" t="s">
        <v>357</v>
      </c>
      <c r="N383" s="179">
        <v>6</v>
      </c>
      <c r="O383" s="181" t="s">
        <v>796</v>
      </c>
      <c r="P383" s="177" t="s">
        <v>726</v>
      </c>
      <c r="Q383" s="177" t="s">
        <v>1493</v>
      </c>
      <c r="R383" s="177" t="s">
        <v>339</v>
      </c>
      <c r="S383" s="181" t="s">
        <v>22</v>
      </c>
      <c r="T383" s="177" t="s">
        <v>337</v>
      </c>
      <c r="U383" s="179">
        <v>15</v>
      </c>
      <c r="V383" s="179">
        <v>90</v>
      </c>
      <c r="X383" s="179">
        <v>90</v>
      </c>
      <c r="Y383" s="179">
        <v>3</v>
      </c>
      <c r="Z383" s="179" t="s">
        <v>20</v>
      </c>
      <c r="AA383" s="179" t="s">
        <v>20</v>
      </c>
      <c r="AB383" s="179" t="s">
        <v>21</v>
      </c>
      <c r="AC383" s="179" t="s">
        <v>21</v>
      </c>
      <c r="AD383" s="181" t="s">
        <v>2321</v>
      </c>
      <c r="AE383" s="179" t="s">
        <v>18</v>
      </c>
      <c r="AG383" s="177" t="s">
        <v>1495</v>
      </c>
      <c r="AH383" s="179">
        <v>30</v>
      </c>
      <c r="AI383" s="179">
        <v>2</v>
      </c>
      <c r="AJ383" s="183">
        <f t="shared" si="56"/>
        <v>6372</v>
      </c>
      <c r="AK383" s="197">
        <v>30</v>
      </c>
      <c r="AL383" s="183">
        <v>0</v>
      </c>
      <c r="AM383" s="183">
        <f t="shared" si="64"/>
        <v>1800000</v>
      </c>
      <c r="AN383" s="183">
        <f t="shared" si="58"/>
        <v>2250000</v>
      </c>
      <c r="AO383" s="183">
        <f t="shared" si="59"/>
        <v>0</v>
      </c>
      <c r="AP383" s="183">
        <f t="shared" si="60"/>
        <v>8602200</v>
      </c>
      <c r="AQ383" s="183" t="s">
        <v>21</v>
      </c>
      <c r="AR383" s="183">
        <f t="shared" si="68"/>
        <v>0</v>
      </c>
      <c r="AS383" s="183">
        <f t="shared" si="69"/>
        <v>12652200</v>
      </c>
    </row>
    <row r="384" spans="1:49" ht="20.100000000000001" customHeight="1" x14ac:dyDescent="0.25">
      <c r="A384" s="179">
        <v>15368</v>
      </c>
      <c r="B384" s="175" t="s">
        <v>96</v>
      </c>
      <c r="C384" s="175" t="s">
        <v>39</v>
      </c>
      <c r="D384" s="179">
        <v>4</v>
      </c>
      <c r="E384" s="179">
        <v>2025</v>
      </c>
      <c r="F384" s="179">
        <v>2025</v>
      </c>
      <c r="G384" s="177" t="s">
        <v>1466</v>
      </c>
      <c r="H384" s="196" t="s">
        <v>336</v>
      </c>
      <c r="I384" s="177" t="s">
        <v>1467</v>
      </c>
      <c r="J384" s="177" t="s">
        <v>741</v>
      </c>
      <c r="K384" s="181" t="s">
        <v>357</v>
      </c>
      <c r="N384" s="179">
        <v>6</v>
      </c>
      <c r="O384" s="181" t="s">
        <v>796</v>
      </c>
      <c r="P384" s="177" t="s">
        <v>2127</v>
      </c>
      <c r="Q384" s="177" t="s">
        <v>1493</v>
      </c>
      <c r="R384" s="177" t="s">
        <v>339</v>
      </c>
      <c r="S384" s="181" t="s">
        <v>22</v>
      </c>
      <c r="T384" s="177" t="s">
        <v>347</v>
      </c>
      <c r="U384" s="179">
        <v>15</v>
      </c>
      <c r="V384" s="179">
        <v>90</v>
      </c>
      <c r="X384" s="179">
        <v>90</v>
      </c>
      <c r="Y384" s="179">
        <v>3</v>
      </c>
      <c r="Z384" s="179" t="s">
        <v>20</v>
      </c>
      <c r="AA384" s="179" t="s">
        <v>20</v>
      </c>
      <c r="AB384" s="179" t="s">
        <v>21</v>
      </c>
      <c r="AC384" s="179" t="s">
        <v>21</v>
      </c>
      <c r="AD384" s="181" t="s">
        <v>2321</v>
      </c>
      <c r="AE384" s="179" t="s">
        <v>18</v>
      </c>
      <c r="AG384" s="177" t="s">
        <v>1495</v>
      </c>
      <c r="AH384" s="179">
        <v>30</v>
      </c>
      <c r="AI384" s="179">
        <v>2</v>
      </c>
      <c r="AJ384" s="183">
        <f t="shared" si="56"/>
        <v>6372</v>
      </c>
      <c r="AK384" s="197">
        <v>30</v>
      </c>
      <c r="AL384" s="183">
        <v>0</v>
      </c>
      <c r="AM384" s="183">
        <f t="shared" si="64"/>
        <v>1800000</v>
      </c>
      <c r="AN384" s="183">
        <f t="shared" si="58"/>
        <v>2250000</v>
      </c>
      <c r="AO384" s="183">
        <f t="shared" si="59"/>
        <v>0</v>
      </c>
      <c r="AP384" s="183">
        <f t="shared" si="60"/>
        <v>8602200</v>
      </c>
      <c r="AQ384" s="183" t="s">
        <v>21</v>
      </c>
      <c r="AR384" s="183">
        <f t="shared" si="68"/>
        <v>0</v>
      </c>
      <c r="AS384" s="183">
        <f t="shared" si="69"/>
        <v>12652200</v>
      </c>
    </row>
    <row r="385" spans="1:45" ht="20.100000000000001" customHeight="1" x14ac:dyDescent="0.25">
      <c r="A385" s="179">
        <v>15371</v>
      </c>
      <c r="B385" s="175" t="s">
        <v>96</v>
      </c>
      <c r="C385" s="175" t="s">
        <v>39</v>
      </c>
      <c r="D385" s="179">
        <v>4</v>
      </c>
      <c r="E385" s="179">
        <v>2025</v>
      </c>
      <c r="F385" s="179">
        <v>2025</v>
      </c>
      <c r="G385" s="177" t="s">
        <v>1466</v>
      </c>
      <c r="H385" s="196" t="s">
        <v>336</v>
      </c>
      <c r="I385" s="177" t="s">
        <v>1467</v>
      </c>
      <c r="J385" s="177" t="s">
        <v>741</v>
      </c>
      <c r="K385" s="181" t="s">
        <v>357</v>
      </c>
      <c r="N385" s="179">
        <v>6</v>
      </c>
      <c r="O385" s="181" t="s">
        <v>796</v>
      </c>
      <c r="P385" s="177" t="s">
        <v>820</v>
      </c>
      <c r="Q385" s="177" t="s">
        <v>1493</v>
      </c>
      <c r="R385" s="177" t="s">
        <v>339</v>
      </c>
      <c r="S385" s="181" t="s">
        <v>22</v>
      </c>
      <c r="T385" s="177" t="s">
        <v>347</v>
      </c>
      <c r="U385" s="179">
        <v>15</v>
      </c>
      <c r="V385" s="179">
        <v>90</v>
      </c>
      <c r="X385" s="179">
        <v>90</v>
      </c>
      <c r="Y385" s="179">
        <v>3</v>
      </c>
      <c r="Z385" s="179" t="s">
        <v>20</v>
      </c>
      <c r="AA385" s="179" t="s">
        <v>20</v>
      </c>
      <c r="AB385" s="179" t="s">
        <v>21</v>
      </c>
      <c r="AC385" s="179" t="s">
        <v>21</v>
      </c>
      <c r="AD385" s="181" t="s">
        <v>2321</v>
      </c>
      <c r="AE385" s="179" t="s">
        <v>18</v>
      </c>
      <c r="AG385" s="177" t="s">
        <v>1495</v>
      </c>
      <c r="AH385" s="179">
        <v>30</v>
      </c>
      <c r="AI385" s="179">
        <v>2</v>
      </c>
      <c r="AJ385" s="183">
        <f t="shared" si="56"/>
        <v>6372</v>
      </c>
      <c r="AK385" s="197">
        <v>30</v>
      </c>
      <c r="AL385" s="183">
        <v>0</v>
      </c>
      <c r="AM385" s="183">
        <f t="shared" si="64"/>
        <v>1800000</v>
      </c>
      <c r="AN385" s="183">
        <f t="shared" si="58"/>
        <v>2250000</v>
      </c>
      <c r="AO385" s="183">
        <f t="shared" si="59"/>
        <v>0</v>
      </c>
      <c r="AP385" s="183">
        <f t="shared" si="60"/>
        <v>8602200</v>
      </c>
      <c r="AQ385" s="183" t="s">
        <v>21</v>
      </c>
      <c r="AR385" s="183">
        <f t="shared" si="68"/>
        <v>0</v>
      </c>
      <c r="AS385" s="183">
        <f t="shared" si="69"/>
        <v>12652200</v>
      </c>
    </row>
    <row r="386" spans="1:45" ht="20.100000000000001" customHeight="1" x14ac:dyDescent="0.25">
      <c r="A386" s="179">
        <v>15373</v>
      </c>
      <c r="B386" s="175" t="s">
        <v>96</v>
      </c>
      <c r="C386" s="175" t="s">
        <v>39</v>
      </c>
      <c r="D386" s="179">
        <v>4</v>
      </c>
      <c r="E386" s="179">
        <v>2025</v>
      </c>
      <c r="F386" s="179">
        <v>2025</v>
      </c>
      <c r="G386" s="177" t="s">
        <v>1466</v>
      </c>
      <c r="H386" s="196" t="s">
        <v>336</v>
      </c>
      <c r="I386" s="177" t="s">
        <v>1467</v>
      </c>
      <c r="J386" s="177" t="s">
        <v>741</v>
      </c>
      <c r="K386" s="181" t="s">
        <v>357</v>
      </c>
      <c r="N386" s="179">
        <v>6</v>
      </c>
      <c r="O386" s="181" t="s">
        <v>796</v>
      </c>
      <c r="P386" s="177" t="s">
        <v>1008</v>
      </c>
      <c r="Q386" s="177" t="s">
        <v>1493</v>
      </c>
      <c r="R386" s="177" t="s">
        <v>339</v>
      </c>
      <c r="S386" s="181" t="s">
        <v>22</v>
      </c>
      <c r="T386" s="177" t="s">
        <v>2322</v>
      </c>
      <c r="U386" s="179">
        <v>15</v>
      </c>
      <c r="V386" s="179">
        <v>90</v>
      </c>
      <c r="X386" s="179">
        <v>90</v>
      </c>
      <c r="Y386" s="179">
        <v>3</v>
      </c>
      <c r="Z386" s="179" t="s">
        <v>20</v>
      </c>
      <c r="AA386" s="179" t="s">
        <v>20</v>
      </c>
      <c r="AB386" s="179" t="s">
        <v>21</v>
      </c>
      <c r="AC386" s="179" t="s">
        <v>21</v>
      </c>
      <c r="AD386" s="181" t="s">
        <v>2321</v>
      </c>
      <c r="AE386" s="179" t="s">
        <v>18</v>
      </c>
      <c r="AG386" s="177" t="s">
        <v>1495</v>
      </c>
      <c r="AH386" s="179">
        <v>30</v>
      </c>
      <c r="AI386" s="179">
        <v>2</v>
      </c>
      <c r="AJ386" s="183">
        <f t="shared" ref="AJ386:AJ395" si="70">IF(AI386=1,5074,IF(AI386=2,6372,IF(AI386=3,7434,"ERROR")))</f>
        <v>6372</v>
      </c>
      <c r="AK386" s="197">
        <v>30</v>
      </c>
      <c r="AL386" s="183">
        <v>0</v>
      </c>
      <c r="AM386" s="183">
        <f t="shared" si="64"/>
        <v>1800000</v>
      </c>
      <c r="AN386" s="183">
        <f t="shared" ref="AN386:AN395" si="71">IF(AA386="SI",5000*AH386*U386,0)</f>
        <v>2250000</v>
      </c>
      <c r="AO386" s="183">
        <f t="shared" ref="AO386:AO395" si="72">IF(AB386="SI",270000*U386,0)</f>
        <v>0</v>
      </c>
      <c r="AP386" s="183">
        <f t="shared" ref="AP386:AP395" si="73">+(AJ386*X386*U386)</f>
        <v>8602200</v>
      </c>
      <c r="AQ386" s="183" t="s">
        <v>21</v>
      </c>
      <c r="AR386" s="183">
        <f t="shared" si="68"/>
        <v>0</v>
      </c>
      <c r="AS386" s="183">
        <f t="shared" si="69"/>
        <v>12652200</v>
      </c>
    </row>
    <row r="387" spans="1:45" ht="20.100000000000001" customHeight="1" x14ac:dyDescent="0.25">
      <c r="A387" s="179">
        <v>15375</v>
      </c>
      <c r="B387" s="175" t="s">
        <v>96</v>
      </c>
      <c r="C387" s="175" t="s">
        <v>39</v>
      </c>
      <c r="D387" s="179">
        <v>4</v>
      </c>
      <c r="E387" s="179">
        <v>2025</v>
      </c>
      <c r="F387" s="179">
        <v>2025</v>
      </c>
      <c r="G387" s="177" t="s">
        <v>1466</v>
      </c>
      <c r="H387" s="196" t="s">
        <v>336</v>
      </c>
      <c r="I387" s="177" t="s">
        <v>1467</v>
      </c>
      <c r="J387" s="177" t="s">
        <v>741</v>
      </c>
      <c r="K387" s="181" t="s">
        <v>357</v>
      </c>
      <c r="N387" s="179">
        <v>6</v>
      </c>
      <c r="O387" s="181" t="s">
        <v>796</v>
      </c>
      <c r="P387" s="177" t="s">
        <v>2323</v>
      </c>
      <c r="Q387" s="177" t="s">
        <v>1493</v>
      </c>
      <c r="R387" s="177" t="s">
        <v>339</v>
      </c>
      <c r="S387" s="181" t="s">
        <v>22</v>
      </c>
      <c r="T387" s="177" t="s">
        <v>347</v>
      </c>
      <c r="U387" s="179">
        <v>15</v>
      </c>
      <c r="V387" s="179">
        <v>90</v>
      </c>
      <c r="X387" s="179">
        <v>90</v>
      </c>
      <c r="Y387" s="179">
        <v>3</v>
      </c>
      <c r="Z387" s="179" t="s">
        <v>20</v>
      </c>
      <c r="AA387" s="179" t="s">
        <v>20</v>
      </c>
      <c r="AB387" s="179" t="s">
        <v>21</v>
      </c>
      <c r="AD387" s="181" t="s">
        <v>2321</v>
      </c>
      <c r="AE387" s="179" t="s">
        <v>18</v>
      </c>
      <c r="AG387" s="177" t="s">
        <v>1495</v>
      </c>
      <c r="AH387" s="179">
        <v>30</v>
      </c>
      <c r="AI387" s="179">
        <v>2</v>
      </c>
      <c r="AJ387" s="183">
        <f t="shared" si="70"/>
        <v>6372</v>
      </c>
      <c r="AK387" s="197">
        <v>30</v>
      </c>
      <c r="AL387" s="183">
        <v>0</v>
      </c>
      <c r="AM387" s="183">
        <f t="shared" si="64"/>
        <v>1800000</v>
      </c>
      <c r="AN387" s="183">
        <f t="shared" si="71"/>
        <v>2250000</v>
      </c>
      <c r="AO387" s="183">
        <f t="shared" si="72"/>
        <v>0</v>
      </c>
      <c r="AP387" s="183">
        <f t="shared" si="73"/>
        <v>8602200</v>
      </c>
      <c r="AQ387" s="183" t="s">
        <v>21</v>
      </c>
      <c r="AR387" s="183">
        <f t="shared" si="68"/>
        <v>0</v>
      </c>
      <c r="AS387" s="183">
        <f t="shared" si="69"/>
        <v>12652200</v>
      </c>
    </row>
    <row r="388" spans="1:45" ht="20.100000000000001" customHeight="1" x14ac:dyDescent="0.25">
      <c r="A388" s="179">
        <v>15387</v>
      </c>
      <c r="B388" s="175" t="s">
        <v>96</v>
      </c>
      <c r="C388" s="175" t="s">
        <v>39</v>
      </c>
      <c r="D388" s="179">
        <v>4</v>
      </c>
      <c r="E388" s="179">
        <v>2025</v>
      </c>
      <c r="F388" s="179">
        <v>2025</v>
      </c>
      <c r="G388" s="177" t="s">
        <v>1466</v>
      </c>
      <c r="H388" s="196" t="s">
        <v>336</v>
      </c>
      <c r="I388" s="177" t="s">
        <v>1467</v>
      </c>
      <c r="J388" s="177" t="s">
        <v>2324</v>
      </c>
      <c r="N388" s="179">
        <v>6</v>
      </c>
      <c r="O388" s="181" t="s">
        <v>796</v>
      </c>
      <c r="P388" s="177" t="s">
        <v>818</v>
      </c>
      <c r="Q388" s="177" t="s">
        <v>1469</v>
      </c>
      <c r="R388" s="177" t="s">
        <v>339</v>
      </c>
      <c r="S388" s="181" t="s">
        <v>22</v>
      </c>
      <c r="T388" s="177" t="s">
        <v>348</v>
      </c>
      <c r="U388" s="179">
        <v>15</v>
      </c>
      <c r="V388" s="179">
        <v>45</v>
      </c>
      <c r="X388" s="179">
        <v>45</v>
      </c>
      <c r="Y388" s="179">
        <v>3</v>
      </c>
      <c r="Z388" s="179" t="s">
        <v>20</v>
      </c>
      <c r="AA388" s="179" t="s">
        <v>20</v>
      </c>
      <c r="AB388" s="179" t="s">
        <v>21</v>
      </c>
      <c r="AC388" s="181" t="s">
        <v>2325</v>
      </c>
      <c r="AD388" s="181" t="s">
        <v>2326</v>
      </c>
      <c r="AE388" s="179" t="s">
        <v>18</v>
      </c>
      <c r="AG388" s="177" t="s">
        <v>1173</v>
      </c>
      <c r="AH388" s="179">
        <v>15</v>
      </c>
      <c r="AI388" s="179">
        <v>3</v>
      </c>
      <c r="AJ388" s="183">
        <f t="shared" si="70"/>
        <v>7434</v>
      </c>
      <c r="AK388" s="197">
        <v>15</v>
      </c>
      <c r="AL388" s="183">
        <v>0</v>
      </c>
      <c r="AM388" s="183">
        <f t="shared" si="64"/>
        <v>900000</v>
      </c>
      <c r="AN388" s="183">
        <f t="shared" si="71"/>
        <v>1125000</v>
      </c>
      <c r="AO388" s="183">
        <f t="shared" si="72"/>
        <v>0</v>
      </c>
      <c r="AP388" s="183">
        <f t="shared" si="73"/>
        <v>5017950</v>
      </c>
      <c r="AQ388" s="183" t="s">
        <v>21</v>
      </c>
      <c r="AR388" s="183">
        <f t="shared" si="68"/>
        <v>0</v>
      </c>
      <c r="AS388" s="183">
        <f t="shared" si="69"/>
        <v>7042950</v>
      </c>
    </row>
    <row r="389" spans="1:45" ht="20.100000000000001" customHeight="1" x14ac:dyDescent="0.25">
      <c r="A389" s="179">
        <v>14637</v>
      </c>
      <c r="B389" s="175" t="s">
        <v>96</v>
      </c>
      <c r="C389" s="175" t="s">
        <v>39</v>
      </c>
      <c r="D389" s="179">
        <v>4</v>
      </c>
      <c r="E389" s="179">
        <v>2025</v>
      </c>
      <c r="F389" s="179">
        <v>2025</v>
      </c>
      <c r="G389" s="177" t="s">
        <v>1466</v>
      </c>
      <c r="H389" s="196" t="s">
        <v>336</v>
      </c>
      <c r="I389" s="177" t="s">
        <v>1467</v>
      </c>
      <c r="J389" s="177" t="s">
        <v>2327</v>
      </c>
      <c r="K389" s="181" t="s">
        <v>2328</v>
      </c>
      <c r="N389" s="179">
        <v>13</v>
      </c>
      <c r="O389" s="181" t="s">
        <v>382</v>
      </c>
      <c r="P389" s="177" t="s">
        <v>717</v>
      </c>
      <c r="Q389" s="177" t="s">
        <v>1493</v>
      </c>
      <c r="R389" s="177" t="s">
        <v>339</v>
      </c>
      <c r="S389" s="181" t="s">
        <v>22</v>
      </c>
      <c r="T389" s="177" t="s">
        <v>347</v>
      </c>
      <c r="U389" s="179">
        <v>20</v>
      </c>
      <c r="V389" s="179">
        <v>240</v>
      </c>
      <c r="X389" s="179">
        <v>240</v>
      </c>
      <c r="Y389" s="179">
        <v>4</v>
      </c>
      <c r="Z389" s="179" t="s">
        <v>20</v>
      </c>
      <c r="AA389" s="179" t="s">
        <v>20</v>
      </c>
      <c r="AB389" s="179" t="s">
        <v>21</v>
      </c>
      <c r="AD389" s="181" t="s">
        <v>2329</v>
      </c>
      <c r="AE389" s="179" t="s">
        <v>18</v>
      </c>
      <c r="AG389" s="177" t="s">
        <v>1495</v>
      </c>
      <c r="AH389" s="179">
        <v>60</v>
      </c>
      <c r="AI389" s="179">
        <v>1</v>
      </c>
      <c r="AJ389" s="183">
        <f t="shared" si="70"/>
        <v>5074</v>
      </c>
      <c r="AK389" s="197">
        <v>60</v>
      </c>
      <c r="AL389" s="183">
        <v>0</v>
      </c>
      <c r="AM389" s="183">
        <f t="shared" si="64"/>
        <v>4800000</v>
      </c>
      <c r="AN389" s="183">
        <f t="shared" si="71"/>
        <v>6000000</v>
      </c>
      <c r="AO389" s="183">
        <f t="shared" si="72"/>
        <v>0</v>
      </c>
      <c r="AP389" s="183">
        <f t="shared" si="73"/>
        <v>24355200</v>
      </c>
      <c r="AR389" s="183">
        <f t="shared" si="68"/>
        <v>0</v>
      </c>
      <c r="AS389" s="183">
        <f t="shared" si="69"/>
        <v>35155200</v>
      </c>
    </row>
    <row r="390" spans="1:45" ht="20.100000000000001" customHeight="1" x14ac:dyDescent="0.25">
      <c r="A390" s="179">
        <v>14638</v>
      </c>
      <c r="B390" s="175" t="s">
        <v>96</v>
      </c>
      <c r="C390" s="175" t="s">
        <v>39</v>
      </c>
      <c r="D390" s="179">
        <v>4</v>
      </c>
      <c r="E390" s="179">
        <v>2025</v>
      </c>
      <c r="F390" s="179">
        <v>2025</v>
      </c>
      <c r="G390" s="177" t="s">
        <v>1466</v>
      </c>
      <c r="H390" s="196" t="s">
        <v>336</v>
      </c>
      <c r="I390" s="177" t="s">
        <v>1467</v>
      </c>
      <c r="J390" s="177" t="s">
        <v>2330</v>
      </c>
      <c r="K390" s="181" t="s">
        <v>2331</v>
      </c>
      <c r="N390" s="179">
        <v>13</v>
      </c>
      <c r="O390" s="181" t="s">
        <v>382</v>
      </c>
      <c r="P390" s="177" t="s">
        <v>412</v>
      </c>
      <c r="Q390" s="177" t="s">
        <v>1493</v>
      </c>
      <c r="R390" s="177" t="s">
        <v>339</v>
      </c>
      <c r="S390" s="181" t="s">
        <v>22</v>
      </c>
      <c r="T390" s="177" t="s">
        <v>347</v>
      </c>
      <c r="U390" s="179">
        <v>15</v>
      </c>
      <c r="V390" s="179">
        <v>80</v>
      </c>
      <c r="X390" s="179">
        <v>80</v>
      </c>
      <c r="Y390" s="179">
        <v>4</v>
      </c>
      <c r="Z390" s="179" t="s">
        <v>20</v>
      </c>
      <c r="AA390" s="179" t="s">
        <v>20</v>
      </c>
      <c r="AB390" s="179" t="s">
        <v>21</v>
      </c>
      <c r="AD390" s="181" t="s">
        <v>2329</v>
      </c>
      <c r="AE390" s="179" t="s">
        <v>18</v>
      </c>
      <c r="AG390" s="177" t="s">
        <v>1495</v>
      </c>
      <c r="AH390" s="179">
        <v>20</v>
      </c>
      <c r="AI390" s="179">
        <v>2</v>
      </c>
      <c r="AJ390" s="183">
        <f t="shared" si="70"/>
        <v>6372</v>
      </c>
      <c r="AK390" s="197">
        <v>20</v>
      </c>
      <c r="AL390" s="183">
        <v>0</v>
      </c>
      <c r="AM390" s="183">
        <f t="shared" si="64"/>
        <v>1200000</v>
      </c>
      <c r="AN390" s="183">
        <f t="shared" si="71"/>
        <v>1500000</v>
      </c>
      <c r="AO390" s="183">
        <f t="shared" si="72"/>
        <v>0</v>
      </c>
      <c r="AP390" s="183">
        <f t="shared" si="73"/>
        <v>7646400</v>
      </c>
      <c r="AR390" s="183">
        <f t="shared" si="68"/>
        <v>0</v>
      </c>
      <c r="AS390" s="183">
        <f t="shared" si="69"/>
        <v>10346400</v>
      </c>
    </row>
    <row r="391" spans="1:45" ht="20.100000000000001" customHeight="1" x14ac:dyDescent="0.25">
      <c r="A391" s="179">
        <v>14639</v>
      </c>
      <c r="B391" s="175" t="s">
        <v>96</v>
      </c>
      <c r="C391" s="175" t="s">
        <v>39</v>
      </c>
      <c r="D391" s="179">
        <v>4</v>
      </c>
      <c r="E391" s="179">
        <v>2025</v>
      </c>
      <c r="F391" s="179">
        <v>2025</v>
      </c>
      <c r="G391" s="177" t="s">
        <v>1466</v>
      </c>
      <c r="H391" s="196" t="s">
        <v>336</v>
      </c>
      <c r="I391" s="177" t="s">
        <v>1467</v>
      </c>
      <c r="J391" s="177" t="s">
        <v>1185</v>
      </c>
      <c r="K391" s="181" t="s">
        <v>1186</v>
      </c>
      <c r="N391" s="179">
        <v>13</v>
      </c>
      <c r="O391" s="181" t="s">
        <v>382</v>
      </c>
      <c r="P391" s="177" t="s">
        <v>729</v>
      </c>
      <c r="Q391" s="177" t="s">
        <v>1493</v>
      </c>
      <c r="R391" s="177" t="s">
        <v>339</v>
      </c>
      <c r="S391" s="181" t="s">
        <v>22</v>
      </c>
      <c r="T391" s="177" t="s">
        <v>347</v>
      </c>
      <c r="U391" s="179">
        <v>20</v>
      </c>
      <c r="V391" s="179">
        <v>80</v>
      </c>
      <c r="X391" s="179">
        <v>80</v>
      </c>
      <c r="Y391" s="179">
        <v>4</v>
      </c>
      <c r="Z391" s="179" t="s">
        <v>20</v>
      </c>
      <c r="AA391" s="179" t="s">
        <v>20</v>
      </c>
      <c r="AB391" s="179" t="s">
        <v>21</v>
      </c>
      <c r="AD391" s="181" t="s">
        <v>2332</v>
      </c>
      <c r="AE391" s="179" t="s">
        <v>18</v>
      </c>
      <c r="AG391" s="177" t="s">
        <v>1495</v>
      </c>
      <c r="AH391" s="179">
        <v>20</v>
      </c>
      <c r="AI391" s="179">
        <v>1</v>
      </c>
      <c r="AJ391" s="183">
        <f t="shared" si="70"/>
        <v>5074</v>
      </c>
      <c r="AK391" s="197">
        <v>20</v>
      </c>
      <c r="AL391" s="183">
        <v>0</v>
      </c>
      <c r="AM391" s="183">
        <f t="shared" si="64"/>
        <v>1600000</v>
      </c>
      <c r="AN391" s="183">
        <f t="shared" si="71"/>
        <v>2000000</v>
      </c>
      <c r="AO391" s="183">
        <f t="shared" si="72"/>
        <v>0</v>
      </c>
      <c r="AP391" s="183">
        <f t="shared" si="73"/>
        <v>8118400</v>
      </c>
      <c r="AR391" s="183">
        <f t="shared" si="68"/>
        <v>0</v>
      </c>
      <c r="AS391" s="183">
        <f t="shared" si="69"/>
        <v>11718400</v>
      </c>
    </row>
    <row r="392" spans="1:45" ht="20.100000000000001" customHeight="1" x14ac:dyDescent="0.25">
      <c r="A392" s="179">
        <v>14640</v>
      </c>
      <c r="B392" s="175" t="s">
        <v>96</v>
      </c>
      <c r="C392" s="175" t="s">
        <v>39</v>
      </c>
      <c r="D392" s="179">
        <v>4</v>
      </c>
      <c r="E392" s="179">
        <v>2025</v>
      </c>
      <c r="F392" s="179">
        <v>2025</v>
      </c>
      <c r="G392" s="177" t="s">
        <v>1466</v>
      </c>
      <c r="H392" s="196" t="s">
        <v>336</v>
      </c>
      <c r="I392" s="177" t="s">
        <v>1467</v>
      </c>
      <c r="J392" s="177" t="s">
        <v>2333</v>
      </c>
      <c r="K392" s="181" t="s">
        <v>2334</v>
      </c>
      <c r="N392" s="179">
        <v>13</v>
      </c>
      <c r="O392" s="181" t="s">
        <v>382</v>
      </c>
      <c r="P392" s="177" t="s">
        <v>730</v>
      </c>
      <c r="Q392" s="177" t="s">
        <v>1493</v>
      </c>
      <c r="R392" s="177" t="s">
        <v>339</v>
      </c>
      <c r="S392" s="181" t="s">
        <v>22</v>
      </c>
      <c r="T392" s="177" t="s">
        <v>347</v>
      </c>
      <c r="U392" s="179">
        <v>15</v>
      </c>
      <c r="V392" s="179">
        <v>200</v>
      </c>
      <c r="X392" s="179">
        <v>200</v>
      </c>
      <c r="Y392" s="179">
        <v>4</v>
      </c>
      <c r="Z392" s="179" t="s">
        <v>20</v>
      </c>
      <c r="AA392" s="179" t="s">
        <v>20</v>
      </c>
      <c r="AB392" s="179" t="s">
        <v>21</v>
      </c>
      <c r="AD392" s="181" t="s">
        <v>2335</v>
      </c>
      <c r="AE392" s="179" t="s">
        <v>18</v>
      </c>
      <c r="AG392" s="177" t="s">
        <v>1495</v>
      </c>
      <c r="AH392" s="179">
        <v>50</v>
      </c>
      <c r="AI392" s="179">
        <v>2</v>
      </c>
      <c r="AJ392" s="183">
        <f t="shared" si="70"/>
        <v>6372</v>
      </c>
      <c r="AK392" s="197">
        <v>50</v>
      </c>
      <c r="AL392" s="183">
        <v>0</v>
      </c>
      <c r="AM392" s="183">
        <f t="shared" si="64"/>
        <v>3000000</v>
      </c>
      <c r="AN392" s="183">
        <f t="shared" si="71"/>
        <v>3750000</v>
      </c>
      <c r="AO392" s="183">
        <f t="shared" si="72"/>
        <v>0</v>
      </c>
      <c r="AP392" s="183">
        <f t="shared" si="73"/>
        <v>19116000</v>
      </c>
      <c r="AR392" s="183">
        <f t="shared" si="68"/>
        <v>0</v>
      </c>
      <c r="AS392" s="183">
        <f t="shared" si="69"/>
        <v>25866000</v>
      </c>
    </row>
    <row r="393" spans="1:45" ht="20.100000000000001" customHeight="1" x14ac:dyDescent="0.25">
      <c r="A393" s="179">
        <v>14642</v>
      </c>
      <c r="B393" s="175" t="s">
        <v>96</v>
      </c>
      <c r="C393" s="175" t="s">
        <v>39</v>
      </c>
      <c r="D393" s="179">
        <v>4</v>
      </c>
      <c r="E393" s="179">
        <v>2025</v>
      </c>
      <c r="F393" s="179">
        <v>2025</v>
      </c>
      <c r="G393" s="177" t="s">
        <v>1466</v>
      </c>
      <c r="H393" s="196" t="s">
        <v>336</v>
      </c>
      <c r="I393" s="177" t="s">
        <v>1467</v>
      </c>
      <c r="J393" s="177" t="s">
        <v>704</v>
      </c>
      <c r="K393" s="181" t="s">
        <v>705</v>
      </c>
      <c r="N393" s="179">
        <v>13</v>
      </c>
      <c r="O393" s="181" t="s">
        <v>382</v>
      </c>
      <c r="P393" s="177" t="s">
        <v>402</v>
      </c>
      <c r="Q393" s="177" t="s">
        <v>1493</v>
      </c>
      <c r="R393" s="177" t="s">
        <v>339</v>
      </c>
      <c r="S393" s="181" t="s">
        <v>22</v>
      </c>
      <c r="T393" s="177" t="s">
        <v>347</v>
      </c>
      <c r="U393" s="179">
        <v>15</v>
      </c>
      <c r="V393" s="179">
        <v>90</v>
      </c>
      <c r="X393" s="179">
        <v>90</v>
      </c>
      <c r="Y393" s="179">
        <v>4</v>
      </c>
      <c r="Z393" s="179" t="s">
        <v>20</v>
      </c>
      <c r="AA393" s="179" t="s">
        <v>20</v>
      </c>
      <c r="AB393" s="179" t="s">
        <v>21</v>
      </c>
      <c r="AD393" s="181" t="s">
        <v>2336</v>
      </c>
      <c r="AE393" s="179" t="s">
        <v>18</v>
      </c>
      <c r="AG393" s="177" t="s">
        <v>1495</v>
      </c>
      <c r="AH393" s="179">
        <v>23</v>
      </c>
      <c r="AI393" s="179">
        <v>2</v>
      </c>
      <c r="AJ393" s="183">
        <f t="shared" si="70"/>
        <v>6372</v>
      </c>
      <c r="AK393" s="197">
        <v>22.5</v>
      </c>
      <c r="AL393" s="183">
        <v>0</v>
      </c>
      <c r="AM393" s="183">
        <f t="shared" si="64"/>
        <v>1380000</v>
      </c>
      <c r="AN393" s="183">
        <f t="shared" si="71"/>
        <v>1725000</v>
      </c>
      <c r="AO393" s="183">
        <f t="shared" si="72"/>
        <v>0</v>
      </c>
      <c r="AP393" s="183">
        <f t="shared" si="73"/>
        <v>8602200</v>
      </c>
      <c r="AR393" s="183">
        <f t="shared" si="68"/>
        <v>0</v>
      </c>
      <c r="AS393" s="183">
        <f t="shared" si="69"/>
        <v>11707200</v>
      </c>
    </row>
    <row r="394" spans="1:45" ht="20.100000000000001" customHeight="1" x14ac:dyDescent="0.25">
      <c r="A394" s="179">
        <v>14645</v>
      </c>
      <c r="B394" s="175" t="s">
        <v>96</v>
      </c>
      <c r="C394" s="175" t="s">
        <v>39</v>
      </c>
      <c r="D394" s="179">
        <v>4</v>
      </c>
      <c r="E394" s="179">
        <v>2025</v>
      </c>
      <c r="F394" s="179">
        <v>2025</v>
      </c>
      <c r="G394" s="177" t="s">
        <v>1466</v>
      </c>
      <c r="H394" s="196" t="s">
        <v>336</v>
      </c>
      <c r="I394" s="177" t="s">
        <v>1467</v>
      </c>
      <c r="J394" s="177" t="s">
        <v>2047</v>
      </c>
      <c r="K394" s="181" t="s">
        <v>2048</v>
      </c>
      <c r="N394" s="179">
        <v>13</v>
      </c>
      <c r="O394" s="181" t="s">
        <v>382</v>
      </c>
      <c r="P394" s="177" t="s">
        <v>720</v>
      </c>
      <c r="Q394" s="177" t="s">
        <v>1493</v>
      </c>
      <c r="R394" s="177" t="s">
        <v>339</v>
      </c>
      <c r="S394" s="181" t="s">
        <v>22</v>
      </c>
      <c r="T394" s="177" t="s">
        <v>347</v>
      </c>
      <c r="U394" s="179">
        <v>20</v>
      </c>
      <c r="V394" s="179">
        <v>120</v>
      </c>
      <c r="X394" s="179">
        <v>120</v>
      </c>
      <c r="Y394" s="179">
        <v>4</v>
      </c>
      <c r="Z394" s="179" t="s">
        <v>20</v>
      </c>
      <c r="AA394" s="179" t="s">
        <v>20</v>
      </c>
      <c r="AB394" s="179" t="s">
        <v>21</v>
      </c>
      <c r="AD394" s="181" t="s">
        <v>2337</v>
      </c>
      <c r="AE394" s="179" t="s">
        <v>18</v>
      </c>
      <c r="AG394" s="177" t="s">
        <v>1495</v>
      </c>
      <c r="AH394" s="179">
        <v>30</v>
      </c>
      <c r="AI394" s="179">
        <v>2</v>
      </c>
      <c r="AJ394" s="183">
        <f t="shared" si="70"/>
        <v>6372</v>
      </c>
      <c r="AK394" s="197">
        <v>30</v>
      </c>
      <c r="AL394" s="183">
        <v>0</v>
      </c>
      <c r="AM394" s="183">
        <f t="shared" si="64"/>
        <v>2400000</v>
      </c>
      <c r="AN394" s="183">
        <f t="shared" si="71"/>
        <v>3000000</v>
      </c>
      <c r="AO394" s="183">
        <f t="shared" si="72"/>
        <v>0</v>
      </c>
      <c r="AP394" s="183">
        <f t="shared" si="73"/>
        <v>15292800</v>
      </c>
      <c r="AR394" s="183">
        <f t="shared" si="68"/>
        <v>0</v>
      </c>
      <c r="AS394" s="183">
        <f t="shared" si="69"/>
        <v>20692800</v>
      </c>
    </row>
    <row r="395" spans="1:45" ht="20.100000000000001" customHeight="1" x14ac:dyDescent="0.25">
      <c r="A395" s="179">
        <v>15668</v>
      </c>
      <c r="B395" s="175" t="s">
        <v>96</v>
      </c>
      <c r="C395" s="175" t="s">
        <v>39</v>
      </c>
      <c r="D395" s="179">
        <v>4</v>
      </c>
      <c r="E395" s="179">
        <v>2025</v>
      </c>
      <c r="F395" s="179">
        <v>2025</v>
      </c>
      <c r="G395" s="177" t="s">
        <v>1466</v>
      </c>
      <c r="H395" s="196" t="s">
        <v>336</v>
      </c>
      <c r="I395" s="177" t="s">
        <v>1467</v>
      </c>
      <c r="J395" s="177" t="s">
        <v>2338</v>
      </c>
      <c r="K395" s="181" t="s">
        <v>2339</v>
      </c>
      <c r="N395" s="179">
        <v>13</v>
      </c>
      <c r="O395" s="181" t="s">
        <v>382</v>
      </c>
      <c r="P395" s="177" t="s">
        <v>714</v>
      </c>
      <c r="Q395" s="177" t="s">
        <v>1493</v>
      </c>
      <c r="R395" s="177" t="s">
        <v>339</v>
      </c>
      <c r="S395" s="181" t="s">
        <v>22</v>
      </c>
      <c r="T395" s="177" t="s">
        <v>347</v>
      </c>
      <c r="U395" s="179">
        <v>15</v>
      </c>
      <c r="V395" s="179">
        <v>110</v>
      </c>
      <c r="X395" s="179">
        <v>110</v>
      </c>
      <c r="Y395" s="179">
        <v>4</v>
      </c>
      <c r="Z395" s="179" t="s">
        <v>20</v>
      </c>
      <c r="AA395" s="179" t="s">
        <v>20</v>
      </c>
      <c r="AB395" s="179" t="s">
        <v>21</v>
      </c>
      <c r="AD395" s="181" t="s">
        <v>2340</v>
      </c>
      <c r="AE395" s="179" t="s">
        <v>18</v>
      </c>
      <c r="AG395" s="177" t="s">
        <v>1495</v>
      </c>
      <c r="AH395" s="179">
        <v>28</v>
      </c>
      <c r="AI395" s="179">
        <v>2</v>
      </c>
      <c r="AJ395" s="183">
        <f t="shared" si="70"/>
        <v>6372</v>
      </c>
      <c r="AK395" s="197">
        <v>27.5</v>
      </c>
      <c r="AL395" s="183">
        <v>0</v>
      </c>
      <c r="AM395" s="183">
        <f t="shared" si="64"/>
        <v>1680000</v>
      </c>
      <c r="AN395" s="183">
        <f t="shared" si="71"/>
        <v>2100000</v>
      </c>
      <c r="AO395" s="183">
        <f t="shared" si="72"/>
        <v>0</v>
      </c>
      <c r="AP395" s="183">
        <f t="shared" si="73"/>
        <v>10513800</v>
      </c>
      <c r="AR395" s="183">
        <f t="shared" si="68"/>
        <v>0</v>
      </c>
      <c r="AS395" s="183">
        <f t="shared" si="69"/>
        <v>14293800</v>
      </c>
    </row>
  </sheetData>
  <autoFilter ref="A1:AW1" xr:uid="{0C226827-ADD7-4A16-9F27-7AA7DDC16EE2}"/>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548C7-8F42-435A-80FE-F3543A4425C8}">
  <dimension ref="A1:H514"/>
  <sheetViews>
    <sheetView topLeftCell="A509" workbookViewId="0">
      <selection activeCell="I514" sqref="I514"/>
    </sheetView>
  </sheetViews>
  <sheetFormatPr baseColWidth="10" defaultRowHeight="15" x14ac:dyDescent="0.25"/>
  <cols>
    <col min="2" max="4" width="10.85546875" style="12"/>
    <col min="5" max="5" width="20.42578125" customWidth="1"/>
    <col min="7" max="7" width="24.7109375" customWidth="1"/>
  </cols>
  <sheetData>
    <row r="1" spans="1:8" ht="27.6" customHeight="1" x14ac:dyDescent="0.25">
      <c r="A1" s="23" t="s">
        <v>73</v>
      </c>
      <c r="B1" s="154">
        <v>1</v>
      </c>
      <c r="C1" s="154">
        <v>2</v>
      </c>
      <c r="D1" s="154">
        <v>3</v>
      </c>
      <c r="E1" s="154" t="s">
        <v>1163</v>
      </c>
      <c r="F1" s="154" t="s">
        <v>1164</v>
      </c>
      <c r="G1" s="155" t="s">
        <v>1165</v>
      </c>
      <c r="H1" s="155" t="s">
        <v>1143</v>
      </c>
    </row>
    <row r="2" spans="1:8" x14ac:dyDescent="0.25">
      <c r="A2" s="37" t="s">
        <v>541</v>
      </c>
      <c r="D2" s="12">
        <v>1</v>
      </c>
      <c r="E2" s="150">
        <f t="shared" ref="E2:E65" si="0">(B2*0.8)+(C2*0.15)+(D2*0.05)</f>
        <v>0.05</v>
      </c>
      <c r="F2">
        <v>3</v>
      </c>
      <c r="G2">
        <f>+(E2/F2)*100</f>
        <v>1.6666666666666667</v>
      </c>
      <c r="H2" s="150">
        <f t="shared" ref="H2:H65" si="1">IF(G2&lt;=1,7,IF(AND(G2&gt;1,G2&lt;=3),5,IF(AND(G2&gt;3,G2&lt;=10),3,IF(G2&gt;10,1))))</f>
        <v>5</v>
      </c>
    </row>
    <row r="3" spans="1:8" x14ac:dyDescent="0.25">
      <c r="A3" s="37" t="s">
        <v>120</v>
      </c>
      <c r="B3" s="12">
        <v>1</v>
      </c>
      <c r="E3" s="150">
        <f t="shared" si="0"/>
        <v>0.8</v>
      </c>
      <c r="F3">
        <v>65</v>
      </c>
      <c r="G3">
        <f t="shared" ref="G3:G66" si="2">+(E3/F3)*100</f>
        <v>1.2307692307692308</v>
      </c>
      <c r="H3" s="150">
        <f t="shared" si="1"/>
        <v>5</v>
      </c>
    </row>
    <row r="4" spans="1:8" x14ac:dyDescent="0.25">
      <c r="A4" s="37" t="s">
        <v>121</v>
      </c>
      <c r="C4" s="12">
        <v>1</v>
      </c>
      <c r="D4" s="12">
        <v>1</v>
      </c>
      <c r="E4" s="150">
        <f t="shared" si="0"/>
        <v>0.2</v>
      </c>
      <c r="F4">
        <v>187</v>
      </c>
      <c r="G4">
        <f t="shared" si="2"/>
        <v>0.10695187165775401</v>
      </c>
      <c r="H4" s="150">
        <f t="shared" si="1"/>
        <v>7</v>
      </c>
    </row>
    <row r="5" spans="1:8" x14ac:dyDescent="0.25">
      <c r="A5" s="37" t="s">
        <v>122</v>
      </c>
      <c r="D5" s="12">
        <v>4</v>
      </c>
      <c r="E5" s="150">
        <f t="shared" si="0"/>
        <v>0.2</v>
      </c>
      <c r="F5">
        <v>153</v>
      </c>
      <c r="G5">
        <f t="shared" si="2"/>
        <v>0.13071895424836602</v>
      </c>
      <c r="H5" s="150">
        <f t="shared" si="1"/>
        <v>7</v>
      </c>
    </row>
    <row r="6" spans="1:8" x14ac:dyDescent="0.25">
      <c r="A6" s="37" t="s">
        <v>545</v>
      </c>
      <c r="D6" s="12">
        <v>4</v>
      </c>
      <c r="E6" s="150">
        <f t="shared" si="0"/>
        <v>0.2</v>
      </c>
      <c r="F6">
        <v>70</v>
      </c>
      <c r="G6">
        <f t="shared" si="2"/>
        <v>0.2857142857142857</v>
      </c>
      <c r="H6" s="150">
        <f t="shared" si="1"/>
        <v>7</v>
      </c>
    </row>
    <row r="7" spans="1:8" x14ac:dyDescent="0.25">
      <c r="A7" s="37" t="s">
        <v>124</v>
      </c>
      <c r="D7" s="12">
        <v>1</v>
      </c>
      <c r="E7" s="150">
        <f t="shared" si="0"/>
        <v>0.05</v>
      </c>
      <c r="F7">
        <v>79</v>
      </c>
      <c r="G7">
        <f t="shared" si="2"/>
        <v>6.3291139240506333E-2</v>
      </c>
      <c r="H7" s="150">
        <f t="shared" si="1"/>
        <v>7</v>
      </c>
    </row>
    <row r="8" spans="1:8" x14ac:dyDescent="0.25">
      <c r="A8" s="37" t="s">
        <v>527</v>
      </c>
      <c r="C8" s="12">
        <v>2</v>
      </c>
      <c r="D8" s="12">
        <v>4</v>
      </c>
      <c r="E8" s="150">
        <f t="shared" si="0"/>
        <v>0.5</v>
      </c>
      <c r="F8">
        <v>37</v>
      </c>
      <c r="G8">
        <f t="shared" si="2"/>
        <v>1.3513513513513513</v>
      </c>
      <c r="H8" s="150">
        <f t="shared" si="1"/>
        <v>5</v>
      </c>
    </row>
    <row r="9" spans="1:8" x14ac:dyDescent="0.25">
      <c r="A9" s="37" t="s">
        <v>126</v>
      </c>
      <c r="D9" s="12">
        <v>2</v>
      </c>
      <c r="E9" s="150">
        <f t="shared" si="0"/>
        <v>0.1</v>
      </c>
      <c r="F9">
        <v>18</v>
      </c>
      <c r="G9">
        <f t="shared" si="2"/>
        <v>0.55555555555555558</v>
      </c>
      <c r="H9" s="150">
        <f t="shared" si="1"/>
        <v>7</v>
      </c>
    </row>
    <row r="10" spans="1:8" x14ac:dyDescent="0.25">
      <c r="A10" s="37" t="s">
        <v>127</v>
      </c>
      <c r="B10" s="12">
        <v>2</v>
      </c>
      <c r="C10" s="12">
        <v>3</v>
      </c>
      <c r="D10" s="12">
        <v>4</v>
      </c>
      <c r="E10" s="150">
        <f t="shared" si="0"/>
        <v>2.25</v>
      </c>
      <c r="F10">
        <v>31</v>
      </c>
      <c r="G10">
        <f t="shared" si="2"/>
        <v>7.2580645161290329</v>
      </c>
      <c r="H10" s="150">
        <f t="shared" si="1"/>
        <v>3</v>
      </c>
    </row>
    <row r="11" spans="1:8" x14ac:dyDescent="0.25">
      <c r="A11" s="37" t="s">
        <v>128</v>
      </c>
      <c r="B11" s="12">
        <v>12</v>
      </c>
      <c r="C11" s="12">
        <v>5</v>
      </c>
      <c r="D11" s="12">
        <v>10</v>
      </c>
      <c r="E11" s="150">
        <f t="shared" si="0"/>
        <v>10.850000000000001</v>
      </c>
      <c r="F11">
        <v>274</v>
      </c>
      <c r="G11">
        <f t="shared" si="2"/>
        <v>3.9598540145985406</v>
      </c>
      <c r="H11" s="150">
        <f t="shared" si="1"/>
        <v>3</v>
      </c>
    </row>
    <row r="12" spans="1:8" x14ac:dyDescent="0.25">
      <c r="A12" s="37" t="s">
        <v>547</v>
      </c>
      <c r="B12" s="12">
        <v>1</v>
      </c>
      <c r="C12" s="12">
        <v>1</v>
      </c>
      <c r="D12" s="12">
        <v>1</v>
      </c>
      <c r="E12" s="150">
        <f t="shared" si="0"/>
        <v>1</v>
      </c>
      <c r="F12">
        <v>89</v>
      </c>
      <c r="G12">
        <f t="shared" si="2"/>
        <v>1.1235955056179776</v>
      </c>
      <c r="H12" s="150">
        <f t="shared" si="1"/>
        <v>5</v>
      </c>
    </row>
    <row r="13" spans="1:8" x14ac:dyDescent="0.25">
      <c r="A13" s="37" t="s">
        <v>548</v>
      </c>
      <c r="C13" s="12">
        <v>1</v>
      </c>
      <c r="D13" s="12">
        <v>1</v>
      </c>
      <c r="E13" s="150">
        <f t="shared" si="0"/>
        <v>0.2</v>
      </c>
      <c r="F13">
        <v>9</v>
      </c>
      <c r="G13">
        <f t="shared" si="2"/>
        <v>2.2222222222222223</v>
      </c>
      <c r="H13" s="150">
        <f t="shared" si="1"/>
        <v>5</v>
      </c>
    </row>
    <row r="14" spans="1:8" x14ac:dyDescent="0.25">
      <c r="A14" s="37" t="s">
        <v>132</v>
      </c>
      <c r="B14" s="12">
        <v>4</v>
      </c>
      <c r="D14" s="12">
        <v>6</v>
      </c>
      <c r="E14" s="150">
        <f t="shared" si="0"/>
        <v>3.5</v>
      </c>
      <c r="F14">
        <v>35</v>
      </c>
      <c r="G14">
        <f t="shared" si="2"/>
        <v>10</v>
      </c>
      <c r="H14" s="150">
        <f t="shared" si="1"/>
        <v>3</v>
      </c>
    </row>
    <row r="15" spans="1:8" x14ac:dyDescent="0.25">
      <c r="A15" s="37" t="s">
        <v>133</v>
      </c>
      <c r="B15" s="12">
        <v>1</v>
      </c>
      <c r="C15" s="12">
        <v>4</v>
      </c>
      <c r="D15" s="12">
        <v>4</v>
      </c>
      <c r="E15" s="150">
        <f t="shared" si="0"/>
        <v>1.5999999999999999</v>
      </c>
      <c r="F15">
        <v>30</v>
      </c>
      <c r="G15">
        <f t="shared" si="2"/>
        <v>5.333333333333333</v>
      </c>
      <c r="H15" s="150">
        <f t="shared" si="1"/>
        <v>3</v>
      </c>
    </row>
    <row r="16" spans="1:8" x14ac:dyDescent="0.25">
      <c r="A16" s="37" t="s">
        <v>362</v>
      </c>
      <c r="C16" s="12">
        <v>2</v>
      </c>
      <c r="D16" s="12">
        <v>2</v>
      </c>
      <c r="E16" s="150">
        <f t="shared" si="0"/>
        <v>0.4</v>
      </c>
      <c r="F16">
        <v>914</v>
      </c>
      <c r="G16">
        <f t="shared" si="2"/>
        <v>4.3763676148796497E-2</v>
      </c>
      <c r="H16" s="150">
        <f t="shared" si="1"/>
        <v>7</v>
      </c>
    </row>
    <row r="17" spans="1:8" x14ac:dyDescent="0.25">
      <c r="A17" s="37" t="s">
        <v>526</v>
      </c>
      <c r="D17" s="12">
        <v>7</v>
      </c>
      <c r="E17" s="150">
        <f t="shared" si="0"/>
        <v>0.35000000000000003</v>
      </c>
      <c r="F17">
        <v>28</v>
      </c>
      <c r="G17">
        <f t="shared" si="2"/>
        <v>1.25</v>
      </c>
      <c r="H17" s="150">
        <f t="shared" si="1"/>
        <v>5</v>
      </c>
    </row>
    <row r="18" spans="1:8" x14ac:dyDescent="0.25">
      <c r="A18" s="37" t="s">
        <v>550</v>
      </c>
      <c r="D18" s="12">
        <v>2</v>
      </c>
      <c r="E18" s="150">
        <f t="shared" si="0"/>
        <v>0.1</v>
      </c>
      <c r="F18">
        <v>11</v>
      </c>
      <c r="G18">
        <f t="shared" si="2"/>
        <v>0.90909090909090917</v>
      </c>
      <c r="H18" s="150">
        <f t="shared" si="1"/>
        <v>7</v>
      </c>
    </row>
    <row r="19" spans="1:8" x14ac:dyDescent="0.25">
      <c r="A19" s="37" t="s">
        <v>525</v>
      </c>
      <c r="D19" s="12">
        <v>1</v>
      </c>
      <c r="E19" s="150">
        <f t="shared" si="0"/>
        <v>0.05</v>
      </c>
      <c r="F19">
        <v>12</v>
      </c>
      <c r="G19">
        <f t="shared" si="2"/>
        <v>0.41666666666666669</v>
      </c>
      <c r="H19" s="150">
        <f t="shared" si="1"/>
        <v>7</v>
      </c>
    </row>
    <row r="20" spans="1:8" x14ac:dyDescent="0.25">
      <c r="A20" s="37" t="s">
        <v>551</v>
      </c>
      <c r="D20" s="12">
        <v>3</v>
      </c>
      <c r="E20" s="150">
        <f t="shared" si="0"/>
        <v>0.15000000000000002</v>
      </c>
      <c r="F20">
        <v>10</v>
      </c>
      <c r="G20">
        <f t="shared" si="2"/>
        <v>1.5000000000000002</v>
      </c>
      <c r="H20" s="150">
        <f t="shared" si="1"/>
        <v>5</v>
      </c>
    </row>
    <row r="21" spans="1:8" x14ac:dyDescent="0.25">
      <c r="A21" s="37" t="s">
        <v>137</v>
      </c>
      <c r="D21" s="12">
        <v>3</v>
      </c>
      <c r="E21" s="150">
        <f t="shared" si="0"/>
        <v>0.15000000000000002</v>
      </c>
      <c r="F21">
        <v>376</v>
      </c>
      <c r="G21">
        <f t="shared" si="2"/>
        <v>3.9893617021276598E-2</v>
      </c>
      <c r="H21" s="150">
        <f t="shared" si="1"/>
        <v>7</v>
      </c>
    </row>
    <row r="22" spans="1:8" x14ac:dyDescent="0.25">
      <c r="A22" s="37" t="s">
        <v>325</v>
      </c>
      <c r="B22" s="12">
        <v>4</v>
      </c>
      <c r="C22" s="12">
        <v>4</v>
      </c>
      <c r="D22" s="12">
        <v>6</v>
      </c>
      <c r="E22" s="150">
        <f t="shared" si="0"/>
        <v>4.1000000000000005</v>
      </c>
      <c r="F22">
        <v>26</v>
      </c>
      <c r="G22">
        <f t="shared" si="2"/>
        <v>15.769230769230772</v>
      </c>
      <c r="H22" s="150">
        <f t="shared" si="1"/>
        <v>1</v>
      </c>
    </row>
    <row r="23" spans="1:8" x14ac:dyDescent="0.25">
      <c r="A23" s="156" t="s">
        <v>555</v>
      </c>
      <c r="B23" s="157">
        <v>2</v>
      </c>
      <c r="C23" s="157">
        <v>2</v>
      </c>
      <c r="D23" s="157"/>
      <c r="E23" s="150">
        <f t="shared" si="0"/>
        <v>1.9000000000000001</v>
      </c>
      <c r="F23">
        <v>32</v>
      </c>
      <c r="G23">
        <f t="shared" si="2"/>
        <v>5.9375</v>
      </c>
      <c r="H23" s="150">
        <f t="shared" si="1"/>
        <v>3</v>
      </c>
    </row>
    <row r="24" spans="1:8" x14ac:dyDescent="0.25">
      <c r="A24" s="37" t="s">
        <v>557</v>
      </c>
      <c r="D24" s="12">
        <v>1</v>
      </c>
      <c r="E24" s="150">
        <f t="shared" si="0"/>
        <v>0.05</v>
      </c>
      <c r="F24">
        <v>9</v>
      </c>
      <c r="G24">
        <f t="shared" si="2"/>
        <v>0.55555555555555558</v>
      </c>
      <c r="H24" s="150">
        <f t="shared" si="1"/>
        <v>7</v>
      </c>
    </row>
    <row r="25" spans="1:8" x14ac:dyDescent="0.25">
      <c r="A25" s="37" t="s">
        <v>1057</v>
      </c>
      <c r="C25" s="12">
        <v>1</v>
      </c>
      <c r="D25" s="12">
        <v>3</v>
      </c>
      <c r="E25" s="150">
        <f t="shared" si="0"/>
        <v>0.30000000000000004</v>
      </c>
      <c r="F25">
        <v>17</v>
      </c>
      <c r="G25">
        <f t="shared" si="2"/>
        <v>1.7647058823529416</v>
      </c>
      <c r="H25" s="150">
        <f t="shared" si="1"/>
        <v>5</v>
      </c>
    </row>
    <row r="26" spans="1:8" x14ac:dyDescent="0.25">
      <c r="A26" s="37" t="s">
        <v>558</v>
      </c>
      <c r="B26" s="12">
        <v>1</v>
      </c>
      <c r="D26" s="12">
        <v>2</v>
      </c>
      <c r="E26" s="150">
        <f t="shared" si="0"/>
        <v>0.9</v>
      </c>
      <c r="F26">
        <v>20</v>
      </c>
      <c r="G26">
        <f t="shared" si="2"/>
        <v>4.5</v>
      </c>
      <c r="H26" s="150">
        <f t="shared" si="1"/>
        <v>3</v>
      </c>
    </row>
    <row r="27" spans="1:8" x14ac:dyDescent="0.25">
      <c r="A27" s="37" t="s">
        <v>559</v>
      </c>
      <c r="D27" s="12">
        <v>2</v>
      </c>
      <c r="E27" s="150">
        <f t="shared" si="0"/>
        <v>0.1</v>
      </c>
      <c r="F27">
        <v>22</v>
      </c>
      <c r="G27">
        <f t="shared" si="2"/>
        <v>0.45454545454545459</v>
      </c>
      <c r="H27" s="150">
        <f t="shared" si="1"/>
        <v>7</v>
      </c>
    </row>
    <row r="28" spans="1:8" x14ac:dyDescent="0.25">
      <c r="A28" s="37" t="s">
        <v>560</v>
      </c>
      <c r="C28" s="12">
        <v>3</v>
      </c>
      <c r="D28" s="12">
        <v>5</v>
      </c>
      <c r="E28" s="150">
        <f t="shared" si="0"/>
        <v>0.7</v>
      </c>
      <c r="F28">
        <v>72</v>
      </c>
      <c r="G28">
        <f t="shared" si="2"/>
        <v>0.97222222222222221</v>
      </c>
      <c r="H28" s="150">
        <f t="shared" si="1"/>
        <v>7</v>
      </c>
    </row>
    <row r="29" spans="1:8" x14ac:dyDescent="0.25">
      <c r="A29" s="37" t="s">
        <v>140</v>
      </c>
      <c r="C29" s="12">
        <v>4</v>
      </c>
      <c r="D29" s="12">
        <v>10</v>
      </c>
      <c r="E29" s="150">
        <f t="shared" si="0"/>
        <v>1.1000000000000001</v>
      </c>
      <c r="F29">
        <v>64</v>
      </c>
      <c r="G29">
        <f t="shared" si="2"/>
        <v>1.7187500000000002</v>
      </c>
      <c r="H29" s="150">
        <f t="shared" si="1"/>
        <v>5</v>
      </c>
    </row>
    <row r="30" spans="1:8" x14ac:dyDescent="0.25">
      <c r="A30" s="37" t="s">
        <v>563</v>
      </c>
      <c r="C30" s="12">
        <v>2</v>
      </c>
      <c r="D30" s="12">
        <v>4</v>
      </c>
      <c r="E30" s="150">
        <f t="shared" si="0"/>
        <v>0.5</v>
      </c>
      <c r="F30">
        <v>22</v>
      </c>
      <c r="G30">
        <f t="shared" si="2"/>
        <v>2.2727272727272729</v>
      </c>
      <c r="H30" s="150">
        <f t="shared" si="1"/>
        <v>5</v>
      </c>
    </row>
    <row r="31" spans="1:8" x14ac:dyDescent="0.25">
      <c r="A31" s="37" t="s">
        <v>522</v>
      </c>
      <c r="D31" s="12">
        <v>1</v>
      </c>
      <c r="E31" s="150">
        <f t="shared" si="0"/>
        <v>0.05</v>
      </c>
      <c r="F31">
        <v>6</v>
      </c>
      <c r="G31">
        <f t="shared" si="2"/>
        <v>0.83333333333333337</v>
      </c>
      <c r="H31" s="150">
        <f t="shared" si="1"/>
        <v>7</v>
      </c>
    </row>
    <row r="32" spans="1:8" x14ac:dyDescent="0.25">
      <c r="A32" s="37" t="s">
        <v>141</v>
      </c>
      <c r="C32" s="12">
        <v>2</v>
      </c>
      <c r="D32" s="12">
        <v>1</v>
      </c>
      <c r="E32" s="150">
        <f t="shared" si="0"/>
        <v>0.35</v>
      </c>
      <c r="F32">
        <v>8</v>
      </c>
      <c r="G32">
        <f t="shared" si="2"/>
        <v>4.375</v>
      </c>
      <c r="H32" s="150">
        <f t="shared" si="1"/>
        <v>3</v>
      </c>
    </row>
    <row r="33" spans="1:8" x14ac:dyDescent="0.25">
      <c r="A33" s="37" t="s">
        <v>1166</v>
      </c>
      <c r="B33" s="12">
        <v>2</v>
      </c>
      <c r="C33" s="12">
        <v>1</v>
      </c>
      <c r="E33" s="150">
        <f t="shared" si="0"/>
        <v>1.75</v>
      </c>
      <c r="F33">
        <v>21</v>
      </c>
      <c r="G33">
        <f t="shared" si="2"/>
        <v>8.3333333333333321</v>
      </c>
      <c r="H33" s="150">
        <f t="shared" si="1"/>
        <v>3</v>
      </c>
    </row>
    <row r="34" spans="1:8" x14ac:dyDescent="0.25">
      <c r="A34" s="37" t="s">
        <v>142</v>
      </c>
      <c r="D34" s="12">
        <v>1</v>
      </c>
      <c r="E34" s="150">
        <f t="shared" si="0"/>
        <v>0.05</v>
      </c>
      <c r="F34">
        <v>1133</v>
      </c>
      <c r="G34">
        <f t="shared" si="2"/>
        <v>4.4130626654898504E-3</v>
      </c>
      <c r="H34" s="150">
        <f t="shared" si="1"/>
        <v>7</v>
      </c>
    </row>
    <row r="35" spans="1:8" x14ac:dyDescent="0.25">
      <c r="A35" s="37" t="s">
        <v>143</v>
      </c>
      <c r="B35" s="12">
        <v>2</v>
      </c>
      <c r="C35" s="12">
        <v>1</v>
      </c>
      <c r="D35" s="12">
        <v>3</v>
      </c>
      <c r="E35" s="150">
        <f t="shared" si="0"/>
        <v>1.9</v>
      </c>
      <c r="F35">
        <v>17</v>
      </c>
      <c r="G35">
        <f t="shared" si="2"/>
        <v>11.176470588235293</v>
      </c>
      <c r="H35" s="150">
        <f t="shared" si="1"/>
        <v>1</v>
      </c>
    </row>
    <row r="36" spans="1:8" x14ac:dyDescent="0.25">
      <c r="A36" s="37" t="s">
        <v>145</v>
      </c>
      <c r="B36" s="12">
        <v>4</v>
      </c>
      <c r="C36" s="12">
        <v>1</v>
      </c>
      <c r="D36" s="12">
        <v>1</v>
      </c>
      <c r="E36" s="150">
        <f t="shared" si="0"/>
        <v>3.4</v>
      </c>
      <c r="F36">
        <v>83</v>
      </c>
      <c r="G36">
        <f t="shared" si="2"/>
        <v>4.096385542168675</v>
      </c>
      <c r="H36" s="150">
        <f t="shared" si="1"/>
        <v>3</v>
      </c>
    </row>
    <row r="37" spans="1:8" x14ac:dyDescent="0.25">
      <c r="A37" s="37" t="s">
        <v>147</v>
      </c>
      <c r="D37" s="12">
        <v>8</v>
      </c>
      <c r="E37" s="150">
        <f t="shared" si="0"/>
        <v>0.4</v>
      </c>
      <c r="F37">
        <v>21</v>
      </c>
      <c r="G37">
        <f t="shared" si="2"/>
        <v>1.9047619047619049</v>
      </c>
      <c r="H37" s="150">
        <f t="shared" si="1"/>
        <v>5</v>
      </c>
    </row>
    <row r="38" spans="1:8" x14ac:dyDescent="0.25">
      <c r="A38" s="37" t="s">
        <v>148</v>
      </c>
      <c r="D38" s="12">
        <v>4</v>
      </c>
      <c r="E38" s="150">
        <f t="shared" si="0"/>
        <v>0.2</v>
      </c>
      <c r="F38">
        <v>48</v>
      </c>
      <c r="G38">
        <f t="shared" si="2"/>
        <v>0.41666666666666669</v>
      </c>
      <c r="H38" s="150">
        <f t="shared" si="1"/>
        <v>7</v>
      </c>
    </row>
    <row r="39" spans="1:8" x14ac:dyDescent="0.25">
      <c r="A39" s="37" t="s">
        <v>149</v>
      </c>
      <c r="D39" s="12">
        <v>2</v>
      </c>
      <c r="E39" s="150">
        <f t="shared" si="0"/>
        <v>0.1</v>
      </c>
      <c r="F39">
        <v>103</v>
      </c>
      <c r="G39">
        <f t="shared" si="2"/>
        <v>9.7087378640776711E-2</v>
      </c>
      <c r="H39" s="150">
        <f t="shared" si="1"/>
        <v>7</v>
      </c>
    </row>
    <row r="40" spans="1:8" x14ac:dyDescent="0.25">
      <c r="A40" s="37" t="s">
        <v>150</v>
      </c>
      <c r="C40" s="12">
        <v>2</v>
      </c>
      <c r="D40" s="12">
        <v>4</v>
      </c>
      <c r="E40" s="150">
        <f t="shared" si="0"/>
        <v>0.5</v>
      </c>
      <c r="F40">
        <v>573</v>
      </c>
      <c r="G40">
        <f t="shared" si="2"/>
        <v>8.7260034904013961E-2</v>
      </c>
      <c r="H40" s="150">
        <f t="shared" si="1"/>
        <v>7</v>
      </c>
    </row>
    <row r="41" spans="1:8" x14ac:dyDescent="0.25">
      <c r="A41" s="37" t="s">
        <v>251</v>
      </c>
      <c r="C41" s="12">
        <v>1</v>
      </c>
      <c r="E41" s="150">
        <f t="shared" si="0"/>
        <v>0.15</v>
      </c>
      <c r="F41">
        <v>21</v>
      </c>
      <c r="G41">
        <f t="shared" si="2"/>
        <v>0.7142857142857143</v>
      </c>
      <c r="H41" s="150">
        <f t="shared" si="1"/>
        <v>7</v>
      </c>
    </row>
    <row r="42" spans="1:8" x14ac:dyDescent="0.25">
      <c r="A42" s="37" t="s">
        <v>151</v>
      </c>
      <c r="C42" s="12">
        <v>1</v>
      </c>
      <c r="D42" s="12">
        <v>1</v>
      </c>
      <c r="E42" s="150">
        <f t="shared" si="0"/>
        <v>0.2</v>
      </c>
      <c r="F42">
        <v>165</v>
      </c>
      <c r="G42">
        <f t="shared" si="2"/>
        <v>0.12121212121212122</v>
      </c>
      <c r="H42" s="150">
        <f t="shared" si="1"/>
        <v>7</v>
      </c>
    </row>
    <row r="43" spans="1:8" x14ac:dyDescent="0.25">
      <c r="A43" s="37" t="s">
        <v>521</v>
      </c>
      <c r="C43" s="12">
        <v>4</v>
      </c>
      <c r="D43" s="12">
        <v>10</v>
      </c>
      <c r="E43" s="150">
        <f t="shared" si="0"/>
        <v>1.1000000000000001</v>
      </c>
      <c r="F43">
        <v>29</v>
      </c>
      <c r="G43">
        <f t="shared" si="2"/>
        <v>3.7931034482758625</v>
      </c>
      <c r="H43" s="150">
        <f t="shared" si="1"/>
        <v>3</v>
      </c>
    </row>
    <row r="44" spans="1:8" x14ac:dyDescent="0.25">
      <c r="A44" s="37" t="s">
        <v>1063</v>
      </c>
      <c r="D44" s="12">
        <v>1</v>
      </c>
      <c r="E44" s="150">
        <f t="shared" si="0"/>
        <v>0.05</v>
      </c>
      <c r="F44">
        <v>86</v>
      </c>
      <c r="G44">
        <f t="shared" si="2"/>
        <v>5.8139534883720929E-2</v>
      </c>
      <c r="H44" s="150">
        <f t="shared" si="1"/>
        <v>7</v>
      </c>
    </row>
    <row r="45" spans="1:8" x14ac:dyDescent="0.25">
      <c r="A45" s="37" t="s">
        <v>156</v>
      </c>
      <c r="C45" s="12">
        <v>1</v>
      </c>
      <c r="D45" s="12">
        <v>4</v>
      </c>
      <c r="E45" s="150">
        <f t="shared" si="0"/>
        <v>0.35</v>
      </c>
      <c r="F45">
        <v>9</v>
      </c>
      <c r="G45">
        <f t="shared" si="2"/>
        <v>3.8888888888888888</v>
      </c>
      <c r="H45" s="150">
        <f t="shared" si="1"/>
        <v>3</v>
      </c>
    </row>
    <row r="46" spans="1:8" x14ac:dyDescent="0.25">
      <c r="A46" s="37" t="s">
        <v>157</v>
      </c>
      <c r="D46" s="12">
        <v>1</v>
      </c>
      <c r="E46" s="150">
        <f t="shared" si="0"/>
        <v>0.05</v>
      </c>
      <c r="F46">
        <v>76</v>
      </c>
      <c r="G46">
        <f t="shared" si="2"/>
        <v>6.5789473684210523E-2</v>
      </c>
      <c r="H46" s="150">
        <f t="shared" si="1"/>
        <v>7</v>
      </c>
    </row>
    <row r="47" spans="1:8" x14ac:dyDescent="0.25">
      <c r="A47" s="37" t="s">
        <v>158</v>
      </c>
      <c r="D47" s="12">
        <v>1</v>
      </c>
      <c r="E47" s="150">
        <f t="shared" si="0"/>
        <v>0.05</v>
      </c>
      <c r="F47">
        <v>2</v>
      </c>
      <c r="G47">
        <f t="shared" si="2"/>
        <v>2.5</v>
      </c>
      <c r="H47" s="150">
        <f t="shared" si="1"/>
        <v>5</v>
      </c>
    </row>
    <row r="48" spans="1:8" x14ac:dyDescent="0.25">
      <c r="A48" s="37" t="s">
        <v>160</v>
      </c>
      <c r="C48" s="12">
        <v>1</v>
      </c>
      <c r="D48" s="12">
        <v>1</v>
      </c>
      <c r="E48" s="150">
        <f t="shared" si="0"/>
        <v>0.2</v>
      </c>
      <c r="F48">
        <v>80</v>
      </c>
      <c r="G48">
        <f t="shared" si="2"/>
        <v>0.25</v>
      </c>
      <c r="H48" s="150">
        <f t="shared" si="1"/>
        <v>7</v>
      </c>
    </row>
    <row r="49" spans="1:8" x14ac:dyDescent="0.25">
      <c r="A49" s="37" t="s">
        <v>1167</v>
      </c>
      <c r="C49" s="12">
        <v>1</v>
      </c>
      <c r="E49">
        <f t="shared" si="0"/>
        <v>0.15</v>
      </c>
      <c r="F49">
        <v>14</v>
      </c>
      <c r="G49">
        <f t="shared" si="2"/>
        <v>1.0714285714285714</v>
      </c>
      <c r="H49">
        <f t="shared" si="1"/>
        <v>5</v>
      </c>
    </row>
    <row r="50" spans="1:8" x14ac:dyDescent="0.25">
      <c r="A50" s="156" t="s">
        <v>161</v>
      </c>
      <c r="B50" s="157">
        <v>3</v>
      </c>
      <c r="C50" s="157">
        <v>2</v>
      </c>
      <c r="D50" s="157">
        <v>1</v>
      </c>
      <c r="E50" s="150">
        <f t="shared" si="0"/>
        <v>2.75</v>
      </c>
      <c r="F50">
        <v>41</v>
      </c>
      <c r="G50">
        <f t="shared" si="2"/>
        <v>6.7073170731707323</v>
      </c>
      <c r="H50" s="150">
        <f t="shared" si="1"/>
        <v>3</v>
      </c>
    </row>
    <row r="51" spans="1:8" x14ac:dyDescent="0.25">
      <c r="A51" s="37" t="s">
        <v>520</v>
      </c>
      <c r="B51" s="12">
        <v>1</v>
      </c>
      <c r="D51" s="12">
        <v>4</v>
      </c>
      <c r="E51" s="150">
        <f t="shared" si="0"/>
        <v>1</v>
      </c>
      <c r="F51">
        <v>3</v>
      </c>
      <c r="G51">
        <f t="shared" si="2"/>
        <v>33.333333333333329</v>
      </c>
      <c r="H51" s="150">
        <f t="shared" si="1"/>
        <v>1</v>
      </c>
    </row>
    <row r="52" spans="1:8" x14ac:dyDescent="0.25">
      <c r="A52" s="156" t="s">
        <v>163</v>
      </c>
      <c r="B52" s="157"/>
      <c r="C52" s="157">
        <v>2</v>
      </c>
      <c r="D52" s="157">
        <v>3</v>
      </c>
      <c r="E52" s="150">
        <f t="shared" si="0"/>
        <v>0.45</v>
      </c>
      <c r="F52">
        <v>277</v>
      </c>
      <c r="G52">
        <f t="shared" si="2"/>
        <v>0.16245487364620939</v>
      </c>
      <c r="H52" s="150">
        <f t="shared" si="1"/>
        <v>7</v>
      </c>
    </row>
    <row r="53" spans="1:8" x14ac:dyDescent="0.25">
      <c r="A53" s="37" t="s">
        <v>164</v>
      </c>
      <c r="D53" s="12">
        <v>1</v>
      </c>
      <c r="E53" s="150">
        <f t="shared" si="0"/>
        <v>0.05</v>
      </c>
      <c r="F53">
        <v>84</v>
      </c>
      <c r="G53">
        <f t="shared" si="2"/>
        <v>5.9523809523809527E-2</v>
      </c>
      <c r="H53" s="150">
        <f t="shared" si="1"/>
        <v>7</v>
      </c>
    </row>
    <row r="54" spans="1:8" x14ac:dyDescent="0.25">
      <c r="A54" s="37" t="s">
        <v>165</v>
      </c>
      <c r="C54" s="12">
        <v>1</v>
      </c>
      <c r="E54" s="150">
        <f t="shared" si="0"/>
        <v>0.15</v>
      </c>
      <c r="F54">
        <v>176</v>
      </c>
      <c r="G54">
        <f t="shared" si="2"/>
        <v>8.5227272727272721E-2</v>
      </c>
      <c r="H54" s="150">
        <f t="shared" si="1"/>
        <v>7</v>
      </c>
    </row>
    <row r="55" spans="1:8" x14ac:dyDescent="0.25">
      <c r="A55" s="37" t="s">
        <v>579</v>
      </c>
      <c r="D55" s="12">
        <v>2</v>
      </c>
      <c r="E55" s="150">
        <f t="shared" si="0"/>
        <v>0.1</v>
      </c>
      <c r="F55">
        <v>78</v>
      </c>
      <c r="G55">
        <f t="shared" si="2"/>
        <v>0.12820512820512819</v>
      </c>
      <c r="H55" s="150">
        <f t="shared" si="1"/>
        <v>7</v>
      </c>
    </row>
    <row r="56" spans="1:8" x14ac:dyDescent="0.25">
      <c r="A56" s="37" t="s">
        <v>519</v>
      </c>
      <c r="D56" s="12">
        <v>3</v>
      </c>
      <c r="E56" s="150">
        <f t="shared" si="0"/>
        <v>0.15000000000000002</v>
      </c>
      <c r="F56">
        <v>5</v>
      </c>
      <c r="G56">
        <f t="shared" si="2"/>
        <v>3.0000000000000004</v>
      </c>
      <c r="H56" s="150">
        <f t="shared" si="1"/>
        <v>5</v>
      </c>
    </row>
    <row r="57" spans="1:8" x14ac:dyDescent="0.25">
      <c r="A57" s="37" t="s">
        <v>169</v>
      </c>
      <c r="D57" s="12">
        <v>2</v>
      </c>
      <c r="E57" s="150">
        <f t="shared" si="0"/>
        <v>0.1</v>
      </c>
      <c r="F57">
        <v>376</v>
      </c>
      <c r="G57">
        <f t="shared" si="2"/>
        <v>2.6595744680851064E-2</v>
      </c>
      <c r="H57" s="150">
        <f t="shared" si="1"/>
        <v>7</v>
      </c>
    </row>
    <row r="58" spans="1:8" x14ac:dyDescent="0.25">
      <c r="A58" s="37" t="s">
        <v>582</v>
      </c>
      <c r="D58" s="12">
        <v>1</v>
      </c>
      <c r="E58" s="150">
        <f t="shared" si="0"/>
        <v>0.05</v>
      </c>
      <c r="F58">
        <v>18</v>
      </c>
      <c r="G58">
        <f t="shared" si="2"/>
        <v>0.27777777777777779</v>
      </c>
      <c r="H58" s="150">
        <f t="shared" si="1"/>
        <v>7</v>
      </c>
    </row>
    <row r="59" spans="1:8" x14ac:dyDescent="0.25">
      <c r="A59" s="37" t="s">
        <v>173</v>
      </c>
      <c r="B59" s="12">
        <v>1</v>
      </c>
      <c r="D59" s="12">
        <v>1</v>
      </c>
      <c r="E59" s="150">
        <f t="shared" si="0"/>
        <v>0.85000000000000009</v>
      </c>
      <c r="F59">
        <v>68</v>
      </c>
      <c r="G59">
        <f t="shared" si="2"/>
        <v>1.25</v>
      </c>
      <c r="H59" s="150">
        <f t="shared" si="1"/>
        <v>5</v>
      </c>
    </row>
    <row r="60" spans="1:8" x14ac:dyDescent="0.25">
      <c r="A60" s="37" t="s">
        <v>589</v>
      </c>
      <c r="D60" s="12">
        <v>1</v>
      </c>
      <c r="E60" s="150">
        <f t="shared" si="0"/>
        <v>0.05</v>
      </c>
      <c r="F60">
        <v>70</v>
      </c>
      <c r="G60">
        <f t="shared" si="2"/>
        <v>7.1428571428571425E-2</v>
      </c>
      <c r="H60" s="150">
        <f t="shared" si="1"/>
        <v>7</v>
      </c>
    </row>
    <row r="61" spans="1:8" x14ac:dyDescent="0.25">
      <c r="A61" s="37" t="s">
        <v>358</v>
      </c>
      <c r="D61" s="12">
        <v>1</v>
      </c>
      <c r="E61" s="150">
        <f t="shared" si="0"/>
        <v>0.05</v>
      </c>
      <c r="F61">
        <v>50</v>
      </c>
      <c r="G61">
        <f t="shared" si="2"/>
        <v>0.1</v>
      </c>
      <c r="H61" s="150">
        <f t="shared" si="1"/>
        <v>7</v>
      </c>
    </row>
    <row r="62" spans="1:8" x14ac:dyDescent="0.25">
      <c r="A62" s="37" t="s">
        <v>590</v>
      </c>
      <c r="D62" s="12">
        <v>1</v>
      </c>
      <c r="E62" s="150">
        <f t="shared" si="0"/>
        <v>0.05</v>
      </c>
      <c r="F62">
        <v>167</v>
      </c>
      <c r="G62">
        <f t="shared" si="2"/>
        <v>2.9940119760479042E-2</v>
      </c>
      <c r="H62" s="150">
        <f t="shared" si="1"/>
        <v>7</v>
      </c>
    </row>
    <row r="63" spans="1:8" x14ac:dyDescent="0.25">
      <c r="A63" s="37" t="s">
        <v>177</v>
      </c>
      <c r="C63" s="12">
        <v>1</v>
      </c>
      <c r="E63" s="150">
        <f t="shared" si="0"/>
        <v>0.15</v>
      </c>
      <c r="F63">
        <v>22</v>
      </c>
      <c r="G63">
        <f t="shared" si="2"/>
        <v>0.68181818181818177</v>
      </c>
      <c r="H63" s="150">
        <f t="shared" si="1"/>
        <v>7</v>
      </c>
    </row>
    <row r="64" spans="1:8" x14ac:dyDescent="0.25">
      <c r="A64" s="37" t="s">
        <v>517</v>
      </c>
      <c r="C64" s="12">
        <v>6</v>
      </c>
      <c r="E64" s="150">
        <f t="shared" si="0"/>
        <v>0.89999999999999991</v>
      </c>
      <c r="F64">
        <v>16</v>
      </c>
      <c r="G64">
        <f t="shared" si="2"/>
        <v>5.6249999999999991</v>
      </c>
      <c r="H64" s="150">
        <f t="shared" si="1"/>
        <v>3</v>
      </c>
    </row>
    <row r="65" spans="1:8" x14ac:dyDescent="0.25">
      <c r="A65" s="37" t="s">
        <v>180</v>
      </c>
      <c r="D65" s="12">
        <v>5</v>
      </c>
      <c r="E65" s="150">
        <f t="shared" si="0"/>
        <v>0.25</v>
      </c>
      <c r="F65">
        <v>45</v>
      </c>
      <c r="G65">
        <f t="shared" si="2"/>
        <v>0.55555555555555558</v>
      </c>
      <c r="H65" s="150">
        <f t="shared" si="1"/>
        <v>7</v>
      </c>
    </row>
    <row r="66" spans="1:8" x14ac:dyDescent="0.25">
      <c r="A66" s="156" t="s">
        <v>182</v>
      </c>
      <c r="B66" s="157">
        <v>3</v>
      </c>
      <c r="C66" s="157">
        <v>1</v>
      </c>
      <c r="D66" s="157">
        <v>1</v>
      </c>
      <c r="E66" s="150">
        <f t="shared" ref="E66:E129" si="3">(B66*0.8)+(C66*0.15)+(D66*0.05)</f>
        <v>2.6</v>
      </c>
      <c r="F66">
        <v>15</v>
      </c>
      <c r="G66">
        <f t="shared" si="2"/>
        <v>17.333333333333336</v>
      </c>
      <c r="H66" s="150">
        <f t="shared" ref="H66:H129" si="4">IF(G66&lt;=1,7,IF(AND(G66&gt;1,G66&lt;=3),5,IF(AND(G66&gt;3,G66&lt;=10),3,IF(G66&gt;10,1))))</f>
        <v>1</v>
      </c>
    </row>
    <row r="67" spans="1:8" x14ac:dyDescent="0.25">
      <c r="A67" s="37" t="s">
        <v>184</v>
      </c>
      <c r="D67" s="12">
        <v>2</v>
      </c>
      <c r="E67" s="150">
        <f t="shared" si="3"/>
        <v>0.1</v>
      </c>
      <c r="F67">
        <v>76</v>
      </c>
      <c r="G67">
        <f t="shared" ref="G67:G130" si="5">+(E67/F67)*100</f>
        <v>0.13157894736842105</v>
      </c>
      <c r="H67" s="150">
        <f t="shared" si="4"/>
        <v>7</v>
      </c>
    </row>
    <row r="68" spans="1:8" x14ac:dyDescent="0.25">
      <c r="A68" s="37" t="s">
        <v>185</v>
      </c>
      <c r="B68" s="12">
        <v>1</v>
      </c>
      <c r="D68" s="12">
        <v>2</v>
      </c>
      <c r="E68" s="150">
        <f t="shared" si="3"/>
        <v>0.9</v>
      </c>
      <c r="F68">
        <v>15</v>
      </c>
      <c r="G68">
        <f t="shared" si="5"/>
        <v>6.0000000000000009</v>
      </c>
      <c r="H68" s="150">
        <f t="shared" si="4"/>
        <v>3</v>
      </c>
    </row>
    <row r="69" spans="1:8" x14ac:dyDescent="0.25">
      <c r="A69" s="37" t="s">
        <v>516</v>
      </c>
      <c r="D69" s="12">
        <v>4</v>
      </c>
      <c r="E69" s="150">
        <f t="shared" si="3"/>
        <v>0.2</v>
      </c>
      <c r="F69">
        <v>24</v>
      </c>
      <c r="G69">
        <f t="shared" si="5"/>
        <v>0.83333333333333337</v>
      </c>
      <c r="H69" s="150">
        <f t="shared" si="4"/>
        <v>7</v>
      </c>
    </row>
    <row r="70" spans="1:8" x14ac:dyDescent="0.25">
      <c r="A70" s="37" t="s">
        <v>188</v>
      </c>
      <c r="D70" s="12">
        <v>4</v>
      </c>
      <c r="E70" s="150">
        <f t="shared" si="3"/>
        <v>0.2</v>
      </c>
      <c r="F70">
        <v>1430</v>
      </c>
      <c r="G70">
        <f t="shared" si="5"/>
        <v>1.3986013986013986E-2</v>
      </c>
      <c r="H70" s="150">
        <f t="shared" si="4"/>
        <v>7</v>
      </c>
    </row>
    <row r="71" spans="1:8" x14ac:dyDescent="0.25">
      <c r="A71" s="37" t="s">
        <v>1168</v>
      </c>
      <c r="C71" s="12">
        <v>2</v>
      </c>
      <c r="E71">
        <f t="shared" si="3"/>
        <v>0.3</v>
      </c>
      <c r="F71">
        <v>9</v>
      </c>
      <c r="G71">
        <f t="shared" si="5"/>
        <v>3.3333333333333335</v>
      </c>
      <c r="H71">
        <f t="shared" si="4"/>
        <v>3</v>
      </c>
    </row>
    <row r="72" spans="1:8" x14ac:dyDescent="0.25">
      <c r="A72" s="37" t="s">
        <v>515</v>
      </c>
      <c r="B72" s="12">
        <v>1</v>
      </c>
      <c r="E72" s="150">
        <f t="shared" si="3"/>
        <v>0.8</v>
      </c>
      <c r="F72">
        <v>10</v>
      </c>
      <c r="G72">
        <f t="shared" si="5"/>
        <v>8</v>
      </c>
      <c r="H72" s="150">
        <f t="shared" si="4"/>
        <v>3</v>
      </c>
    </row>
    <row r="73" spans="1:8" x14ac:dyDescent="0.25">
      <c r="A73" s="37" t="s">
        <v>599</v>
      </c>
      <c r="C73" s="12">
        <v>4</v>
      </c>
      <c r="E73" s="150">
        <f t="shared" si="3"/>
        <v>0.6</v>
      </c>
      <c r="F73">
        <v>55</v>
      </c>
      <c r="G73">
        <f t="shared" si="5"/>
        <v>1.0909090909090908</v>
      </c>
      <c r="H73" s="150">
        <f t="shared" si="4"/>
        <v>5</v>
      </c>
    </row>
    <row r="74" spans="1:8" x14ac:dyDescent="0.25">
      <c r="A74" s="37" t="s">
        <v>190</v>
      </c>
      <c r="C74" s="12">
        <v>2</v>
      </c>
      <c r="E74" s="150">
        <f t="shared" si="3"/>
        <v>0.3</v>
      </c>
      <c r="F74">
        <v>11</v>
      </c>
      <c r="G74">
        <f t="shared" si="5"/>
        <v>2.7272727272727271</v>
      </c>
      <c r="H74" s="150">
        <f t="shared" si="4"/>
        <v>5</v>
      </c>
    </row>
    <row r="75" spans="1:8" x14ac:dyDescent="0.25">
      <c r="A75" s="37" t="s">
        <v>193</v>
      </c>
      <c r="B75" s="12">
        <v>2</v>
      </c>
      <c r="C75" s="12">
        <v>4</v>
      </c>
      <c r="D75" s="12">
        <v>1</v>
      </c>
      <c r="E75" s="150">
        <f t="shared" si="3"/>
        <v>2.25</v>
      </c>
      <c r="F75">
        <v>103</v>
      </c>
      <c r="G75">
        <f t="shared" si="5"/>
        <v>2.1844660194174756</v>
      </c>
      <c r="H75" s="150">
        <f t="shared" si="4"/>
        <v>5</v>
      </c>
    </row>
    <row r="76" spans="1:8" x14ac:dyDescent="0.25">
      <c r="A76" s="37" t="s">
        <v>601</v>
      </c>
      <c r="C76" s="12">
        <v>5</v>
      </c>
      <c r="D76" s="12">
        <v>3</v>
      </c>
      <c r="E76" s="150">
        <f t="shared" si="3"/>
        <v>0.9</v>
      </c>
      <c r="F76">
        <v>361</v>
      </c>
      <c r="G76">
        <f t="shared" si="5"/>
        <v>0.24930747922437671</v>
      </c>
      <c r="H76" s="150">
        <f t="shared" si="4"/>
        <v>7</v>
      </c>
    </row>
    <row r="77" spans="1:8" x14ac:dyDescent="0.25">
      <c r="A77" s="37" t="s">
        <v>196</v>
      </c>
      <c r="C77" s="12">
        <v>1</v>
      </c>
      <c r="E77" s="150">
        <f t="shared" si="3"/>
        <v>0.15</v>
      </c>
      <c r="F77">
        <v>107</v>
      </c>
      <c r="G77">
        <f t="shared" si="5"/>
        <v>0.14018691588785046</v>
      </c>
      <c r="H77" s="150">
        <f t="shared" si="4"/>
        <v>7</v>
      </c>
    </row>
    <row r="78" spans="1:8" x14ac:dyDescent="0.25">
      <c r="A78" s="37" t="s">
        <v>197</v>
      </c>
      <c r="D78" s="12">
        <v>1</v>
      </c>
      <c r="E78" s="150">
        <f t="shared" si="3"/>
        <v>0.05</v>
      </c>
      <c r="F78">
        <v>147</v>
      </c>
      <c r="G78">
        <f t="shared" si="5"/>
        <v>3.4013605442176874E-2</v>
      </c>
      <c r="H78" s="150">
        <f t="shared" si="4"/>
        <v>7</v>
      </c>
    </row>
    <row r="79" spans="1:8" x14ac:dyDescent="0.25">
      <c r="A79" s="37" t="s">
        <v>201</v>
      </c>
      <c r="D79" s="12">
        <v>1</v>
      </c>
      <c r="E79" s="150">
        <f t="shared" si="3"/>
        <v>0.05</v>
      </c>
      <c r="F79">
        <v>24</v>
      </c>
      <c r="G79">
        <f t="shared" si="5"/>
        <v>0.20833333333333334</v>
      </c>
      <c r="H79" s="150">
        <f t="shared" si="4"/>
        <v>7</v>
      </c>
    </row>
    <row r="80" spans="1:8" x14ac:dyDescent="0.25">
      <c r="A80" s="37" t="s">
        <v>205</v>
      </c>
      <c r="D80" s="12">
        <v>3</v>
      </c>
      <c r="E80" s="150">
        <f t="shared" si="3"/>
        <v>0.15000000000000002</v>
      </c>
      <c r="F80">
        <v>22</v>
      </c>
      <c r="G80">
        <f t="shared" si="5"/>
        <v>0.68181818181818199</v>
      </c>
      <c r="H80" s="150">
        <f t="shared" si="4"/>
        <v>7</v>
      </c>
    </row>
    <row r="81" spans="1:8" x14ac:dyDescent="0.25">
      <c r="A81" s="37" t="s">
        <v>206</v>
      </c>
      <c r="B81" s="12">
        <v>13</v>
      </c>
      <c r="C81" s="12">
        <v>11</v>
      </c>
      <c r="D81" s="12">
        <v>7</v>
      </c>
      <c r="E81" s="150">
        <f t="shared" si="3"/>
        <v>12.4</v>
      </c>
      <c r="F81">
        <v>29</v>
      </c>
      <c r="G81">
        <f t="shared" si="5"/>
        <v>42.758620689655174</v>
      </c>
      <c r="H81" s="150">
        <f t="shared" si="4"/>
        <v>1</v>
      </c>
    </row>
    <row r="82" spans="1:8" x14ac:dyDescent="0.25">
      <c r="A82" s="37" t="s">
        <v>207</v>
      </c>
      <c r="C82" s="12">
        <v>1</v>
      </c>
      <c r="D82" s="12">
        <v>2</v>
      </c>
      <c r="E82" s="150">
        <f t="shared" si="3"/>
        <v>0.25</v>
      </c>
      <c r="F82">
        <v>34</v>
      </c>
      <c r="G82">
        <f t="shared" si="5"/>
        <v>0.73529411764705876</v>
      </c>
      <c r="H82" s="150">
        <f t="shared" si="4"/>
        <v>7</v>
      </c>
    </row>
    <row r="83" spans="1:8" x14ac:dyDescent="0.25">
      <c r="A83" s="37" t="s">
        <v>607</v>
      </c>
      <c r="C83" s="12">
        <v>1</v>
      </c>
      <c r="D83" s="12">
        <v>1</v>
      </c>
      <c r="E83" s="150">
        <f t="shared" si="3"/>
        <v>0.2</v>
      </c>
      <c r="F83">
        <v>15</v>
      </c>
      <c r="G83">
        <f t="shared" si="5"/>
        <v>1.3333333333333335</v>
      </c>
      <c r="H83" s="150">
        <f t="shared" si="4"/>
        <v>5</v>
      </c>
    </row>
    <row r="84" spans="1:8" x14ac:dyDescent="0.25">
      <c r="A84" s="37" t="s">
        <v>208</v>
      </c>
      <c r="D84" s="12">
        <v>1</v>
      </c>
      <c r="E84" s="150">
        <f t="shared" si="3"/>
        <v>0.05</v>
      </c>
      <c r="F84">
        <v>21</v>
      </c>
      <c r="G84">
        <f t="shared" si="5"/>
        <v>0.23809523809523811</v>
      </c>
      <c r="H84" s="150">
        <f t="shared" si="4"/>
        <v>7</v>
      </c>
    </row>
    <row r="85" spans="1:8" x14ac:dyDescent="0.25">
      <c r="A85" s="37" t="s">
        <v>1067</v>
      </c>
      <c r="C85" s="12">
        <v>2</v>
      </c>
      <c r="D85" s="12">
        <v>2</v>
      </c>
      <c r="E85" s="150">
        <f t="shared" si="3"/>
        <v>0.4</v>
      </c>
      <c r="F85">
        <v>2</v>
      </c>
      <c r="G85">
        <f t="shared" si="5"/>
        <v>20</v>
      </c>
      <c r="H85" s="150">
        <f t="shared" si="4"/>
        <v>1</v>
      </c>
    </row>
    <row r="86" spans="1:8" x14ac:dyDescent="0.25">
      <c r="A86" s="37" t="s">
        <v>212</v>
      </c>
      <c r="C86" s="12">
        <v>3</v>
      </c>
      <c r="E86" s="150">
        <f t="shared" si="3"/>
        <v>0.44999999999999996</v>
      </c>
      <c r="F86">
        <v>9</v>
      </c>
      <c r="G86">
        <f t="shared" si="5"/>
        <v>5</v>
      </c>
      <c r="H86" s="150">
        <f t="shared" si="4"/>
        <v>3</v>
      </c>
    </row>
    <row r="87" spans="1:8" x14ac:dyDescent="0.25">
      <c r="A87" s="37" t="s">
        <v>215</v>
      </c>
      <c r="C87" s="12">
        <v>1</v>
      </c>
      <c r="E87" s="150">
        <f t="shared" si="3"/>
        <v>0.15</v>
      </c>
      <c r="F87">
        <v>31</v>
      </c>
      <c r="G87">
        <f t="shared" si="5"/>
        <v>0.4838709677419355</v>
      </c>
      <c r="H87" s="150">
        <f t="shared" si="4"/>
        <v>7</v>
      </c>
    </row>
    <row r="88" spans="1:8" x14ac:dyDescent="0.25">
      <c r="A88" s="37" t="s">
        <v>216</v>
      </c>
      <c r="C88" s="12">
        <v>2</v>
      </c>
      <c r="D88" s="12">
        <v>1</v>
      </c>
      <c r="E88" s="150">
        <f t="shared" si="3"/>
        <v>0.35</v>
      </c>
      <c r="F88">
        <v>1</v>
      </c>
      <c r="G88">
        <f t="shared" si="5"/>
        <v>35</v>
      </c>
      <c r="H88" s="150">
        <f t="shared" si="4"/>
        <v>1</v>
      </c>
    </row>
    <row r="89" spans="1:8" x14ac:dyDescent="0.25">
      <c r="A89" s="37" t="s">
        <v>222</v>
      </c>
      <c r="C89" s="12">
        <v>2</v>
      </c>
      <c r="D89" s="12">
        <v>8</v>
      </c>
      <c r="E89" s="150">
        <f t="shared" si="3"/>
        <v>0.7</v>
      </c>
      <c r="F89">
        <v>164</v>
      </c>
      <c r="G89">
        <f t="shared" si="5"/>
        <v>0.42682926829268286</v>
      </c>
      <c r="H89" s="150">
        <f t="shared" si="4"/>
        <v>7</v>
      </c>
    </row>
    <row r="90" spans="1:8" x14ac:dyDescent="0.25">
      <c r="A90" s="37" t="s">
        <v>225</v>
      </c>
      <c r="B90" s="12">
        <v>2</v>
      </c>
      <c r="C90" s="12">
        <v>2</v>
      </c>
      <c r="E90" s="150">
        <f t="shared" si="3"/>
        <v>1.9000000000000001</v>
      </c>
      <c r="F90">
        <v>26</v>
      </c>
      <c r="G90">
        <f t="shared" si="5"/>
        <v>7.3076923076923084</v>
      </c>
      <c r="H90" s="150">
        <f t="shared" si="4"/>
        <v>3</v>
      </c>
    </row>
    <row r="91" spans="1:8" x14ac:dyDescent="0.25">
      <c r="A91" s="37" t="s">
        <v>615</v>
      </c>
      <c r="B91" s="12">
        <v>11</v>
      </c>
      <c r="C91" s="12">
        <v>1</v>
      </c>
      <c r="D91" s="12">
        <v>9</v>
      </c>
      <c r="E91" s="150">
        <f t="shared" si="3"/>
        <v>9.4</v>
      </c>
      <c r="F91">
        <v>619</v>
      </c>
      <c r="G91">
        <f t="shared" si="5"/>
        <v>1.5185783521809371</v>
      </c>
      <c r="H91" s="150">
        <f t="shared" si="4"/>
        <v>5</v>
      </c>
    </row>
    <row r="92" spans="1:8" x14ac:dyDescent="0.25">
      <c r="A92" s="37" t="s">
        <v>226</v>
      </c>
      <c r="D92" s="12">
        <v>3</v>
      </c>
      <c r="E92" s="150">
        <f t="shared" si="3"/>
        <v>0.15000000000000002</v>
      </c>
      <c r="F92">
        <v>50</v>
      </c>
      <c r="G92">
        <f t="shared" si="5"/>
        <v>0.30000000000000004</v>
      </c>
      <c r="H92" s="150">
        <f t="shared" si="4"/>
        <v>7</v>
      </c>
    </row>
    <row r="93" spans="1:8" x14ac:dyDescent="0.25">
      <c r="A93" s="37" t="s">
        <v>616</v>
      </c>
      <c r="B93" s="12">
        <v>1</v>
      </c>
      <c r="C93" s="12">
        <v>23</v>
      </c>
      <c r="D93" s="12">
        <v>5</v>
      </c>
      <c r="E93" s="150">
        <f t="shared" si="3"/>
        <v>4.5</v>
      </c>
      <c r="F93">
        <v>110</v>
      </c>
      <c r="G93">
        <f t="shared" si="5"/>
        <v>4.0909090909090908</v>
      </c>
      <c r="H93" s="150">
        <f t="shared" si="4"/>
        <v>3</v>
      </c>
    </row>
    <row r="94" spans="1:8" x14ac:dyDescent="0.25">
      <c r="A94" s="37" t="s">
        <v>228</v>
      </c>
      <c r="B94" s="12">
        <v>1</v>
      </c>
      <c r="E94" s="150">
        <f t="shared" si="3"/>
        <v>0.8</v>
      </c>
      <c r="F94">
        <v>49</v>
      </c>
      <c r="G94">
        <f t="shared" si="5"/>
        <v>1.6326530612244898</v>
      </c>
      <c r="H94" s="150">
        <f t="shared" si="4"/>
        <v>5</v>
      </c>
    </row>
    <row r="95" spans="1:8" x14ac:dyDescent="0.25">
      <c r="A95" s="37" t="s">
        <v>230</v>
      </c>
      <c r="D95" s="12">
        <v>1</v>
      </c>
      <c r="E95" s="150">
        <f t="shared" si="3"/>
        <v>0.05</v>
      </c>
      <c r="F95">
        <v>4</v>
      </c>
      <c r="G95">
        <f t="shared" si="5"/>
        <v>1.25</v>
      </c>
      <c r="H95" s="150">
        <f t="shared" si="4"/>
        <v>5</v>
      </c>
    </row>
    <row r="96" spans="1:8" x14ac:dyDescent="0.25">
      <c r="A96" s="37" t="s">
        <v>232</v>
      </c>
      <c r="C96" s="12">
        <v>1</v>
      </c>
      <c r="D96" s="12">
        <v>1</v>
      </c>
      <c r="E96" s="150">
        <f t="shared" si="3"/>
        <v>0.2</v>
      </c>
      <c r="F96">
        <v>776</v>
      </c>
      <c r="G96">
        <f t="shared" si="5"/>
        <v>2.5773195876288662E-2</v>
      </c>
      <c r="H96" s="150">
        <f t="shared" si="4"/>
        <v>7</v>
      </c>
    </row>
    <row r="97" spans="1:8" x14ac:dyDescent="0.25">
      <c r="A97" s="37" t="s">
        <v>620</v>
      </c>
      <c r="D97" s="12">
        <v>1</v>
      </c>
      <c r="E97" s="150">
        <f t="shared" si="3"/>
        <v>0.05</v>
      </c>
      <c r="F97">
        <v>59</v>
      </c>
      <c r="G97">
        <f t="shared" si="5"/>
        <v>8.4745762711864417E-2</v>
      </c>
      <c r="H97" s="150">
        <f t="shared" si="4"/>
        <v>7</v>
      </c>
    </row>
    <row r="98" spans="1:8" x14ac:dyDescent="0.25">
      <c r="A98" s="37" t="s">
        <v>623</v>
      </c>
      <c r="C98" s="12">
        <v>1</v>
      </c>
      <c r="E98" s="150">
        <f t="shared" si="3"/>
        <v>0.15</v>
      </c>
      <c r="F98">
        <v>56</v>
      </c>
      <c r="G98">
        <f t="shared" si="5"/>
        <v>0.26785714285714285</v>
      </c>
      <c r="H98" s="150">
        <f t="shared" si="4"/>
        <v>7</v>
      </c>
    </row>
    <row r="99" spans="1:8" x14ac:dyDescent="0.25">
      <c r="A99" s="37" t="s">
        <v>625</v>
      </c>
      <c r="C99" s="12">
        <v>2</v>
      </c>
      <c r="E99" s="150">
        <f t="shared" si="3"/>
        <v>0.3</v>
      </c>
      <c r="F99">
        <v>84</v>
      </c>
      <c r="G99">
        <f t="shared" si="5"/>
        <v>0.35714285714285715</v>
      </c>
      <c r="H99" s="150">
        <f t="shared" si="4"/>
        <v>7</v>
      </c>
    </row>
    <row r="100" spans="1:8" x14ac:dyDescent="0.25">
      <c r="A100" s="37" t="s">
        <v>234</v>
      </c>
      <c r="B100" s="12">
        <v>2</v>
      </c>
      <c r="C100" s="12">
        <v>1</v>
      </c>
      <c r="D100" s="12">
        <v>4</v>
      </c>
      <c r="E100" s="150">
        <f t="shared" si="3"/>
        <v>1.95</v>
      </c>
      <c r="F100">
        <v>78</v>
      </c>
      <c r="G100">
        <f t="shared" si="5"/>
        <v>2.5</v>
      </c>
      <c r="H100" s="150">
        <f t="shared" si="4"/>
        <v>5</v>
      </c>
    </row>
    <row r="101" spans="1:8" x14ac:dyDescent="0.25">
      <c r="A101" s="37" t="s">
        <v>236</v>
      </c>
      <c r="B101" s="12">
        <v>5</v>
      </c>
      <c r="C101" s="12">
        <v>3</v>
      </c>
      <c r="D101" s="12">
        <v>2</v>
      </c>
      <c r="E101" s="150">
        <f t="shared" si="3"/>
        <v>4.55</v>
      </c>
      <c r="F101">
        <v>337</v>
      </c>
      <c r="G101">
        <f t="shared" si="5"/>
        <v>1.3501483679525221</v>
      </c>
      <c r="H101" s="150">
        <f t="shared" si="4"/>
        <v>5</v>
      </c>
    </row>
    <row r="102" spans="1:8" x14ac:dyDescent="0.25">
      <c r="A102" s="37" t="s">
        <v>238</v>
      </c>
      <c r="C102" s="12">
        <v>4</v>
      </c>
      <c r="D102" s="12">
        <v>1</v>
      </c>
      <c r="E102" s="150">
        <f t="shared" si="3"/>
        <v>0.65</v>
      </c>
      <c r="F102">
        <v>41</v>
      </c>
      <c r="G102">
        <f t="shared" si="5"/>
        <v>1.5853658536585367</v>
      </c>
      <c r="H102" s="150">
        <f t="shared" si="4"/>
        <v>5</v>
      </c>
    </row>
    <row r="103" spans="1:8" x14ac:dyDescent="0.25">
      <c r="A103" s="37" t="s">
        <v>240</v>
      </c>
      <c r="C103" s="12">
        <v>2</v>
      </c>
      <c r="D103" s="12">
        <v>3</v>
      </c>
      <c r="E103" s="150">
        <f t="shared" si="3"/>
        <v>0.45</v>
      </c>
      <c r="F103">
        <v>67</v>
      </c>
      <c r="G103">
        <f t="shared" si="5"/>
        <v>0.67164179104477606</v>
      </c>
      <c r="H103" s="150">
        <f t="shared" si="4"/>
        <v>7</v>
      </c>
    </row>
    <row r="104" spans="1:8" x14ac:dyDescent="0.25">
      <c r="A104" s="37" t="s">
        <v>1071</v>
      </c>
      <c r="D104" s="12">
        <v>4</v>
      </c>
      <c r="E104" s="150">
        <f t="shared" si="3"/>
        <v>0.2</v>
      </c>
      <c r="F104">
        <v>450</v>
      </c>
      <c r="G104">
        <f t="shared" si="5"/>
        <v>4.4444444444444446E-2</v>
      </c>
      <c r="H104" s="150">
        <f t="shared" si="4"/>
        <v>7</v>
      </c>
    </row>
    <row r="105" spans="1:8" x14ac:dyDescent="0.25">
      <c r="A105" s="37" t="s">
        <v>510</v>
      </c>
      <c r="B105" s="12">
        <v>1</v>
      </c>
      <c r="D105" s="12">
        <v>1</v>
      </c>
      <c r="E105" s="150">
        <f t="shared" si="3"/>
        <v>0.85000000000000009</v>
      </c>
      <c r="F105">
        <v>94</v>
      </c>
      <c r="G105">
        <f t="shared" si="5"/>
        <v>0.90425531914893631</v>
      </c>
      <c r="H105" s="150">
        <f t="shared" si="4"/>
        <v>7</v>
      </c>
    </row>
    <row r="106" spans="1:8" x14ac:dyDescent="0.25">
      <c r="A106" s="37" t="s">
        <v>241</v>
      </c>
      <c r="C106" s="12">
        <v>42</v>
      </c>
      <c r="E106" s="150">
        <f t="shared" si="3"/>
        <v>6.3</v>
      </c>
      <c r="F106">
        <v>263</v>
      </c>
      <c r="G106">
        <f t="shared" si="5"/>
        <v>2.3954372623574147</v>
      </c>
      <c r="H106" s="150">
        <f t="shared" si="4"/>
        <v>5</v>
      </c>
    </row>
    <row r="107" spans="1:8" x14ac:dyDescent="0.25">
      <c r="A107" s="37" t="s">
        <v>242</v>
      </c>
      <c r="B107" s="12">
        <v>2</v>
      </c>
      <c r="D107" s="12">
        <v>5</v>
      </c>
      <c r="E107" s="150">
        <f t="shared" si="3"/>
        <v>1.85</v>
      </c>
      <c r="F107">
        <v>389</v>
      </c>
      <c r="G107">
        <f t="shared" si="5"/>
        <v>0.47557840616966579</v>
      </c>
      <c r="H107" s="150">
        <f t="shared" si="4"/>
        <v>7</v>
      </c>
    </row>
    <row r="108" spans="1:8" x14ac:dyDescent="0.25">
      <c r="A108" s="37" t="s">
        <v>244</v>
      </c>
      <c r="C108" s="12">
        <v>1</v>
      </c>
      <c r="E108" s="150">
        <f t="shared" si="3"/>
        <v>0.15</v>
      </c>
      <c r="F108">
        <v>5</v>
      </c>
      <c r="G108">
        <f t="shared" si="5"/>
        <v>3</v>
      </c>
      <c r="H108" s="150">
        <f t="shared" si="4"/>
        <v>5</v>
      </c>
    </row>
    <row r="109" spans="1:8" x14ac:dyDescent="0.25">
      <c r="A109" s="37" t="s">
        <v>48</v>
      </c>
      <c r="B109" s="12">
        <v>1</v>
      </c>
      <c r="C109" s="12">
        <v>1</v>
      </c>
      <c r="D109" s="12">
        <v>2</v>
      </c>
      <c r="E109" s="150">
        <f t="shared" si="3"/>
        <v>1.05</v>
      </c>
      <c r="F109">
        <v>52</v>
      </c>
      <c r="G109">
        <f t="shared" si="5"/>
        <v>2.0192307692307692</v>
      </c>
      <c r="H109" s="150">
        <f t="shared" si="4"/>
        <v>5</v>
      </c>
    </row>
    <row r="110" spans="1:8" x14ac:dyDescent="0.25">
      <c r="A110" s="37" t="s">
        <v>1072</v>
      </c>
      <c r="C110" s="12">
        <v>2</v>
      </c>
      <c r="E110" s="150">
        <f t="shared" si="3"/>
        <v>0.3</v>
      </c>
      <c r="F110">
        <v>9</v>
      </c>
      <c r="G110">
        <f t="shared" si="5"/>
        <v>3.3333333333333335</v>
      </c>
      <c r="H110" s="150">
        <f t="shared" si="4"/>
        <v>3</v>
      </c>
    </row>
    <row r="111" spans="1:8" x14ac:dyDescent="0.25">
      <c r="A111" s="37" t="s">
        <v>252</v>
      </c>
      <c r="C111" s="12">
        <v>1</v>
      </c>
      <c r="E111" s="150">
        <f t="shared" si="3"/>
        <v>0.15</v>
      </c>
      <c r="F111">
        <v>7</v>
      </c>
      <c r="G111">
        <f t="shared" si="5"/>
        <v>2.1428571428571428</v>
      </c>
      <c r="H111" s="150">
        <f t="shared" si="4"/>
        <v>5</v>
      </c>
    </row>
    <row r="112" spans="1:8" x14ac:dyDescent="0.25">
      <c r="A112" s="37" t="s">
        <v>633</v>
      </c>
      <c r="C112" s="12">
        <v>1</v>
      </c>
      <c r="E112" s="150">
        <f t="shared" si="3"/>
        <v>0.15</v>
      </c>
      <c r="F112">
        <v>24</v>
      </c>
      <c r="G112">
        <f t="shared" si="5"/>
        <v>0.625</v>
      </c>
      <c r="H112" s="150">
        <f t="shared" si="4"/>
        <v>7</v>
      </c>
    </row>
    <row r="113" spans="1:8" x14ac:dyDescent="0.25">
      <c r="A113" s="37" t="s">
        <v>253</v>
      </c>
      <c r="B113" s="12">
        <v>1</v>
      </c>
      <c r="E113" s="150">
        <f t="shared" si="3"/>
        <v>0.8</v>
      </c>
      <c r="F113">
        <v>50</v>
      </c>
      <c r="G113">
        <f t="shared" si="5"/>
        <v>1.6</v>
      </c>
      <c r="H113" s="150">
        <f t="shared" si="4"/>
        <v>5</v>
      </c>
    </row>
    <row r="114" spans="1:8" x14ac:dyDescent="0.25">
      <c r="A114" s="37" t="s">
        <v>634</v>
      </c>
      <c r="B114" s="12">
        <v>6</v>
      </c>
      <c r="C114" s="12">
        <v>4</v>
      </c>
      <c r="D114" s="12">
        <v>14</v>
      </c>
      <c r="E114" s="150">
        <f t="shared" si="3"/>
        <v>6.1000000000000005</v>
      </c>
      <c r="F114">
        <v>66</v>
      </c>
      <c r="G114">
        <f t="shared" si="5"/>
        <v>9.242424242424244</v>
      </c>
      <c r="H114" s="150">
        <f t="shared" si="4"/>
        <v>3</v>
      </c>
    </row>
    <row r="115" spans="1:8" x14ac:dyDescent="0.25">
      <c r="A115" s="37" t="s">
        <v>257</v>
      </c>
      <c r="C115" s="12">
        <v>2</v>
      </c>
      <c r="D115" s="12">
        <v>6</v>
      </c>
      <c r="E115" s="150">
        <f t="shared" si="3"/>
        <v>0.60000000000000009</v>
      </c>
      <c r="F115">
        <v>86</v>
      </c>
      <c r="G115">
        <f t="shared" si="5"/>
        <v>0.69767441860465129</v>
      </c>
      <c r="H115" s="150">
        <f t="shared" si="4"/>
        <v>7</v>
      </c>
    </row>
    <row r="116" spans="1:8" x14ac:dyDescent="0.25">
      <c r="A116" s="37" t="s">
        <v>326</v>
      </c>
      <c r="D116" s="12">
        <v>4</v>
      </c>
      <c r="E116" s="150">
        <f t="shared" si="3"/>
        <v>0.2</v>
      </c>
      <c r="F116">
        <v>41</v>
      </c>
      <c r="G116">
        <f t="shared" si="5"/>
        <v>0.48780487804878048</v>
      </c>
      <c r="H116" s="150">
        <f t="shared" si="4"/>
        <v>7</v>
      </c>
    </row>
    <row r="117" spans="1:8" x14ac:dyDescent="0.25">
      <c r="A117" s="37" t="s">
        <v>640</v>
      </c>
      <c r="D117" s="12">
        <v>2</v>
      </c>
      <c r="E117" s="150">
        <f t="shared" si="3"/>
        <v>0.1</v>
      </c>
      <c r="F117">
        <v>93</v>
      </c>
      <c r="G117">
        <f t="shared" si="5"/>
        <v>0.10752688172043011</v>
      </c>
      <c r="H117" s="150">
        <f t="shared" si="4"/>
        <v>7</v>
      </c>
    </row>
    <row r="118" spans="1:8" x14ac:dyDescent="0.25">
      <c r="A118" s="37" t="s">
        <v>641</v>
      </c>
      <c r="D118" s="12">
        <v>1</v>
      </c>
      <c r="E118" s="150">
        <f t="shared" si="3"/>
        <v>0.05</v>
      </c>
      <c r="F118">
        <v>118</v>
      </c>
      <c r="G118">
        <f t="shared" si="5"/>
        <v>4.2372881355932208E-2</v>
      </c>
      <c r="H118" s="150">
        <f t="shared" si="4"/>
        <v>7</v>
      </c>
    </row>
    <row r="119" spans="1:8" x14ac:dyDescent="0.25">
      <c r="A119" s="37" t="s">
        <v>509</v>
      </c>
      <c r="C119" s="12">
        <v>7</v>
      </c>
      <c r="D119" s="12">
        <v>10</v>
      </c>
      <c r="E119" s="150">
        <f t="shared" si="3"/>
        <v>1.55</v>
      </c>
      <c r="F119">
        <v>37</v>
      </c>
      <c r="G119">
        <f t="shared" si="5"/>
        <v>4.1891891891891895</v>
      </c>
      <c r="H119" s="150">
        <f t="shared" si="4"/>
        <v>3</v>
      </c>
    </row>
    <row r="120" spans="1:8" x14ac:dyDescent="0.25">
      <c r="A120" s="37" t="s">
        <v>642</v>
      </c>
      <c r="C120" s="12">
        <v>1</v>
      </c>
      <c r="E120" s="150">
        <f t="shared" si="3"/>
        <v>0.15</v>
      </c>
      <c r="F120">
        <v>33</v>
      </c>
      <c r="G120">
        <f t="shared" si="5"/>
        <v>0.45454545454545453</v>
      </c>
      <c r="H120" s="150">
        <f t="shared" si="4"/>
        <v>7</v>
      </c>
    </row>
    <row r="121" spans="1:8" x14ac:dyDescent="0.25">
      <c r="A121" s="37" t="s">
        <v>507</v>
      </c>
      <c r="B121" s="12">
        <v>8</v>
      </c>
      <c r="D121" s="12">
        <v>5</v>
      </c>
      <c r="E121" s="150">
        <f t="shared" si="3"/>
        <v>6.65</v>
      </c>
      <c r="F121">
        <v>24</v>
      </c>
      <c r="G121">
        <f t="shared" si="5"/>
        <v>27.708333333333336</v>
      </c>
      <c r="H121" s="150">
        <f t="shared" si="4"/>
        <v>1</v>
      </c>
    </row>
    <row r="122" spans="1:8" x14ac:dyDescent="0.25">
      <c r="A122" s="37" t="s">
        <v>260</v>
      </c>
      <c r="C122" s="12">
        <v>1</v>
      </c>
      <c r="E122" s="150">
        <f t="shared" si="3"/>
        <v>0.15</v>
      </c>
      <c r="F122">
        <v>29</v>
      </c>
      <c r="G122">
        <f t="shared" si="5"/>
        <v>0.51724137931034486</v>
      </c>
      <c r="H122" s="150">
        <f t="shared" si="4"/>
        <v>7</v>
      </c>
    </row>
    <row r="123" spans="1:8" x14ac:dyDescent="0.25">
      <c r="A123" s="37" t="s">
        <v>1169</v>
      </c>
      <c r="C123" s="12">
        <v>6</v>
      </c>
      <c r="E123" s="150">
        <f t="shared" si="3"/>
        <v>0.89999999999999991</v>
      </c>
      <c r="F123">
        <v>13</v>
      </c>
      <c r="G123">
        <f t="shared" si="5"/>
        <v>6.9230769230769225</v>
      </c>
      <c r="H123" s="150">
        <f t="shared" si="4"/>
        <v>3</v>
      </c>
    </row>
    <row r="124" spans="1:8" x14ac:dyDescent="0.25">
      <c r="A124" s="37" t="s">
        <v>343</v>
      </c>
      <c r="C124" s="12">
        <v>1</v>
      </c>
      <c r="E124" s="150">
        <f t="shared" si="3"/>
        <v>0.15</v>
      </c>
      <c r="F124">
        <v>42</v>
      </c>
      <c r="G124">
        <f t="shared" si="5"/>
        <v>0.35714285714285715</v>
      </c>
      <c r="H124" s="150">
        <f t="shared" si="4"/>
        <v>7</v>
      </c>
    </row>
    <row r="125" spans="1:8" x14ac:dyDescent="0.25">
      <c r="A125" s="37" t="s">
        <v>506</v>
      </c>
      <c r="D125" s="12">
        <v>1</v>
      </c>
      <c r="E125" s="150">
        <f t="shared" si="3"/>
        <v>0.05</v>
      </c>
      <c r="F125">
        <v>182</v>
      </c>
      <c r="G125">
        <f t="shared" si="5"/>
        <v>2.7472527472527472E-2</v>
      </c>
      <c r="H125" s="150">
        <f t="shared" si="4"/>
        <v>7</v>
      </c>
    </row>
    <row r="126" spans="1:8" x14ac:dyDescent="0.25">
      <c r="A126" s="37" t="s">
        <v>505</v>
      </c>
      <c r="B126" s="12">
        <v>4</v>
      </c>
      <c r="D126" s="12">
        <v>5</v>
      </c>
      <c r="E126" s="150">
        <f t="shared" si="3"/>
        <v>3.45</v>
      </c>
      <c r="F126">
        <v>8</v>
      </c>
      <c r="G126">
        <f t="shared" si="5"/>
        <v>43.125</v>
      </c>
      <c r="H126" s="150">
        <f t="shared" si="4"/>
        <v>1</v>
      </c>
    </row>
    <row r="127" spans="1:8" x14ac:dyDescent="0.25">
      <c r="A127" s="37" t="s">
        <v>262</v>
      </c>
      <c r="D127" s="12">
        <v>2</v>
      </c>
      <c r="E127" s="150">
        <f t="shared" si="3"/>
        <v>0.1</v>
      </c>
      <c r="F127">
        <v>33</v>
      </c>
      <c r="G127">
        <f t="shared" si="5"/>
        <v>0.30303030303030304</v>
      </c>
      <c r="H127" s="150">
        <f t="shared" si="4"/>
        <v>7</v>
      </c>
    </row>
    <row r="128" spans="1:8" x14ac:dyDescent="0.25">
      <c r="A128" s="37" t="s">
        <v>356</v>
      </c>
      <c r="C128" s="12">
        <v>1</v>
      </c>
      <c r="E128" s="150">
        <f t="shared" si="3"/>
        <v>0.15</v>
      </c>
      <c r="F128">
        <v>16</v>
      </c>
      <c r="G128">
        <f t="shared" si="5"/>
        <v>0.9375</v>
      </c>
      <c r="H128" s="150">
        <f t="shared" si="4"/>
        <v>7</v>
      </c>
    </row>
    <row r="129" spans="1:8" x14ac:dyDescent="0.25">
      <c r="A129" s="37" t="s">
        <v>656</v>
      </c>
      <c r="D129" s="12">
        <v>1</v>
      </c>
      <c r="E129" s="150">
        <f t="shared" si="3"/>
        <v>0.05</v>
      </c>
      <c r="F129">
        <v>87</v>
      </c>
      <c r="G129">
        <f t="shared" si="5"/>
        <v>5.7471264367816091E-2</v>
      </c>
      <c r="H129" s="150">
        <f t="shared" si="4"/>
        <v>7</v>
      </c>
    </row>
    <row r="130" spans="1:8" x14ac:dyDescent="0.25">
      <c r="A130" s="37" t="s">
        <v>657</v>
      </c>
      <c r="B130" s="12">
        <v>10</v>
      </c>
      <c r="C130" s="12">
        <v>5</v>
      </c>
      <c r="D130" s="12">
        <v>11</v>
      </c>
      <c r="E130" s="150">
        <f t="shared" ref="E130:E171" si="6">(B130*0.8)+(C130*0.15)+(D130*0.05)</f>
        <v>9.3000000000000007</v>
      </c>
      <c r="F130">
        <v>26</v>
      </c>
      <c r="G130">
        <f t="shared" si="5"/>
        <v>35.769230769230766</v>
      </c>
      <c r="H130" s="150">
        <f t="shared" ref="H130:H193" si="7">IF(G130&lt;=1,7,IF(AND(G130&gt;1,G130&lt;=3),5,IF(AND(G130&gt;3,G130&lt;=10),3,IF(G130&gt;10,1))))</f>
        <v>1</v>
      </c>
    </row>
    <row r="131" spans="1:8" x14ac:dyDescent="0.25">
      <c r="A131" s="37" t="s">
        <v>263</v>
      </c>
      <c r="B131" s="12">
        <v>1</v>
      </c>
      <c r="C131" s="12">
        <v>2</v>
      </c>
      <c r="E131" s="150">
        <f t="shared" si="6"/>
        <v>1.1000000000000001</v>
      </c>
      <c r="F131">
        <v>10</v>
      </c>
      <c r="G131">
        <f t="shared" ref="G131:G194" si="8">+(E131/F131)*100</f>
        <v>11.000000000000002</v>
      </c>
      <c r="H131" s="150">
        <f t="shared" si="7"/>
        <v>1</v>
      </c>
    </row>
    <row r="132" spans="1:8" x14ac:dyDescent="0.25">
      <c r="A132" s="37" t="s">
        <v>659</v>
      </c>
      <c r="C132" s="12">
        <v>1</v>
      </c>
      <c r="E132" s="150">
        <f t="shared" si="6"/>
        <v>0.15</v>
      </c>
      <c r="F132">
        <v>4</v>
      </c>
      <c r="G132">
        <f t="shared" si="8"/>
        <v>3.75</v>
      </c>
      <c r="H132" s="150">
        <f t="shared" si="7"/>
        <v>3</v>
      </c>
    </row>
    <row r="133" spans="1:8" x14ac:dyDescent="0.25">
      <c r="A133" s="37" t="s">
        <v>1086</v>
      </c>
      <c r="D133" s="12">
        <v>8</v>
      </c>
      <c r="E133" s="150">
        <f t="shared" si="6"/>
        <v>0.4</v>
      </c>
      <c r="F133">
        <v>8</v>
      </c>
      <c r="G133">
        <f t="shared" si="8"/>
        <v>5</v>
      </c>
      <c r="H133" s="150">
        <f t="shared" si="7"/>
        <v>3</v>
      </c>
    </row>
    <row r="134" spans="1:8" x14ac:dyDescent="0.25">
      <c r="A134" s="37" t="s">
        <v>1087</v>
      </c>
      <c r="C134" s="12">
        <v>1</v>
      </c>
      <c r="D134" s="12">
        <v>1</v>
      </c>
      <c r="E134" s="150">
        <f t="shared" si="6"/>
        <v>0.2</v>
      </c>
      <c r="F134">
        <v>12</v>
      </c>
      <c r="G134">
        <f t="shared" si="8"/>
        <v>1.6666666666666667</v>
      </c>
      <c r="H134" s="150">
        <f t="shared" si="7"/>
        <v>5</v>
      </c>
    </row>
    <row r="135" spans="1:8" x14ac:dyDescent="0.25">
      <c r="A135" s="37" t="s">
        <v>662</v>
      </c>
      <c r="C135" s="12">
        <v>8</v>
      </c>
      <c r="D135" s="12">
        <v>10</v>
      </c>
      <c r="E135" s="150">
        <f t="shared" si="6"/>
        <v>1.7</v>
      </c>
      <c r="F135">
        <v>39</v>
      </c>
      <c r="G135">
        <f t="shared" si="8"/>
        <v>4.3589743589743586</v>
      </c>
      <c r="H135" s="150">
        <f t="shared" si="7"/>
        <v>3</v>
      </c>
    </row>
    <row r="136" spans="1:8" x14ac:dyDescent="0.25">
      <c r="A136" s="37" t="s">
        <v>264</v>
      </c>
      <c r="C136" s="12">
        <v>6</v>
      </c>
      <c r="D136" s="12">
        <v>6</v>
      </c>
      <c r="E136" s="150">
        <f t="shared" si="6"/>
        <v>1.2</v>
      </c>
      <c r="F136">
        <v>32</v>
      </c>
      <c r="G136">
        <f t="shared" si="8"/>
        <v>3.75</v>
      </c>
      <c r="H136" s="150">
        <f t="shared" si="7"/>
        <v>3</v>
      </c>
    </row>
    <row r="137" spans="1:8" x14ac:dyDescent="0.25">
      <c r="A137" s="37" t="s">
        <v>663</v>
      </c>
      <c r="D137" s="12">
        <v>12</v>
      </c>
      <c r="E137" s="150">
        <f t="shared" si="6"/>
        <v>0.60000000000000009</v>
      </c>
      <c r="F137">
        <v>70</v>
      </c>
      <c r="G137">
        <f t="shared" si="8"/>
        <v>0.85714285714285721</v>
      </c>
      <c r="H137" s="150">
        <f t="shared" si="7"/>
        <v>7</v>
      </c>
    </row>
    <row r="138" spans="1:8" x14ac:dyDescent="0.25">
      <c r="A138" s="37" t="s">
        <v>1091</v>
      </c>
      <c r="D138" s="12">
        <v>1</v>
      </c>
      <c r="E138" s="150">
        <f t="shared" si="6"/>
        <v>0.05</v>
      </c>
      <c r="F138">
        <v>65</v>
      </c>
      <c r="G138">
        <f t="shared" si="8"/>
        <v>7.6923076923076927E-2</v>
      </c>
      <c r="H138" s="150">
        <f t="shared" si="7"/>
        <v>7</v>
      </c>
    </row>
    <row r="139" spans="1:8" x14ac:dyDescent="0.25">
      <c r="A139" s="37" t="s">
        <v>265</v>
      </c>
      <c r="B139" s="12">
        <v>1</v>
      </c>
      <c r="E139" s="150">
        <f t="shared" si="6"/>
        <v>0.8</v>
      </c>
      <c r="F139">
        <v>1196</v>
      </c>
      <c r="G139">
        <f t="shared" si="8"/>
        <v>6.6889632107023422E-2</v>
      </c>
      <c r="H139" s="150">
        <f t="shared" si="7"/>
        <v>7</v>
      </c>
    </row>
    <row r="140" spans="1:8" x14ac:dyDescent="0.25">
      <c r="A140" s="37" t="s">
        <v>664</v>
      </c>
      <c r="B140" s="12">
        <v>1</v>
      </c>
      <c r="E140" s="150">
        <f t="shared" si="6"/>
        <v>0.8</v>
      </c>
      <c r="F140">
        <v>77</v>
      </c>
      <c r="G140">
        <f t="shared" si="8"/>
        <v>1.0389610389610389</v>
      </c>
      <c r="H140" s="150">
        <f t="shared" si="7"/>
        <v>5</v>
      </c>
    </row>
    <row r="141" spans="1:8" x14ac:dyDescent="0.25">
      <c r="A141" s="37" t="s">
        <v>266</v>
      </c>
      <c r="B141" s="12">
        <v>1</v>
      </c>
      <c r="C141" s="12">
        <v>19</v>
      </c>
      <c r="D141" s="12">
        <v>12</v>
      </c>
      <c r="E141" s="150">
        <f t="shared" si="6"/>
        <v>4.25</v>
      </c>
      <c r="F141">
        <v>1393</v>
      </c>
      <c r="G141">
        <f t="shared" si="8"/>
        <v>0.30509691313711418</v>
      </c>
      <c r="H141" s="150">
        <f t="shared" si="7"/>
        <v>7</v>
      </c>
    </row>
    <row r="142" spans="1:8" x14ac:dyDescent="0.25">
      <c r="A142" s="37" t="s">
        <v>1093</v>
      </c>
      <c r="D142" s="12">
        <v>1</v>
      </c>
      <c r="E142" s="150">
        <f t="shared" si="6"/>
        <v>0.05</v>
      </c>
      <c r="F142">
        <v>225</v>
      </c>
      <c r="G142">
        <f t="shared" si="8"/>
        <v>2.2222222222222223E-2</v>
      </c>
      <c r="H142" s="150">
        <f t="shared" si="7"/>
        <v>7</v>
      </c>
    </row>
    <row r="143" spans="1:8" x14ac:dyDescent="0.25">
      <c r="A143" s="37" t="s">
        <v>1094</v>
      </c>
      <c r="C143" s="12">
        <v>1</v>
      </c>
      <c r="E143" s="150">
        <f t="shared" si="6"/>
        <v>0.15</v>
      </c>
      <c r="F143">
        <v>9</v>
      </c>
      <c r="G143">
        <f t="shared" si="8"/>
        <v>1.6666666666666667</v>
      </c>
      <c r="H143" s="150">
        <f t="shared" si="7"/>
        <v>5</v>
      </c>
    </row>
    <row r="144" spans="1:8" x14ac:dyDescent="0.25">
      <c r="A144" s="37" t="s">
        <v>268</v>
      </c>
      <c r="C144" s="12">
        <v>1</v>
      </c>
      <c r="D144" s="12">
        <v>2</v>
      </c>
      <c r="E144" s="150">
        <f t="shared" si="6"/>
        <v>0.25</v>
      </c>
      <c r="F144">
        <v>17</v>
      </c>
      <c r="G144">
        <f t="shared" si="8"/>
        <v>1.4705882352941175</v>
      </c>
      <c r="H144" s="150">
        <f t="shared" si="7"/>
        <v>5</v>
      </c>
    </row>
    <row r="145" spans="1:8" x14ac:dyDescent="0.25">
      <c r="A145" s="37" t="s">
        <v>271</v>
      </c>
      <c r="C145" s="12">
        <v>1</v>
      </c>
      <c r="E145" s="150">
        <f t="shared" si="6"/>
        <v>0.15</v>
      </c>
      <c r="F145">
        <v>5</v>
      </c>
      <c r="G145">
        <f t="shared" si="8"/>
        <v>3</v>
      </c>
      <c r="H145" s="150">
        <f t="shared" si="7"/>
        <v>5</v>
      </c>
    </row>
    <row r="146" spans="1:8" x14ac:dyDescent="0.25">
      <c r="A146" s="37" t="s">
        <v>1157</v>
      </c>
      <c r="B146" s="12">
        <v>2</v>
      </c>
      <c r="C146" s="12">
        <v>4</v>
      </c>
      <c r="D146" s="12">
        <v>3</v>
      </c>
      <c r="E146" s="150">
        <f t="shared" si="6"/>
        <v>2.35</v>
      </c>
      <c r="F146">
        <v>4</v>
      </c>
      <c r="G146">
        <f t="shared" si="8"/>
        <v>58.75</v>
      </c>
      <c r="H146" s="150">
        <f t="shared" si="7"/>
        <v>1</v>
      </c>
    </row>
    <row r="147" spans="1:8" x14ac:dyDescent="0.25">
      <c r="A147" s="37" t="s">
        <v>281</v>
      </c>
      <c r="B147" s="12">
        <v>1</v>
      </c>
      <c r="C147" s="12">
        <v>5</v>
      </c>
      <c r="E147" s="150">
        <f t="shared" si="6"/>
        <v>1.55</v>
      </c>
      <c r="F147">
        <v>903</v>
      </c>
      <c r="G147">
        <f t="shared" si="8"/>
        <v>0.1716500553709856</v>
      </c>
      <c r="H147" s="150">
        <f t="shared" si="7"/>
        <v>7</v>
      </c>
    </row>
    <row r="148" spans="1:8" x14ac:dyDescent="0.25">
      <c r="A148" s="37" t="s">
        <v>284</v>
      </c>
      <c r="B148" s="12">
        <v>2</v>
      </c>
      <c r="C148" s="12">
        <v>1</v>
      </c>
      <c r="D148" s="12">
        <v>2</v>
      </c>
      <c r="E148" s="150">
        <f t="shared" si="6"/>
        <v>1.85</v>
      </c>
      <c r="F148">
        <v>85</v>
      </c>
      <c r="G148">
        <f t="shared" si="8"/>
        <v>2.1764705882352944</v>
      </c>
      <c r="H148" s="150">
        <f t="shared" si="7"/>
        <v>5</v>
      </c>
    </row>
    <row r="149" spans="1:8" x14ac:dyDescent="0.25">
      <c r="A149" s="37" t="s">
        <v>285</v>
      </c>
      <c r="D149" s="12">
        <v>1</v>
      </c>
      <c r="E149" s="150">
        <f t="shared" si="6"/>
        <v>0.05</v>
      </c>
      <c r="F149">
        <v>52</v>
      </c>
      <c r="G149">
        <f t="shared" si="8"/>
        <v>9.6153846153846159E-2</v>
      </c>
      <c r="H149" s="150">
        <f t="shared" si="7"/>
        <v>7</v>
      </c>
    </row>
    <row r="150" spans="1:8" x14ac:dyDescent="0.25">
      <c r="A150" s="37" t="s">
        <v>674</v>
      </c>
      <c r="D150" s="12">
        <v>2</v>
      </c>
      <c r="E150" s="150">
        <f t="shared" si="6"/>
        <v>0.1</v>
      </c>
      <c r="F150">
        <v>214</v>
      </c>
      <c r="G150">
        <f t="shared" si="8"/>
        <v>4.6728971962616828E-2</v>
      </c>
      <c r="H150" s="150">
        <f t="shared" si="7"/>
        <v>7</v>
      </c>
    </row>
    <row r="151" spans="1:8" x14ac:dyDescent="0.25">
      <c r="A151" s="37" t="s">
        <v>503</v>
      </c>
      <c r="B151" s="12">
        <v>1</v>
      </c>
      <c r="C151" s="12">
        <v>1</v>
      </c>
      <c r="D151" s="12">
        <v>1</v>
      </c>
      <c r="E151" s="150">
        <f t="shared" si="6"/>
        <v>1</v>
      </c>
      <c r="F151">
        <v>8</v>
      </c>
      <c r="G151">
        <f t="shared" si="8"/>
        <v>12.5</v>
      </c>
      <c r="H151" s="150">
        <f t="shared" si="7"/>
        <v>1</v>
      </c>
    </row>
    <row r="152" spans="1:8" x14ac:dyDescent="0.25">
      <c r="A152" s="37" t="s">
        <v>289</v>
      </c>
      <c r="D152" s="12">
        <v>2</v>
      </c>
      <c r="E152" s="150">
        <f t="shared" si="6"/>
        <v>0.1</v>
      </c>
      <c r="F152">
        <v>29</v>
      </c>
      <c r="G152">
        <f t="shared" si="8"/>
        <v>0.34482758620689657</v>
      </c>
      <c r="H152" s="150">
        <f t="shared" si="7"/>
        <v>7</v>
      </c>
    </row>
    <row r="153" spans="1:8" x14ac:dyDescent="0.25">
      <c r="A153" s="37" t="s">
        <v>293</v>
      </c>
      <c r="C153" s="12">
        <v>1</v>
      </c>
      <c r="E153" s="150">
        <f t="shared" si="6"/>
        <v>0.15</v>
      </c>
      <c r="F153">
        <v>400</v>
      </c>
      <c r="G153">
        <f t="shared" si="8"/>
        <v>3.7499999999999999E-2</v>
      </c>
      <c r="H153" s="150">
        <f t="shared" si="7"/>
        <v>7</v>
      </c>
    </row>
    <row r="154" spans="1:8" x14ac:dyDescent="0.25">
      <c r="A154" s="37" t="s">
        <v>680</v>
      </c>
      <c r="B154" s="12">
        <v>5</v>
      </c>
      <c r="D154" s="12">
        <v>1</v>
      </c>
      <c r="E154" s="150">
        <f t="shared" si="6"/>
        <v>4.05</v>
      </c>
      <c r="F154">
        <v>37</v>
      </c>
      <c r="G154">
        <f t="shared" si="8"/>
        <v>10.945945945945946</v>
      </c>
      <c r="H154" s="150">
        <f t="shared" si="7"/>
        <v>1</v>
      </c>
    </row>
    <row r="155" spans="1:8" x14ac:dyDescent="0.25">
      <c r="A155" s="37" t="s">
        <v>297</v>
      </c>
      <c r="D155" s="12">
        <v>1</v>
      </c>
      <c r="E155" s="150">
        <f t="shared" si="6"/>
        <v>0.05</v>
      </c>
      <c r="F155">
        <v>640</v>
      </c>
      <c r="G155">
        <f t="shared" si="8"/>
        <v>7.8125E-3</v>
      </c>
      <c r="H155" s="150">
        <f t="shared" si="7"/>
        <v>7</v>
      </c>
    </row>
    <row r="156" spans="1:8" x14ac:dyDescent="0.25">
      <c r="A156" s="37" t="s">
        <v>502</v>
      </c>
      <c r="D156" s="12">
        <v>2</v>
      </c>
      <c r="E156" s="150">
        <f t="shared" si="6"/>
        <v>0.1</v>
      </c>
      <c r="F156">
        <v>44</v>
      </c>
      <c r="G156">
        <f t="shared" si="8"/>
        <v>0.22727272727272729</v>
      </c>
      <c r="H156" s="150">
        <f t="shared" si="7"/>
        <v>7</v>
      </c>
    </row>
    <row r="157" spans="1:8" x14ac:dyDescent="0.25">
      <c r="A157" s="37" t="s">
        <v>1100</v>
      </c>
      <c r="B157" s="12">
        <v>3</v>
      </c>
      <c r="C157" s="12">
        <v>1</v>
      </c>
      <c r="D157" s="12">
        <v>1</v>
      </c>
      <c r="E157" s="150">
        <f t="shared" si="6"/>
        <v>2.6</v>
      </c>
      <c r="F157">
        <v>38</v>
      </c>
      <c r="G157">
        <f t="shared" si="8"/>
        <v>6.8421052631578956</v>
      </c>
      <c r="H157" s="150">
        <f t="shared" si="7"/>
        <v>3</v>
      </c>
    </row>
    <row r="158" spans="1:8" x14ac:dyDescent="0.25">
      <c r="A158" s="37" t="s">
        <v>683</v>
      </c>
      <c r="B158" s="12">
        <v>6</v>
      </c>
      <c r="C158" s="12">
        <v>5</v>
      </c>
      <c r="D158" s="12">
        <v>4</v>
      </c>
      <c r="E158" s="150">
        <f t="shared" si="6"/>
        <v>5.7500000000000009</v>
      </c>
      <c r="F158">
        <v>1702</v>
      </c>
      <c r="G158">
        <f t="shared" si="8"/>
        <v>0.33783783783783788</v>
      </c>
      <c r="H158" s="150">
        <f t="shared" si="7"/>
        <v>7</v>
      </c>
    </row>
    <row r="159" spans="1:8" x14ac:dyDescent="0.25">
      <c r="A159" s="37" t="s">
        <v>302</v>
      </c>
      <c r="D159" s="12">
        <v>1</v>
      </c>
      <c r="E159" s="150">
        <f t="shared" si="6"/>
        <v>0.05</v>
      </c>
      <c r="F159">
        <v>50</v>
      </c>
      <c r="G159">
        <f t="shared" si="8"/>
        <v>0.1</v>
      </c>
      <c r="H159" s="150">
        <f t="shared" si="7"/>
        <v>7</v>
      </c>
    </row>
    <row r="160" spans="1:8" x14ac:dyDescent="0.25">
      <c r="A160" s="37" t="s">
        <v>304</v>
      </c>
      <c r="D160" s="12">
        <v>3</v>
      </c>
      <c r="E160" s="150">
        <f t="shared" si="6"/>
        <v>0.15000000000000002</v>
      </c>
      <c r="F160">
        <v>194</v>
      </c>
      <c r="G160">
        <f t="shared" si="8"/>
        <v>7.7319587628865982E-2</v>
      </c>
      <c r="H160" s="150">
        <f t="shared" si="7"/>
        <v>7</v>
      </c>
    </row>
    <row r="161" spans="1:8" x14ac:dyDescent="0.25">
      <c r="A161" s="37" t="s">
        <v>684</v>
      </c>
      <c r="C161" s="12">
        <v>1</v>
      </c>
      <c r="E161" s="150">
        <f t="shared" si="6"/>
        <v>0.15</v>
      </c>
      <c r="F161">
        <v>1</v>
      </c>
      <c r="G161">
        <f t="shared" si="8"/>
        <v>15</v>
      </c>
      <c r="H161" s="150">
        <f t="shared" si="7"/>
        <v>1</v>
      </c>
    </row>
    <row r="162" spans="1:8" x14ac:dyDescent="0.25">
      <c r="A162" s="37" t="s">
        <v>307</v>
      </c>
      <c r="B162" s="12">
        <v>1</v>
      </c>
      <c r="E162" s="150">
        <f t="shared" si="6"/>
        <v>0.8</v>
      </c>
      <c r="F162">
        <v>36</v>
      </c>
      <c r="G162">
        <f t="shared" si="8"/>
        <v>2.2222222222222223</v>
      </c>
      <c r="H162" s="150">
        <f t="shared" si="7"/>
        <v>5</v>
      </c>
    </row>
    <row r="163" spans="1:8" x14ac:dyDescent="0.25">
      <c r="A163" s="37" t="s">
        <v>308</v>
      </c>
      <c r="C163" s="12">
        <v>1</v>
      </c>
      <c r="E163" s="150">
        <f t="shared" si="6"/>
        <v>0.15</v>
      </c>
      <c r="F163">
        <v>37</v>
      </c>
      <c r="G163">
        <f t="shared" si="8"/>
        <v>0.40540540540540543</v>
      </c>
      <c r="H163" s="150">
        <f t="shared" si="7"/>
        <v>7</v>
      </c>
    </row>
    <row r="164" spans="1:8" x14ac:dyDescent="0.25">
      <c r="A164" s="37" t="s">
        <v>309</v>
      </c>
      <c r="C164" s="12">
        <v>1</v>
      </c>
      <c r="E164" s="150">
        <f t="shared" si="6"/>
        <v>0.15</v>
      </c>
      <c r="F164">
        <v>55</v>
      </c>
      <c r="G164">
        <f t="shared" si="8"/>
        <v>0.27272727272727271</v>
      </c>
      <c r="H164" s="150">
        <f t="shared" si="7"/>
        <v>7</v>
      </c>
    </row>
    <row r="165" spans="1:8" x14ac:dyDescent="0.25">
      <c r="A165" s="37" t="s">
        <v>310</v>
      </c>
      <c r="B165" s="12">
        <v>1</v>
      </c>
      <c r="C165" s="12">
        <v>1</v>
      </c>
      <c r="E165" s="150">
        <f t="shared" si="6"/>
        <v>0.95000000000000007</v>
      </c>
      <c r="F165">
        <v>78</v>
      </c>
      <c r="G165">
        <f t="shared" si="8"/>
        <v>1.2179487179487181</v>
      </c>
      <c r="H165" s="150">
        <f t="shared" si="7"/>
        <v>5</v>
      </c>
    </row>
    <row r="166" spans="1:8" x14ac:dyDescent="0.25">
      <c r="A166" s="37" t="s">
        <v>311</v>
      </c>
      <c r="B166" s="12">
        <v>1</v>
      </c>
      <c r="D166" s="12">
        <v>2</v>
      </c>
      <c r="E166" s="150">
        <f t="shared" si="6"/>
        <v>0.9</v>
      </c>
      <c r="F166">
        <v>15</v>
      </c>
      <c r="G166">
        <f t="shared" si="8"/>
        <v>6.0000000000000009</v>
      </c>
      <c r="H166" s="150">
        <f t="shared" si="7"/>
        <v>3</v>
      </c>
    </row>
    <row r="167" spans="1:8" x14ac:dyDescent="0.25">
      <c r="A167" s="37" t="s">
        <v>313</v>
      </c>
      <c r="C167" s="12">
        <v>2</v>
      </c>
      <c r="E167" s="150">
        <f t="shared" si="6"/>
        <v>0.3</v>
      </c>
      <c r="F167">
        <v>137</v>
      </c>
      <c r="G167">
        <f t="shared" si="8"/>
        <v>0.218978102189781</v>
      </c>
      <c r="H167" s="150">
        <f t="shared" si="7"/>
        <v>7</v>
      </c>
    </row>
    <row r="168" spans="1:8" x14ac:dyDescent="0.25">
      <c r="A168" s="37" t="s">
        <v>317</v>
      </c>
      <c r="C168" s="12">
        <v>5</v>
      </c>
      <c r="E168" s="150">
        <f t="shared" si="6"/>
        <v>0.75</v>
      </c>
      <c r="F168">
        <v>808</v>
      </c>
      <c r="G168">
        <f t="shared" si="8"/>
        <v>9.2821782178217821E-2</v>
      </c>
      <c r="H168" s="150">
        <f t="shared" si="7"/>
        <v>7</v>
      </c>
    </row>
    <row r="169" spans="1:8" x14ac:dyDescent="0.25">
      <c r="A169" s="37" t="s">
        <v>318</v>
      </c>
      <c r="B169" s="12">
        <v>3</v>
      </c>
      <c r="C169" s="12">
        <v>6</v>
      </c>
      <c r="E169" s="150">
        <f t="shared" si="6"/>
        <v>3.3000000000000003</v>
      </c>
      <c r="F169">
        <v>2236</v>
      </c>
      <c r="G169">
        <f t="shared" si="8"/>
        <v>0.14758497316636854</v>
      </c>
      <c r="H169" s="150">
        <f t="shared" si="7"/>
        <v>7</v>
      </c>
    </row>
    <row r="170" spans="1:8" x14ac:dyDescent="0.25">
      <c r="A170" s="37" t="s">
        <v>320</v>
      </c>
      <c r="D170" s="12">
        <v>1</v>
      </c>
      <c r="E170" s="150">
        <f t="shared" si="6"/>
        <v>0.05</v>
      </c>
      <c r="F170">
        <v>110</v>
      </c>
      <c r="G170">
        <f t="shared" si="8"/>
        <v>4.5454545454545456E-2</v>
      </c>
      <c r="H170" s="150">
        <f t="shared" si="7"/>
        <v>7</v>
      </c>
    </row>
    <row r="171" spans="1:8" x14ac:dyDescent="0.25">
      <c r="A171" s="37" t="s">
        <v>696</v>
      </c>
      <c r="C171" s="12">
        <v>3</v>
      </c>
      <c r="D171" s="12">
        <v>1</v>
      </c>
      <c r="E171" s="150">
        <f t="shared" si="6"/>
        <v>0.49999999999999994</v>
      </c>
      <c r="F171">
        <v>58</v>
      </c>
      <c r="G171">
        <f t="shared" si="8"/>
        <v>0.86206896551724133</v>
      </c>
      <c r="H171" s="150">
        <f t="shared" si="7"/>
        <v>7</v>
      </c>
    </row>
    <row r="172" spans="1:8" x14ac:dyDescent="0.25">
      <c r="A172" t="s">
        <v>1044</v>
      </c>
      <c r="F172">
        <v>1</v>
      </c>
      <c r="G172">
        <f t="shared" si="8"/>
        <v>0</v>
      </c>
      <c r="H172" s="150">
        <f t="shared" si="7"/>
        <v>7</v>
      </c>
    </row>
    <row r="173" spans="1:8" x14ac:dyDescent="0.25">
      <c r="A173" t="s">
        <v>1045</v>
      </c>
      <c r="F173">
        <v>2</v>
      </c>
      <c r="G173">
        <f t="shared" si="8"/>
        <v>0</v>
      </c>
      <c r="H173" s="150">
        <f t="shared" si="7"/>
        <v>7</v>
      </c>
    </row>
    <row r="174" spans="1:8" x14ac:dyDescent="0.25">
      <c r="A174" t="s">
        <v>1046</v>
      </c>
      <c r="F174">
        <v>2</v>
      </c>
      <c r="G174">
        <f t="shared" si="8"/>
        <v>0</v>
      </c>
      <c r="H174" s="150">
        <f t="shared" si="7"/>
        <v>7</v>
      </c>
    </row>
    <row r="175" spans="1:8" x14ac:dyDescent="0.25">
      <c r="A175" t="s">
        <v>528</v>
      </c>
      <c r="F175">
        <v>3</v>
      </c>
      <c r="G175">
        <f t="shared" si="8"/>
        <v>0</v>
      </c>
      <c r="H175" s="150">
        <f t="shared" si="7"/>
        <v>7</v>
      </c>
    </row>
    <row r="176" spans="1:8" x14ac:dyDescent="0.25">
      <c r="A176" t="s">
        <v>1144</v>
      </c>
      <c r="F176">
        <v>2</v>
      </c>
      <c r="G176">
        <f t="shared" si="8"/>
        <v>0</v>
      </c>
      <c r="H176" s="150">
        <f t="shared" si="7"/>
        <v>7</v>
      </c>
    </row>
    <row r="177" spans="1:8" x14ac:dyDescent="0.25">
      <c r="A177" t="s">
        <v>1145</v>
      </c>
      <c r="F177">
        <v>1</v>
      </c>
      <c r="G177">
        <f t="shared" si="8"/>
        <v>0</v>
      </c>
      <c r="H177" s="150">
        <f t="shared" si="7"/>
        <v>7</v>
      </c>
    </row>
    <row r="178" spans="1:8" x14ac:dyDescent="0.25">
      <c r="A178" t="s">
        <v>1047</v>
      </c>
      <c r="F178">
        <v>1</v>
      </c>
      <c r="G178">
        <f t="shared" si="8"/>
        <v>0</v>
      </c>
      <c r="H178" s="150">
        <f t="shared" si="7"/>
        <v>7</v>
      </c>
    </row>
    <row r="179" spans="1:8" x14ac:dyDescent="0.25">
      <c r="A179" t="s">
        <v>1048</v>
      </c>
      <c r="F179">
        <v>2</v>
      </c>
      <c r="G179">
        <f t="shared" si="8"/>
        <v>0</v>
      </c>
      <c r="H179" s="150">
        <f t="shared" si="7"/>
        <v>7</v>
      </c>
    </row>
    <row r="180" spans="1:8" x14ac:dyDescent="0.25">
      <c r="A180" t="s">
        <v>529</v>
      </c>
      <c r="F180">
        <v>3</v>
      </c>
      <c r="G180">
        <f t="shared" si="8"/>
        <v>0</v>
      </c>
      <c r="H180" s="150">
        <f t="shared" si="7"/>
        <v>7</v>
      </c>
    </row>
    <row r="181" spans="1:8" x14ac:dyDescent="0.25">
      <c r="A181" t="s">
        <v>1049</v>
      </c>
      <c r="F181">
        <v>2</v>
      </c>
      <c r="G181">
        <f t="shared" si="8"/>
        <v>0</v>
      </c>
      <c r="H181" s="150">
        <f t="shared" si="7"/>
        <v>7</v>
      </c>
    </row>
    <row r="182" spans="1:8" x14ac:dyDescent="0.25">
      <c r="A182" t="s">
        <v>1050</v>
      </c>
      <c r="F182">
        <v>2</v>
      </c>
      <c r="G182">
        <f t="shared" si="8"/>
        <v>0</v>
      </c>
      <c r="H182" s="150">
        <f t="shared" si="7"/>
        <v>7</v>
      </c>
    </row>
    <row r="183" spans="1:8" x14ac:dyDescent="0.25">
      <c r="A183" t="s">
        <v>1051</v>
      </c>
      <c r="F183">
        <v>2</v>
      </c>
      <c r="G183">
        <f t="shared" si="8"/>
        <v>0</v>
      </c>
      <c r="H183" s="150">
        <f t="shared" si="7"/>
        <v>7</v>
      </c>
    </row>
    <row r="184" spans="1:8" x14ac:dyDescent="0.25">
      <c r="A184" t="s">
        <v>1052</v>
      </c>
      <c r="F184">
        <v>1</v>
      </c>
      <c r="G184">
        <f t="shared" si="8"/>
        <v>0</v>
      </c>
      <c r="H184" s="150">
        <f t="shared" si="7"/>
        <v>7</v>
      </c>
    </row>
    <row r="185" spans="1:8" x14ac:dyDescent="0.25">
      <c r="A185" t="s">
        <v>530</v>
      </c>
      <c r="F185">
        <v>1</v>
      </c>
      <c r="G185">
        <f t="shared" si="8"/>
        <v>0</v>
      </c>
      <c r="H185" s="150">
        <f t="shared" si="7"/>
        <v>7</v>
      </c>
    </row>
    <row r="186" spans="1:8" x14ac:dyDescent="0.25">
      <c r="A186" t="s">
        <v>531</v>
      </c>
      <c r="F186">
        <v>1</v>
      </c>
      <c r="G186">
        <f t="shared" si="8"/>
        <v>0</v>
      </c>
      <c r="H186" s="150">
        <f t="shared" si="7"/>
        <v>7</v>
      </c>
    </row>
    <row r="187" spans="1:8" x14ac:dyDescent="0.25">
      <c r="A187" t="s">
        <v>1053</v>
      </c>
      <c r="F187">
        <v>1</v>
      </c>
      <c r="G187">
        <f t="shared" si="8"/>
        <v>0</v>
      </c>
      <c r="H187" s="150">
        <f t="shared" si="7"/>
        <v>7</v>
      </c>
    </row>
    <row r="188" spans="1:8" x14ac:dyDescent="0.25">
      <c r="A188" t="s">
        <v>532</v>
      </c>
      <c r="F188">
        <v>1</v>
      </c>
      <c r="G188">
        <f t="shared" si="8"/>
        <v>0</v>
      </c>
      <c r="H188" s="150">
        <f t="shared" si="7"/>
        <v>7</v>
      </c>
    </row>
    <row r="189" spans="1:8" x14ac:dyDescent="0.25">
      <c r="A189" t="s">
        <v>533</v>
      </c>
      <c r="F189">
        <v>1</v>
      </c>
      <c r="G189">
        <f t="shared" si="8"/>
        <v>0</v>
      </c>
      <c r="H189" s="150">
        <f t="shared" si="7"/>
        <v>7</v>
      </c>
    </row>
    <row r="190" spans="1:8" x14ac:dyDescent="0.25">
      <c r="A190" t="s">
        <v>1054</v>
      </c>
      <c r="F190">
        <v>1</v>
      </c>
      <c r="G190">
        <f t="shared" si="8"/>
        <v>0</v>
      </c>
      <c r="H190" s="150">
        <f t="shared" si="7"/>
        <v>7</v>
      </c>
    </row>
    <row r="191" spans="1:8" x14ac:dyDescent="0.25">
      <c r="A191" t="s">
        <v>117</v>
      </c>
      <c r="F191">
        <v>47</v>
      </c>
      <c r="G191">
        <f t="shared" si="8"/>
        <v>0</v>
      </c>
      <c r="H191" s="150">
        <f t="shared" si="7"/>
        <v>7</v>
      </c>
    </row>
    <row r="192" spans="1:8" x14ac:dyDescent="0.25">
      <c r="A192" t="s">
        <v>118</v>
      </c>
      <c r="F192">
        <v>1</v>
      </c>
      <c r="G192">
        <f t="shared" si="8"/>
        <v>0</v>
      </c>
      <c r="H192" s="150">
        <f t="shared" si="7"/>
        <v>7</v>
      </c>
    </row>
    <row r="193" spans="1:8" x14ac:dyDescent="0.25">
      <c r="A193" t="s">
        <v>119</v>
      </c>
      <c r="F193">
        <v>16</v>
      </c>
      <c r="G193">
        <f t="shared" si="8"/>
        <v>0</v>
      </c>
      <c r="H193" s="150">
        <f t="shared" si="7"/>
        <v>7</v>
      </c>
    </row>
    <row r="194" spans="1:8" x14ac:dyDescent="0.25">
      <c r="A194" t="s">
        <v>534</v>
      </c>
      <c r="F194">
        <v>4</v>
      </c>
      <c r="G194">
        <f t="shared" si="8"/>
        <v>0</v>
      </c>
      <c r="H194" s="150">
        <f t="shared" ref="H194:H257" si="9">IF(G194&lt;=1,7,IF(AND(G194&gt;1,G194&lt;=3),5,IF(AND(G194&gt;3,G194&lt;=10),3,IF(G194&gt;10,1))))</f>
        <v>7</v>
      </c>
    </row>
    <row r="195" spans="1:8" x14ac:dyDescent="0.25">
      <c r="A195" t="s">
        <v>535</v>
      </c>
      <c r="F195">
        <v>1</v>
      </c>
      <c r="G195">
        <f t="shared" ref="G195:G258" si="10">+(E195/F195)*100</f>
        <v>0</v>
      </c>
      <c r="H195" s="150">
        <f t="shared" si="9"/>
        <v>7</v>
      </c>
    </row>
    <row r="196" spans="1:8" x14ac:dyDescent="0.25">
      <c r="A196" t="s">
        <v>536</v>
      </c>
      <c r="F196">
        <v>2</v>
      </c>
      <c r="G196">
        <f t="shared" si="10"/>
        <v>0</v>
      </c>
      <c r="H196" s="150">
        <f t="shared" si="9"/>
        <v>7</v>
      </c>
    </row>
    <row r="197" spans="1:8" x14ac:dyDescent="0.25">
      <c r="A197" t="s">
        <v>537</v>
      </c>
      <c r="F197">
        <v>14</v>
      </c>
      <c r="G197">
        <f t="shared" si="10"/>
        <v>0</v>
      </c>
      <c r="H197" s="150">
        <f t="shared" si="9"/>
        <v>7</v>
      </c>
    </row>
    <row r="198" spans="1:8" x14ac:dyDescent="0.25">
      <c r="A198" t="s">
        <v>538</v>
      </c>
      <c r="F198">
        <v>39</v>
      </c>
      <c r="G198">
        <f t="shared" si="10"/>
        <v>0</v>
      </c>
      <c r="H198" s="150">
        <f t="shared" si="9"/>
        <v>7</v>
      </c>
    </row>
    <row r="199" spans="1:8" x14ac:dyDescent="0.25">
      <c r="A199" t="s">
        <v>539</v>
      </c>
      <c r="F199">
        <v>5</v>
      </c>
      <c r="G199">
        <f t="shared" si="10"/>
        <v>0</v>
      </c>
      <c r="H199" s="150">
        <f t="shared" si="9"/>
        <v>7</v>
      </c>
    </row>
    <row r="200" spans="1:8" x14ac:dyDescent="0.25">
      <c r="A200" t="s">
        <v>540</v>
      </c>
      <c r="F200">
        <v>7</v>
      </c>
      <c r="G200">
        <f t="shared" si="10"/>
        <v>0</v>
      </c>
      <c r="H200" s="150">
        <f t="shared" si="9"/>
        <v>7</v>
      </c>
    </row>
    <row r="201" spans="1:8" x14ac:dyDescent="0.25">
      <c r="A201" t="s">
        <v>542</v>
      </c>
      <c r="F201">
        <v>8</v>
      </c>
      <c r="G201">
        <f t="shared" si="10"/>
        <v>0</v>
      </c>
      <c r="H201" s="150">
        <f t="shared" si="9"/>
        <v>7</v>
      </c>
    </row>
    <row r="202" spans="1:8" x14ac:dyDescent="0.25">
      <c r="A202" t="s">
        <v>543</v>
      </c>
      <c r="F202">
        <v>2</v>
      </c>
      <c r="G202">
        <f t="shared" si="10"/>
        <v>0</v>
      </c>
      <c r="H202" s="150">
        <f t="shared" si="9"/>
        <v>7</v>
      </c>
    </row>
    <row r="203" spans="1:8" x14ac:dyDescent="0.25">
      <c r="A203" t="s">
        <v>544</v>
      </c>
      <c r="F203">
        <v>3</v>
      </c>
      <c r="G203">
        <f t="shared" si="10"/>
        <v>0</v>
      </c>
      <c r="H203" s="150">
        <f t="shared" si="9"/>
        <v>7</v>
      </c>
    </row>
    <row r="204" spans="1:8" x14ac:dyDescent="0.25">
      <c r="A204" t="s">
        <v>1055</v>
      </c>
      <c r="F204">
        <v>4</v>
      </c>
      <c r="G204">
        <f t="shared" si="10"/>
        <v>0</v>
      </c>
      <c r="H204" s="150">
        <f t="shared" si="9"/>
        <v>7</v>
      </c>
    </row>
    <row r="205" spans="1:8" x14ac:dyDescent="0.25">
      <c r="A205" t="s">
        <v>123</v>
      </c>
      <c r="F205">
        <v>1</v>
      </c>
      <c r="G205">
        <f t="shared" si="10"/>
        <v>0</v>
      </c>
      <c r="H205" s="150">
        <f t="shared" si="9"/>
        <v>7</v>
      </c>
    </row>
    <row r="206" spans="1:8" x14ac:dyDescent="0.25">
      <c r="A206" t="s">
        <v>125</v>
      </c>
      <c r="F206">
        <v>19</v>
      </c>
      <c r="G206">
        <f t="shared" si="10"/>
        <v>0</v>
      </c>
      <c r="H206" s="150">
        <f t="shared" si="9"/>
        <v>7</v>
      </c>
    </row>
    <row r="207" spans="1:8" x14ac:dyDescent="0.25">
      <c r="A207" t="s">
        <v>546</v>
      </c>
      <c r="F207">
        <v>125</v>
      </c>
      <c r="G207">
        <f t="shared" si="10"/>
        <v>0</v>
      </c>
      <c r="H207" s="150">
        <f t="shared" si="9"/>
        <v>7</v>
      </c>
    </row>
    <row r="208" spans="1:8" x14ac:dyDescent="0.25">
      <c r="A208" t="s">
        <v>129</v>
      </c>
      <c r="F208">
        <v>11</v>
      </c>
      <c r="G208">
        <f t="shared" si="10"/>
        <v>0</v>
      </c>
      <c r="H208" s="150">
        <f t="shared" si="9"/>
        <v>7</v>
      </c>
    </row>
    <row r="209" spans="1:8" x14ac:dyDescent="0.25">
      <c r="A209" t="s">
        <v>130</v>
      </c>
      <c r="F209">
        <v>8</v>
      </c>
      <c r="G209">
        <f t="shared" si="10"/>
        <v>0</v>
      </c>
      <c r="H209" s="150">
        <f t="shared" si="9"/>
        <v>7</v>
      </c>
    </row>
    <row r="210" spans="1:8" x14ac:dyDescent="0.25">
      <c r="A210" t="s">
        <v>131</v>
      </c>
      <c r="F210">
        <v>41</v>
      </c>
      <c r="G210">
        <f t="shared" si="10"/>
        <v>0</v>
      </c>
      <c r="H210" s="150">
        <f t="shared" si="9"/>
        <v>7</v>
      </c>
    </row>
    <row r="211" spans="1:8" x14ac:dyDescent="0.25">
      <c r="A211" t="s">
        <v>549</v>
      </c>
      <c r="F211">
        <v>11</v>
      </c>
      <c r="G211">
        <f t="shared" si="10"/>
        <v>0</v>
      </c>
      <c r="H211" s="150">
        <f t="shared" si="9"/>
        <v>7</v>
      </c>
    </row>
    <row r="212" spans="1:8" x14ac:dyDescent="0.25">
      <c r="A212" t="s">
        <v>134</v>
      </c>
      <c r="F212">
        <v>89</v>
      </c>
      <c r="G212">
        <f t="shared" si="10"/>
        <v>0</v>
      </c>
      <c r="H212" s="150">
        <f t="shared" si="9"/>
        <v>7</v>
      </c>
    </row>
    <row r="213" spans="1:8" x14ac:dyDescent="0.25">
      <c r="A213" t="s">
        <v>135</v>
      </c>
      <c r="F213">
        <v>9</v>
      </c>
      <c r="G213">
        <f t="shared" si="10"/>
        <v>0</v>
      </c>
      <c r="H213" s="150">
        <f t="shared" si="9"/>
        <v>7</v>
      </c>
    </row>
    <row r="214" spans="1:8" x14ac:dyDescent="0.25">
      <c r="A214" t="s">
        <v>136</v>
      </c>
      <c r="F214">
        <v>2</v>
      </c>
      <c r="G214">
        <f t="shared" si="10"/>
        <v>0</v>
      </c>
      <c r="H214" s="150">
        <f t="shared" si="9"/>
        <v>7</v>
      </c>
    </row>
    <row r="215" spans="1:8" x14ac:dyDescent="0.25">
      <c r="A215" t="s">
        <v>1056</v>
      </c>
      <c r="F215">
        <v>1</v>
      </c>
      <c r="G215">
        <f t="shared" si="10"/>
        <v>0</v>
      </c>
      <c r="H215" s="150">
        <f t="shared" si="9"/>
        <v>7</v>
      </c>
    </row>
    <row r="216" spans="1:8" x14ac:dyDescent="0.25">
      <c r="A216" t="s">
        <v>457</v>
      </c>
      <c r="F216">
        <v>1</v>
      </c>
      <c r="G216">
        <f t="shared" si="10"/>
        <v>0</v>
      </c>
      <c r="H216" s="150">
        <f t="shared" si="9"/>
        <v>7</v>
      </c>
    </row>
    <row r="217" spans="1:8" x14ac:dyDescent="0.25">
      <c r="A217" t="s">
        <v>552</v>
      </c>
      <c r="F217">
        <v>9</v>
      </c>
      <c r="G217">
        <f t="shared" si="10"/>
        <v>0</v>
      </c>
      <c r="H217" s="150">
        <f t="shared" si="9"/>
        <v>7</v>
      </c>
    </row>
    <row r="218" spans="1:8" x14ac:dyDescent="0.25">
      <c r="A218" t="s">
        <v>553</v>
      </c>
      <c r="F218">
        <v>11</v>
      </c>
      <c r="G218">
        <f t="shared" si="10"/>
        <v>0</v>
      </c>
      <c r="H218" s="150">
        <f t="shared" si="9"/>
        <v>7</v>
      </c>
    </row>
    <row r="219" spans="1:8" x14ac:dyDescent="0.25">
      <c r="A219" t="s">
        <v>554</v>
      </c>
      <c r="F219">
        <v>10</v>
      </c>
      <c r="G219">
        <f t="shared" si="10"/>
        <v>0</v>
      </c>
      <c r="H219" s="150">
        <f t="shared" si="9"/>
        <v>7</v>
      </c>
    </row>
    <row r="220" spans="1:8" x14ac:dyDescent="0.25">
      <c r="A220" t="s">
        <v>524</v>
      </c>
      <c r="F220">
        <v>10</v>
      </c>
      <c r="G220">
        <f t="shared" si="10"/>
        <v>0</v>
      </c>
      <c r="H220" s="150">
        <f t="shared" si="9"/>
        <v>7</v>
      </c>
    </row>
    <row r="221" spans="1:8" x14ac:dyDescent="0.25">
      <c r="A221" t="s">
        <v>556</v>
      </c>
      <c r="F221">
        <v>49</v>
      </c>
      <c r="G221">
        <f t="shared" si="10"/>
        <v>0</v>
      </c>
      <c r="H221" s="150">
        <f t="shared" si="9"/>
        <v>7</v>
      </c>
    </row>
    <row r="222" spans="1:8" x14ac:dyDescent="0.25">
      <c r="A222" t="s">
        <v>893</v>
      </c>
      <c r="F222">
        <v>5</v>
      </c>
      <c r="G222">
        <f t="shared" si="10"/>
        <v>0</v>
      </c>
      <c r="H222" s="150">
        <f t="shared" si="9"/>
        <v>7</v>
      </c>
    </row>
    <row r="223" spans="1:8" x14ac:dyDescent="0.25">
      <c r="A223" t="s">
        <v>918</v>
      </c>
      <c r="F223">
        <v>4</v>
      </c>
      <c r="G223">
        <f t="shared" si="10"/>
        <v>0</v>
      </c>
      <c r="H223" s="150">
        <f t="shared" si="9"/>
        <v>7</v>
      </c>
    </row>
    <row r="224" spans="1:8" x14ac:dyDescent="0.25">
      <c r="A224" t="s">
        <v>138</v>
      </c>
      <c r="F224">
        <v>30</v>
      </c>
      <c r="G224">
        <f t="shared" si="10"/>
        <v>0</v>
      </c>
      <c r="H224" s="150">
        <f t="shared" si="9"/>
        <v>7</v>
      </c>
    </row>
    <row r="225" spans="1:8" x14ac:dyDescent="0.25">
      <c r="A225" t="s">
        <v>139</v>
      </c>
      <c r="F225">
        <v>161</v>
      </c>
      <c r="G225">
        <f t="shared" si="10"/>
        <v>0</v>
      </c>
      <c r="H225" s="150">
        <f t="shared" si="9"/>
        <v>7</v>
      </c>
    </row>
    <row r="226" spans="1:8" x14ac:dyDescent="0.25">
      <c r="A226" t="s">
        <v>1058</v>
      </c>
      <c r="F226">
        <v>2</v>
      </c>
      <c r="G226">
        <f t="shared" si="10"/>
        <v>0</v>
      </c>
      <c r="H226" s="150">
        <f t="shared" si="9"/>
        <v>7</v>
      </c>
    </row>
    <row r="227" spans="1:8" x14ac:dyDescent="0.25">
      <c r="A227" t="s">
        <v>561</v>
      </c>
      <c r="F227">
        <v>1</v>
      </c>
      <c r="G227">
        <f t="shared" si="10"/>
        <v>0</v>
      </c>
      <c r="H227" s="150">
        <f t="shared" si="9"/>
        <v>7</v>
      </c>
    </row>
    <row r="228" spans="1:8" x14ac:dyDescent="0.25">
      <c r="A228" t="s">
        <v>562</v>
      </c>
      <c r="F228">
        <v>30</v>
      </c>
      <c r="G228">
        <f t="shared" si="10"/>
        <v>0</v>
      </c>
      <c r="H228" s="150">
        <f t="shared" si="9"/>
        <v>7</v>
      </c>
    </row>
    <row r="229" spans="1:8" x14ac:dyDescent="0.25">
      <c r="A229" t="s">
        <v>1059</v>
      </c>
      <c r="F229">
        <v>1</v>
      </c>
      <c r="G229">
        <f t="shared" si="10"/>
        <v>0</v>
      </c>
      <c r="H229" s="150">
        <f t="shared" si="9"/>
        <v>7</v>
      </c>
    </row>
    <row r="230" spans="1:8" x14ac:dyDescent="0.25">
      <c r="A230" t="s">
        <v>564</v>
      </c>
      <c r="F230">
        <v>2</v>
      </c>
      <c r="G230">
        <f t="shared" si="10"/>
        <v>0</v>
      </c>
      <c r="H230" s="150">
        <f t="shared" si="9"/>
        <v>7</v>
      </c>
    </row>
    <row r="231" spans="1:8" x14ac:dyDescent="0.25">
      <c r="A231" t="s">
        <v>1060</v>
      </c>
      <c r="F231">
        <v>6</v>
      </c>
      <c r="G231">
        <f t="shared" si="10"/>
        <v>0</v>
      </c>
      <c r="H231" s="150">
        <f t="shared" si="9"/>
        <v>7</v>
      </c>
    </row>
    <row r="232" spans="1:8" x14ac:dyDescent="0.25">
      <c r="A232" t="s">
        <v>566</v>
      </c>
      <c r="F232">
        <v>17</v>
      </c>
      <c r="G232">
        <f t="shared" si="10"/>
        <v>0</v>
      </c>
      <c r="H232" s="150">
        <f t="shared" si="9"/>
        <v>7</v>
      </c>
    </row>
    <row r="233" spans="1:8" x14ac:dyDescent="0.25">
      <c r="A233" t="s">
        <v>1061</v>
      </c>
      <c r="F233">
        <v>3</v>
      </c>
      <c r="G233">
        <f t="shared" si="10"/>
        <v>0</v>
      </c>
      <c r="H233" s="150">
        <f t="shared" si="9"/>
        <v>7</v>
      </c>
    </row>
    <row r="234" spans="1:8" x14ac:dyDescent="0.25">
      <c r="A234" t="s">
        <v>144</v>
      </c>
      <c r="F234">
        <v>47</v>
      </c>
      <c r="G234">
        <f t="shared" si="10"/>
        <v>0</v>
      </c>
      <c r="H234" s="150">
        <f t="shared" si="9"/>
        <v>7</v>
      </c>
    </row>
    <row r="235" spans="1:8" x14ac:dyDescent="0.25">
      <c r="A235" t="s">
        <v>567</v>
      </c>
      <c r="F235">
        <v>18</v>
      </c>
      <c r="G235">
        <f t="shared" si="10"/>
        <v>0</v>
      </c>
      <c r="H235" s="150">
        <f t="shared" si="9"/>
        <v>7</v>
      </c>
    </row>
    <row r="236" spans="1:8" x14ac:dyDescent="0.25">
      <c r="A236" t="s">
        <v>146</v>
      </c>
      <c r="F236">
        <v>4</v>
      </c>
      <c r="G236">
        <f t="shared" si="10"/>
        <v>0</v>
      </c>
      <c r="H236" s="150">
        <f t="shared" si="9"/>
        <v>7</v>
      </c>
    </row>
    <row r="237" spans="1:8" x14ac:dyDescent="0.25">
      <c r="A237" t="s">
        <v>568</v>
      </c>
      <c r="F237">
        <v>6</v>
      </c>
      <c r="G237">
        <f t="shared" si="10"/>
        <v>0</v>
      </c>
      <c r="H237" s="150">
        <f t="shared" si="9"/>
        <v>7</v>
      </c>
    </row>
    <row r="238" spans="1:8" x14ac:dyDescent="0.25">
      <c r="A238" t="s">
        <v>569</v>
      </c>
      <c r="F238">
        <v>2</v>
      </c>
      <c r="G238">
        <f t="shared" si="10"/>
        <v>0</v>
      </c>
      <c r="H238" s="150">
        <f t="shared" si="9"/>
        <v>7</v>
      </c>
    </row>
    <row r="239" spans="1:8" x14ac:dyDescent="0.25">
      <c r="A239" t="s">
        <v>152</v>
      </c>
      <c r="F239">
        <v>5</v>
      </c>
      <c r="G239">
        <f t="shared" si="10"/>
        <v>0</v>
      </c>
      <c r="H239" s="150">
        <f t="shared" si="9"/>
        <v>7</v>
      </c>
    </row>
    <row r="240" spans="1:8" x14ac:dyDescent="0.25">
      <c r="A240" t="s">
        <v>570</v>
      </c>
      <c r="F240">
        <v>8</v>
      </c>
      <c r="G240">
        <f t="shared" si="10"/>
        <v>0</v>
      </c>
      <c r="H240" s="150">
        <f t="shared" si="9"/>
        <v>7</v>
      </c>
    </row>
    <row r="241" spans="1:8" x14ac:dyDescent="0.25">
      <c r="A241" t="s">
        <v>571</v>
      </c>
      <c r="F241">
        <v>6</v>
      </c>
      <c r="G241">
        <f t="shared" si="10"/>
        <v>0</v>
      </c>
      <c r="H241" s="150">
        <f t="shared" si="9"/>
        <v>7</v>
      </c>
    </row>
    <row r="242" spans="1:8" x14ac:dyDescent="0.25">
      <c r="A242" t="s">
        <v>1062</v>
      </c>
      <c r="F242">
        <v>5</v>
      </c>
      <c r="G242">
        <f t="shared" si="10"/>
        <v>0</v>
      </c>
      <c r="H242" s="150">
        <f t="shared" si="9"/>
        <v>7</v>
      </c>
    </row>
    <row r="243" spans="1:8" x14ac:dyDescent="0.25">
      <c r="A243" t="s">
        <v>153</v>
      </c>
      <c r="F243">
        <v>18</v>
      </c>
      <c r="G243">
        <f t="shared" si="10"/>
        <v>0</v>
      </c>
      <c r="H243" s="150">
        <f t="shared" si="9"/>
        <v>7</v>
      </c>
    </row>
    <row r="244" spans="1:8" x14ac:dyDescent="0.25">
      <c r="A244" t="s">
        <v>1146</v>
      </c>
      <c r="F244">
        <v>1</v>
      </c>
      <c r="G244">
        <f t="shared" si="10"/>
        <v>0</v>
      </c>
      <c r="H244" s="150">
        <f t="shared" si="9"/>
        <v>7</v>
      </c>
    </row>
    <row r="245" spans="1:8" x14ac:dyDescent="0.25">
      <c r="A245" t="s">
        <v>154</v>
      </c>
      <c r="F245">
        <v>56</v>
      </c>
      <c r="G245">
        <f t="shared" si="10"/>
        <v>0</v>
      </c>
      <c r="H245" s="150">
        <f t="shared" si="9"/>
        <v>7</v>
      </c>
    </row>
    <row r="246" spans="1:8" x14ac:dyDescent="0.25">
      <c r="A246" t="s">
        <v>155</v>
      </c>
      <c r="F246">
        <v>2</v>
      </c>
      <c r="G246">
        <f t="shared" si="10"/>
        <v>0</v>
      </c>
      <c r="H246" s="150">
        <f t="shared" si="9"/>
        <v>7</v>
      </c>
    </row>
    <row r="247" spans="1:8" x14ac:dyDescent="0.25">
      <c r="A247" t="s">
        <v>572</v>
      </c>
      <c r="F247">
        <v>8</v>
      </c>
      <c r="G247">
        <f t="shared" si="10"/>
        <v>0</v>
      </c>
      <c r="H247" s="150">
        <f t="shared" si="9"/>
        <v>7</v>
      </c>
    </row>
    <row r="248" spans="1:8" x14ac:dyDescent="0.25">
      <c r="A248" t="s">
        <v>573</v>
      </c>
      <c r="F248">
        <v>6</v>
      </c>
      <c r="G248">
        <f t="shared" si="10"/>
        <v>0</v>
      </c>
      <c r="H248" s="150">
        <f t="shared" si="9"/>
        <v>7</v>
      </c>
    </row>
    <row r="249" spans="1:8" x14ac:dyDescent="0.25">
      <c r="A249" t="s">
        <v>574</v>
      </c>
      <c r="F249">
        <v>3</v>
      </c>
      <c r="G249">
        <f t="shared" si="10"/>
        <v>0</v>
      </c>
      <c r="H249" s="150">
        <f t="shared" si="9"/>
        <v>7</v>
      </c>
    </row>
    <row r="250" spans="1:8" x14ac:dyDescent="0.25">
      <c r="A250" t="s">
        <v>1064</v>
      </c>
      <c r="F250">
        <v>2</v>
      </c>
      <c r="G250">
        <f t="shared" si="10"/>
        <v>0</v>
      </c>
      <c r="H250" s="150">
        <f t="shared" si="9"/>
        <v>7</v>
      </c>
    </row>
    <row r="251" spans="1:8" x14ac:dyDescent="0.25">
      <c r="A251" t="s">
        <v>1065</v>
      </c>
      <c r="F251">
        <v>3</v>
      </c>
      <c r="G251">
        <f t="shared" si="10"/>
        <v>0</v>
      </c>
      <c r="H251" s="150">
        <f t="shared" si="9"/>
        <v>7</v>
      </c>
    </row>
    <row r="252" spans="1:8" x14ac:dyDescent="0.25">
      <c r="A252" t="s">
        <v>159</v>
      </c>
      <c r="F252">
        <v>11</v>
      </c>
      <c r="G252">
        <f t="shared" si="10"/>
        <v>0</v>
      </c>
      <c r="H252" s="150">
        <f t="shared" si="9"/>
        <v>7</v>
      </c>
    </row>
    <row r="253" spans="1:8" x14ac:dyDescent="0.25">
      <c r="A253" t="s">
        <v>575</v>
      </c>
      <c r="F253">
        <v>4</v>
      </c>
      <c r="G253">
        <f t="shared" si="10"/>
        <v>0</v>
      </c>
      <c r="H253" s="150">
        <f t="shared" si="9"/>
        <v>7</v>
      </c>
    </row>
    <row r="254" spans="1:8" x14ac:dyDescent="0.25">
      <c r="A254" t="s">
        <v>576</v>
      </c>
      <c r="F254">
        <v>39</v>
      </c>
      <c r="G254">
        <f t="shared" si="10"/>
        <v>0</v>
      </c>
      <c r="H254" s="150">
        <f t="shared" si="9"/>
        <v>7</v>
      </c>
    </row>
    <row r="255" spans="1:8" x14ac:dyDescent="0.25">
      <c r="A255" t="s">
        <v>577</v>
      </c>
      <c r="F255">
        <v>2</v>
      </c>
      <c r="G255">
        <f t="shared" si="10"/>
        <v>0</v>
      </c>
      <c r="H255" s="150">
        <f t="shared" si="9"/>
        <v>7</v>
      </c>
    </row>
    <row r="256" spans="1:8" x14ac:dyDescent="0.25">
      <c r="A256" t="s">
        <v>162</v>
      </c>
      <c r="F256">
        <v>17</v>
      </c>
      <c r="G256">
        <f t="shared" si="10"/>
        <v>0</v>
      </c>
      <c r="H256" s="150">
        <f t="shared" si="9"/>
        <v>7</v>
      </c>
    </row>
    <row r="257" spans="1:8" x14ac:dyDescent="0.25">
      <c r="A257" t="s">
        <v>578</v>
      </c>
      <c r="F257">
        <v>1</v>
      </c>
      <c r="G257">
        <f t="shared" si="10"/>
        <v>0</v>
      </c>
      <c r="H257" s="150">
        <f t="shared" si="9"/>
        <v>7</v>
      </c>
    </row>
    <row r="258" spans="1:8" x14ac:dyDescent="0.25">
      <c r="A258" t="s">
        <v>360</v>
      </c>
      <c r="F258">
        <v>48</v>
      </c>
      <c r="G258">
        <f t="shared" si="10"/>
        <v>0</v>
      </c>
      <c r="H258" s="150">
        <f t="shared" ref="H258:H321" si="11">IF(G258&lt;=1,7,IF(AND(G258&gt;1,G258&lt;=3),5,IF(AND(G258&gt;3,G258&lt;=10),3,IF(G258&gt;10,1))))</f>
        <v>7</v>
      </c>
    </row>
    <row r="259" spans="1:8" x14ac:dyDescent="0.25">
      <c r="A259" t="s">
        <v>166</v>
      </c>
      <c r="F259">
        <v>4</v>
      </c>
      <c r="G259">
        <f t="shared" ref="G259:G322" si="12">+(E259/F259)*100</f>
        <v>0</v>
      </c>
      <c r="H259" s="150">
        <f t="shared" si="11"/>
        <v>7</v>
      </c>
    </row>
    <row r="260" spans="1:8" x14ac:dyDescent="0.25">
      <c r="A260" t="s">
        <v>580</v>
      </c>
      <c r="F260">
        <v>1</v>
      </c>
      <c r="G260">
        <f t="shared" si="12"/>
        <v>0</v>
      </c>
      <c r="H260" s="150">
        <f t="shared" si="11"/>
        <v>7</v>
      </c>
    </row>
    <row r="261" spans="1:8" x14ac:dyDescent="0.25">
      <c r="A261" t="s">
        <v>581</v>
      </c>
      <c r="F261">
        <v>9</v>
      </c>
      <c r="G261">
        <f t="shared" si="12"/>
        <v>0</v>
      </c>
      <c r="H261" s="150">
        <f t="shared" si="11"/>
        <v>7</v>
      </c>
    </row>
    <row r="262" spans="1:8" x14ac:dyDescent="0.25">
      <c r="A262" t="s">
        <v>167</v>
      </c>
      <c r="F262">
        <v>17</v>
      </c>
      <c r="G262">
        <f t="shared" si="12"/>
        <v>0</v>
      </c>
      <c r="H262" s="150">
        <f t="shared" si="11"/>
        <v>7</v>
      </c>
    </row>
    <row r="263" spans="1:8" x14ac:dyDescent="0.25">
      <c r="A263" t="s">
        <v>168</v>
      </c>
      <c r="F263">
        <v>6</v>
      </c>
      <c r="G263">
        <f t="shared" si="12"/>
        <v>0</v>
      </c>
      <c r="H263" s="150">
        <f t="shared" si="11"/>
        <v>7</v>
      </c>
    </row>
    <row r="264" spans="1:8" x14ac:dyDescent="0.25">
      <c r="A264" t="s">
        <v>1147</v>
      </c>
      <c r="F264">
        <v>1</v>
      </c>
      <c r="G264">
        <f t="shared" si="12"/>
        <v>0</v>
      </c>
      <c r="H264" s="150">
        <f t="shared" si="11"/>
        <v>7</v>
      </c>
    </row>
    <row r="265" spans="1:8" x14ac:dyDescent="0.25">
      <c r="A265" t="s">
        <v>170</v>
      </c>
      <c r="F265">
        <v>4</v>
      </c>
      <c r="G265">
        <f t="shared" si="12"/>
        <v>0</v>
      </c>
      <c r="H265" s="150">
        <f t="shared" si="11"/>
        <v>7</v>
      </c>
    </row>
    <row r="266" spans="1:8" x14ac:dyDescent="0.25">
      <c r="A266" t="s">
        <v>171</v>
      </c>
      <c r="F266">
        <v>11</v>
      </c>
      <c r="G266">
        <f t="shared" si="12"/>
        <v>0</v>
      </c>
      <c r="H266" s="150">
        <f t="shared" si="11"/>
        <v>7</v>
      </c>
    </row>
    <row r="267" spans="1:8" x14ac:dyDescent="0.25">
      <c r="A267" t="s">
        <v>172</v>
      </c>
      <c r="F267">
        <v>5</v>
      </c>
      <c r="G267">
        <f t="shared" si="12"/>
        <v>0</v>
      </c>
      <c r="H267" s="150">
        <f t="shared" si="11"/>
        <v>7</v>
      </c>
    </row>
    <row r="268" spans="1:8" x14ac:dyDescent="0.25">
      <c r="A268" t="s">
        <v>583</v>
      </c>
      <c r="F268">
        <v>11</v>
      </c>
      <c r="G268">
        <f t="shared" si="12"/>
        <v>0</v>
      </c>
      <c r="H268" s="150">
        <f t="shared" si="11"/>
        <v>7</v>
      </c>
    </row>
    <row r="269" spans="1:8" x14ac:dyDescent="0.25">
      <c r="A269" t="s">
        <v>584</v>
      </c>
      <c r="F269">
        <v>1</v>
      </c>
      <c r="G269">
        <f t="shared" si="12"/>
        <v>0</v>
      </c>
      <c r="H269" s="150">
        <f t="shared" si="11"/>
        <v>7</v>
      </c>
    </row>
    <row r="270" spans="1:8" x14ac:dyDescent="0.25">
      <c r="A270" t="s">
        <v>585</v>
      </c>
      <c r="F270">
        <v>22</v>
      </c>
      <c r="G270">
        <f t="shared" si="12"/>
        <v>0</v>
      </c>
      <c r="H270" s="150">
        <f t="shared" si="11"/>
        <v>7</v>
      </c>
    </row>
    <row r="271" spans="1:8" x14ac:dyDescent="0.25">
      <c r="A271" t="s">
        <v>586</v>
      </c>
      <c r="F271">
        <v>5</v>
      </c>
      <c r="G271">
        <f t="shared" si="12"/>
        <v>0</v>
      </c>
      <c r="H271" s="150">
        <f t="shared" si="11"/>
        <v>7</v>
      </c>
    </row>
    <row r="272" spans="1:8" x14ac:dyDescent="0.25">
      <c r="A272" t="s">
        <v>353</v>
      </c>
      <c r="F272">
        <v>23</v>
      </c>
      <c r="G272">
        <f t="shared" si="12"/>
        <v>0</v>
      </c>
      <c r="H272" s="150">
        <f t="shared" si="11"/>
        <v>7</v>
      </c>
    </row>
    <row r="273" spans="1:8" x14ac:dyDescent="0.25">
      <c r="A273" t="s">
        <v>587</v>
      </c>
      <c r="F273">
        <v>4</v>
      </c>
      <c r="G273">
        <f t="shared" si="12"/>
        <v>0</v>
      </c>
      <c r="H273" s="150">
        <f t="shared" si="11"/>
        <v>7</v>
      </c>
    </row>
    <row r="274" spans="1:8" x14ac:dyDescent="0.25">
      <c r="A274" t="s">
        <v>588</v>
      </c>
      <c r="F274">
        <v>14</v>
      </c>
      <c r="G274">
        <f t="shared" si="12"/>
        <v>0</v>
      </c>
      <c r="H274" s="150">
        <f t="shared" si="11"/>
        <v>7</v>
      </c>
    </row>
    <row r="275" spans="1:8" x14ac:dyDescent="0.25">
      <c r="A275" t="s">
        <v>174</v>
      </c>
      <c r="F275">
        <v>2</v>
      </c>
      <c r="G275">
        <f t="shared" si="12"/>
        <v>0</v>
      </c>
      <c r="H275" s="150">
        <f t="shared" si="11"/>
        <v>7</v>
      </c>
    </row>
    <row r="276" spans="1:8" x14ac:dyDescent="0.25">
      <c r="A276" t="s">
        <v>591</v>
      </c>
      <c r="F276">
        <v>1</v>
      </c>
      <c r="G276">
        <f t="shared" si="12"/>
        <v>0</v>
      </c>
      <c r="H276" s="150">
        <f t="shared" si="11"/>
        <v>7</v>
      </c>
    </row>
    <row r="277" spans="1:8" x14ac:dyDescent="0.25">
      <c r="A277" t="s">
        <v>518</v>
      </c>
      <c r="F277">
        <v>1</v>
      </c>
      <c r="G277">
        <f t="shared" si="12"/>
        <v>0</v>
      </c>
      <c r="H277" s="150">
        <f t="shared" si="11"/>
        <v>7</v>
      </c>
    </row>
    <row r="278" spans="1:8" x14ac:dyDescent="0.25">
      <c r="A278" t="s">
        <v>363</v>
      </c>
      <c r="F278">
        <v>1</v>
      </c>
      <c r="G278">
        <f t="shared" si="12"/>
        <v>0</v>
      </c>
      <c r="H278" s="150">
        <f t="shared" si="11"/>
        <v>7</v>
      </c>
    </row>
    <row r="279" spans="1:8" x14ac:dyDescent="0.25">
      <c r="A279" t="s">
        <v>50</v>
      </c>
      <c r="F279">
        <v>1</v>
      </c>
      <c r="G279">
        <f t="shared" si="12"/>
        <v>0</v>
      </c>
      <c r="H279" s="150">
        <f t="shared" si="11"/>
        <v>7</v>
      </c>
    </row>
    <row r="280" spans="1:8" x14ac:dyDescent="0.25">
      <c r="A280" t="s">
        <v>175</v>
      </c>
      <c r="F280">
        <v>2</v>
      </c>
      <c r="G280">
        <f t="shared" si="12"/>
        <v>0</v>
      </c>
      <c r="H280" s="150">
        <f t="shared" si="11"/>
        <v>7</v>
      </c>
    </row>
    <row r="281" spans="1:8" x14ac:dyDescent="0.25">
      <c r="A281" t="s">
        <v>46</v>
      </c>
      <c r="F281">
        <v>1</v>
      </c>
      <c r="G281">
        <f t="shared" si="12"/>
        <v>0</v>
      </c>
      <c r="H281" s="150">
        <f t="shared" si="11"/>
        <v>7</v>
      </c>
    </row>
    <row r="282" spans="1:8" x14ac:dyDescent="0.25">
      <c r="A282" t="s">
        <v>592</v>
      </c>
      <c r="F282">
        <v>10</v>
      </c>
      <c r="G282">
        <f t="shared" si="12"/>
        <v>0</v>
      </c>
      <c r="H282" s="150">
        <f t="shared" si="11"/>
        <v>7</v>
      </c>
    </row>
    <row r="283" spans="1:8" x14ac:dyDescent="0.25">
      <c r="A283" t="s">
        <v>176</v>
      </c>
      <c r="F283">
        <v>18</v>
      </c>
      <c r="G283">
        <f t="shared" si="12"/>
        <v>0</v>
      </c>
      <c r="H283" s="150">
        <f t="shared" si="11"/>
        <v>7</v>
      </c>
    </row>
    <row r="284" spans="1:8" x14ac:dyDescent="0.25">
      <c r="A284" t="s">
        <v>178</v>
      </c>
      <c r="F284">
        <v>6</v>
      </c>
      <c r="G284">
        <f t="shared" si="12"/>
        <v>0</v>
      </c>
      <c r="H284" s="150">
        <f t="shared" si="11"/>
        <v>7</v>
      </c>
    </row>
    <row r="285" spans="1:8" x14ac:dyDescent="0.25">
      <c r="A285" t="s">
        <v>179</v>
      </c>
      <c r="F285">
        <v>14</v>
      </c>
      <c r="G285">
        <f t="shared" si="12"/>
        <v>0</v>
      </c>
      <c r="H285" s="150">
        <f t="shared" si="11"/>
        <v>7</v>
      </c>
    </row>
    <row r="286" spans="1:8" x14ac:dyDescent="0.25">
      <c r="A286" t="s">
        <v>181</v>
      </c>
      <c r="F286">
        <v>5</v>
      </c>
      <c r="G286">
        <f t="shared" si="12"/>
        <v>0</v>
      </c>
      <c r="H286" s="150">
        <f t="shared" si="11"/>
        <v>7</v>
      </c>
    </row>
    <row r="287" spans="1:8" x14ac:dyDescent="0.25">
      <c r="A287" t="s">
        <v>593</v>
      </c>
      <c r="F287">
        <v>2</v>
      </c>
      <c r="G287">
        <f t="shared" si="12"/>
        <v>0</v>
      </c>
      <c r="H287" s="150">
        <f t="shared" si="11"/>
        <v>7</v>
      </c>
    </row>
    <row r="288" spans="1:8" x14ac:dyDescent="0.25">
      <c r="A288" t="s">
        <v>594</v>
      </c>
      <c r="F288">
        <v>2</v>
      </c>
      <c r="G288">
        <f t="shared" si="12"/>
        <v>0</v>
      </c>
      <c r="H288" s="150">
        <f t="shared" si="11"/>
        <v>7</v>
      </c>
    </row>
    <row r="289" spans="1:8" x14ac:dyDescent="0.25">
      <c r="A289" t="s">
        <v>183</v>
      </c>
      <c r="F289">
        <v>1</v>
      </c>
      <c r="G289">
        <f t="shared" si="12"/>
        <v>0</v>
      </c>
      <c r="H289" s="150">
        <f t="shared" si="11"/>
        <v>7</v>
      </c>
    </row>
    <row r="290" spans="1:8" x14ac:dyDescent="0.25">
      <c r="A290" t="s">
        <v>595</v>
      </c>
      <c r="F290">
        <v>4</v>
      </c>
      <c r="G290">
        <f t="shared" si="12"/>
        <v>0</v>
      </c>
      <c r="H290" s="150">
        <f t="shared" si="11"/>
        <v>7</v>
      </c>
    </row>
    <row r="291" spans="1:8" x14ac:dyDescent="0.25">
      <c r="A291" t="s">
        <v>596</v>
      </c>
      <c r="F291">
        <v>1</v>
      </c>
      <c r="G291">
        <f t="shared" si="12"/>
        <v>0</v>
      </c>
      <c r="H291" s="150">
        <f t="shared" si="11"/>
        <v>7</v>
      </c>
    </row>
    <row r="292" spans="1:8" x14ac:dyDescent="0.25">
      <c r="A292" t="s">
        <v>597</v>
      </c>
      <c r="F292">
        <v>1</v>
      </c>
      <c r="G292">
        <f t="shared" si="12"/>
        <v>0</v>
      </c>
      <c r="H292" s="150">
        <f t="shared" si="11"/>
        <v>7</v>
      </c>
    </row>
    <row r="293" spans="1:8" x14ac:dyDescent="0.25">
      <c r="A293" t="s">
        <v>186</v>
      </c>
      <c r="F293">
        <v>1</v>
      </c>
      <c r="G293">
        <f t="shared" si="12"/>
        <v>0</v>
      </c>
      <c r="H293" s="150">
        <f t="shared" si="11"/>
        <v>7</v>
      </c>
    </row>
    <row r="294" spans="1:8" x14ac:dyDescent="0.25">
      <c r="A294" t="s">
        <v>187</v>
      </c>
      <c r="F294">
        <v>33</v>
      </c>
      <c r="G294">
        <f t="shared" si="12"/>
        <v>0</v>
      </c>
      <c r="H294" s="150">
        <f t="shared" si="11"/>
        <v>7</v>
      </c>
    </row>
    <row r="295" spans="1:8" x14ac:dyDescent="0.25">
      <c r="A295" t="s">
        <v>598</v>
      </c>
      <c r="F295">
        <v>34</v>
      </c>
      <c r="G295">
        <f t="shared" si="12"/>
        <v>0</v>
      </c>
      <c r="H295" s="150">
        <f t="shared" si="11"/>
        <v>7</v>
      </c>
    </row>
    <row r="296" spans="1:8" x14ac:dyDescent="0.25">
      <c r="A296" t="s">
        <v>189</v>
      </c>
      <c r="F296">
        <v>33</v>
      </c>
      <c r="G296">
        <f t="shared" si="12"/>
        <v>0</v>
      </c>
      <c r="H296" s="150">
        <f t="shared" si="11"/>
        <v>7</v>
      </c>
    </row>
    <row r="297" spans="1:8" x14ac:dyDescent="0.25">
      <c r="A297" t="s">
        <v>191</v>
      </c>
      <c r="F297">
        <v>17</v>
      </c>
      <c r="G297">
        <f t="shared" si="12"/>
        <v>0</v>
      </c>
      <c r="H297" s="150">
        <f t="shared" si="11"/>
        <v>7</v>
      </c>
    </row>
    <row r="298" spans="1:8" x14ac:dyDescent="0.25">
      <c r="A298" t="s">
        <v>514</v>
      </c>
      <c r="F298">
        <v>5</v>
      </c>
      <c r="G298">
        <f t="shared" si="12"/>
        <v>0</v>
      </c>
      <c r="H298" s="150">
        <f t="shared" si="11"/>
        <v>7</v>
      </c>
    </row>
    <row r="299" spans="1:8" x14ac:dyDescent="0.25">
      <c r="A299" t="s">
        <v>192</v>
      </c>
      <c r="F299">
        <v>32</v>
      </c>
      <c r="G299">
        <f t="shared" si="12"/>
        <v>0</v>
      </c>
      <c r="H299" s="150">
        <f t="shared" si="11"/>
        <v>7</v>
      </c>
    </row>
    <row r="300" spans="1:8" x14ac:dyDescent="0.25">
      <c r="A300" t="s">
        <v>513</v>
      </c>
      <c r="F300">
        <v>5</v>
      </c>
      <c r="G300">
        <f t="shared" si="12"/>
        <v>0</v>
      </c>
      <c r="H300" s="150">
        <f t="shared" si="11"/>
        <v>7</v>
      </c>
    </row>
    <row r="301" spans="1:8" x14ac:dyDescent="0.25">
      <c r="A301" t="s">
        <v>600</v>
      </c>
      <c r="F301">
        <v>33</v>
      </c>
      <c r="G301">
        <f t="shared" si="12"/>
        <v>0</v>
      </c>
      <c r="H301" s="150">
        <f t="shared" si="11"/>
        <v>7</v>
      </c>
    </row>
    <row r="302" spans="1:8" x14ac:dyDescent="0.25">
      <c r="A302" t="s">
        <v>194</v>
      </c>
      <c r="F302">
        <v>13</v>
      </c>
      <c r="G302">
        <f t="shared" si="12"/>
        <v>0</v>
      </c>
      <c r="H302" s="150">
        <f t="shared" si="11"/>
        <v>7</v>
      </c>
    </row>
    <row r="303" spans="1:8" x14ac:dyDescent="0.25">
      <c r="A303" t="s">
        <v>602</v>
      </c>
      <c r="F303">
        <v>2</v>
      </c>
      <c r="G303">
        <f t="shared" si="12"/>
        <v>0</v>
      </c>
      <c r="H303" s="150">
        <f t="shared" si="11"/>
        <v>7</v>
      </c>
    </row>
    <row r="304" spans="1:8" x14ac:dyDescent="0.25">
      <c r="A304" t="s">
        <v>195</v>
      </c>
      <c r="F304">
        <v>20</v>
      </c>
      <c r="G304">
        <f t="shared" si="12"/>
        <v>0</v>
      </c>
      <c r="H304" s="150">
        <f t="shared" si="11"/>
        <v>7</v>
      </c>
    </row>
    <row r="305" spans="1:8" x14ac:dyDescent="0.25">
      <c r="A305" t="s">
        <v>198</v>
      </c>
      <c r="F305">
        <v>75</v>
      </c>
      <c r="G305">
        <f t="shared" si="12"/>
        <v>0</v>
      </c>
      <c r="H305" s="150">
        <f t="shared" si="11"/>
        <v>7</v>
      </c>
    </row>
    <row r="306" spans="1:8" x14ac:dyDescent="0.25">
      <c r="A306" t="s">
        <v>199</v>
      </c>
      <c r="F306">
        <v>8</v>
      </c>
      <c r="G306">
        <f t="shared" si="12"/>
        <v>0</v>
      </c>
      <c r="H306" s="150">
        <f t="shared" si="11"/>
        <v>7</v>
      </c>
    </row>
    <row r="307" spans="1:8" x14ac:dyDescent="0.25">
      <c r="A307" t="s">
        <v>200</v>
      </c>
      <c r="F307">
        <v>11</v>
      </c>
      <c r="G307">
        <f t="shared" si="12"/>
        <v>0</v>
      </c>
      <c r="H307" s="150">
        <f t="shared" si="11"/>
        <v>7</v>
      </c>
    </row>
    <row r="308" spans="1:8" x14ac:dyDescent="0.25">
      <c r="A308" t="s">
        <v>202</v>
      </c>
      <c r="F308">
        <v>91</v>
      </c>
      <c r="G308">
        <f t="shared" si="12"/>
        <v>0</v>
      </c>
      <c r="H308" s="150">
        <f t="shared" si="11"/>
        <v>7</v>
      </c>
    </row>
    <row r="309" spans="1:8" x14ac:dyDescent="0.25">
      <c r="A309" t="s">
        <v>603</v>
      </c>
      <c r="F309">
        <v>7</v>
      </c>
      <c r="G309">
        <f t="shared" si="12"/>
        <v>0</v>
      </c>
      <c r="H309" s="150">
        <f t="shared" si="11"/>
        <v>7</v>
      </c>
    </row>
    <row r="310" spans="1:8" x14ac:dyDescent="0.25">
      <c r="A310" t="s">
        <v>203</v>
      </c>
      <c r="F310">
        <v>4</v>
      </c>
      <c r="G310">
        <f t="shared" si="12"/>
        <v>0</v>
      </c>
      <c r="H310" s="150">
        <f t="shared" si="11"/>
        <v>7</v>
      </c>
    </row>
    <row r="311" spans="1:8" x14ac:dyDescent="0.25">
      <c r="A311" t="s">
        <v>204</v>
      </c>
      <c r="F311">
        <v>23</v>
      </c>
      <c r="G311">
        <f t="shared" si="12"/>
        <v>0</v>
      </c>
      <c r="H311" s="150">
        <f t="shared" si="11"/>
        <v>7</v>
      </c>
    </row>
    <row r="312" spans="1:8" x14ac:dyDescent="0.25">
      <c r="A312" t="s">
        <v>604</v>
      </c>
      <c r="F312">
        <v>9</v>
      </c>
      <c r="G312">
        <f t="shared" si="12"/>
        <v>0</v>
      </c>
      <c r="H312" s="150">
        <f t="shared" si="11"/>
        <v>7</v>
      </c>
    </row>
    <row r="313" spans="1:8" x14ac:dyDescent="0.25">
      <c r="A313" t="s">
        <v>605</v>
      </c>
      <c r="F313">
        <v>3</v>
      </c>
      <c r="G313">
        <f t="shared" si="12"/>
        <v>0</v>
      </c>
      <c r="H313" s="150">
        <f t="shared" si="11"/>
        <v>7</v>
      </c>
    </row>
    <row r="314" spans="1:8" x14ac:dyDescent="0.25">
      <c r="A314" t="s">
        <v>606</v>
      </c>
      <c r="F314">
        <v>5</v>
      </c>
      <c r="G314">
        <f t="shared" si="12"/>
        <v>0</v>
      </c>
      <c r="H314" s="150">
        <f t="shared" si="11"/>
        <v>7</v>
      </c>
    </row>
    <row r="315" spans="1:8" x14ac:dyDescent="0.25">
      <c r="A315" t="s">
        <v>608</v>
      </c>
      <c r="F315">
        <v>2</v>
      </c>
      <c r="G315">
        <f t="shared" si="12"/>
        <v>0</v>
      </c>
      <c r="H315" s="150">
        <f t="shared" si="11"/>
        <v>7</v>
      </c>
    </row>
    <row r="316" spans="1:8" x14ac:dyDescent="0.25">
      <c r="A316" t="s">
        <v>1066</v>
      </c>
      <c r="F316">
        <v>1</v>
      </c>
      <c r="G316">
        <f t="shared" si="12"/>
        <v>0</v>
      </c>
      <c r="H316" s="150">
        <f t="shared" si="11"/>
        <v>7</v>
      </c>
    </row>
    <row r="317" spans="1:8" x14ac:dyDescent="0.25">
      <c r="A317" t="s">
        <v>209</v>
      </c>
      <c r="F317">
        <v>18</v>
      </c>
      <c r="G317">
        <f t="shared" si="12"/>
        <v>0</v>
      </c>
      <c r="H317" s="150">
        <f t="shared" si="11"/>
        <v>7</v>
      </c>
    </row>
    <row r="318" spans="1:8" x14ac:dyDescent="0.25">
      <c r="A318" t="s">
        <v>210</v>
      </c>
      <c r="F318">
        <v>8</v>
      </c>
      <c r="G318">
        <f t="shared" si="12"/>
        <v>0</v>
      </c>
      <c r="H318" s="150">
        <f t="shared" si="11"/>
        <v>7</v>
      </c>
    </row>
    <row r="319" spans="1:8" x14ac:dyDescent="0.25">
      <c r="A319" t="s">
        <v>211</v>
      </c>
      <c r="F319">
        <v>1</v>
      </c>
      <c r="G319">
        <f t="shared" si="12"/>
        <v>0</v>
      </c>
      <c r="H319" s="150">
        <f t="shared" si="11"/>
        <v>7</v>
      </c>
    </row>
    <row r="320" spans="1:8" x14ac:dyDescent="0.25">
      <c r="A320" t="s">
        <v>609</v>
      </c>
      <c r="F320">
        <v>17</v>
      </c>
      <c r="G320">
        <f t="shared" si="12"/>
        <v>0</v>
      </c>
      <c r="H320" s="150">
        <f t="shared" si="11"/>
        <v>7</v>
      </c>
    </row>
    <row r="321" spans="1:8" x14ac:dyDescent="0.25">
      <c r="A321" t="s">
        <v>213</v>
      </c>
      <c r="F321">
        <v>2</v>
      </c>
      <c r="G321">
        <f t="shared" si="12"/>
        <v>0</v>
      </c>
      <c r="H321" s="150">
        <f t="shared" si="11"/>
        <v>7</v>
      </c>
    </row>
    <row r="322" spans="1:8" x14ac:dyDescent="0.25">
      <c r="A322" t="s">
        <v>214</v>
      </c>
      <c r="F322">
        <v>11</v>
      </c>
      <c r="G322">
        <f t="shared" si="12"/>
        <v>0</v>
      </c>
      <c r="H322" s="150">
        <f t="shared" ref="H322:H385" si="13">IF(G322&lt;=1,7,IF(AND(G322&gt;1,G322&lt;=3),5,IF(AND(G322&gt;3,G322&lt;=10),3,IF(G322&gt;10,1))))</f>
        <v>7</v>
      </c>
    </row>
    <row r="323" spans="1:8" x14ac:dyDescent="0.25">
      <c r="A323" t="s">
        <v>610</v>
      </c>
      <c r="F323">
        <v>8</v>
      </c>
      <c r="G323">
        <f t="shared" ref="G323:G386" si="14">+(E323/F323)*100</f>
        <v>0</v>
      </c>
      <c r="H323" s="150">
        <f t="shared" si="13"/>
        <v>7</v>
      </c>
    </row>
    <row r="324" spans="1:8" x14ac:dyDescent="0.25">
      <c r="A324" t="s">
        <v>611</v>
      </c>
      <c r="F324">
        <v>5</v>
      </c>
      <c r="G324">
        <f t="shared" si="14"/>
        <v>0</v>
      </c>
      <c r="H324" s="150">
        <f t="shared" si="13"/>
        <v>7</v>
      </c>
    </row>
    <row r="325" spans="1:8" x14ac:dyDescent="0.25">
      <c r="A325" t="s">
        <v>612</v>
      </c>
      <c r="F325">
        <v>16</v>
      </c>
      <c r="G325">
        <f t="shared" si="14"/>
        <v>0</v>
      </c>
      <c r="H325" s="150">
        <f t="shared" si="13"/>
        <v>7</v>
      </c>
    </row>
    <row r="326" spans="1:8" x14ac:dyDescent="0.25">
      <c r="A326" t="s">
        <v>1068</v>
      </c>
      <c r="F326">
        <v>4</v>
      </c>
      <c r="G326">
        <f t="shared" si="14"/>
        <v>0</v>
      </c>
      <c r="H326" s="150">
        <f t="shared" si="13"/>
        <v>7</v>
      </c>
    </row>
    <row r="327" spans="1:8" x14ac:dyDescent="0.25">
      <c r="A327" t="s">
        <v>217</v>
      </c>
      <c r="F327">
        <v>49</v>
      </c>
      <c r="G327">
        <f t="shared" si="14"/>
        <v>0</v>
      </c>
      <c r="H327" s="150">
        <f t="shared" si="13"/>
        <v>7</v>
      </c>
    </row>
    <row r="328" spans="1:8" x14ac:dyDescent="0.25">
      <c r="A328" t="s">
        <v>218</v>
      </c>
      <c r="F328">
        <v>31</v>
      </c>
      <c r="G328">
        <f t="shared" si="14"/>
        <v>0</v>
      </c>
      <c r="H328" s="150">
        <f t="shared" si="13"/>
        <v>7</v>
      </c>
    </row>
    <row r="329" spans="1:8" x14ac:dyDescent="0.25">
      <c r="A329" t="s">
        <v>613</v>
      </c>
      <c r="F329">
        <v>13</v>
      </c>
      <c r="G329">
        <f t="shared" si="14"/>
        <v>0</v>
      </c>
      <c r="H329" s="150">
        <f t="shared" si="13"/>
        <v>7</v>
      </c>
    </row>
    <row r="330" spans="1:8" x14ac:dyDescent="0.25">
      <c r="A330" t="s">
        <v>219</v>
      </c>
      <c r="F330">
        <v>181</v>
      </c>
      <c r="G330">
        <f t="shared" si="14"/>
        <v>0</v>
      </c>
      <c r="H330" s="150">
        <f t="shared" si="13"/>
        <v>7</v>
      </c>
    </row>
    <row r="331" spans="1:8" x14ac:dyDescent="0.25">
      <c r="A331" t="s">
        <v>614</v>
      </c>
      <c r="F331">
        <v>7</v>
      </c>
      <c r="G331">
        <f t="shared" si="14"/>
        <v>0</v>
      </c>
      <c r="H331" s="150">
        <f t="shared" si="13"/>
        <v>7</v>
      </c>
    </row>
    <row r="332" spans="1:8" x14ac:dyDescent="0.25">
      <c r="A332" t="s">
        <v>49</v>
      </c>
      <c r="F332">
        <v>34</v>
      </c>
      <c r="G332">
        <f t="shared" si="14"/>
        <v>0</v>
      </c>
      <c r="H332" s="150">
        <f t="shared" si="13"/>
        <v>7</v>
      </c>
    </row>
    <row r="333" spans="1:8" x14ac:dyDescent="0.25">
      <c r="A333" t="s">
        <v>220</v>
      </c>
      <c r="F333">
        <v>1</v>
      </c>
      <c r="G333">
        <f t="shared" si="14"/>
        <v>0</v>
      </c>
      <c r="H333" s="150">
        <f t="shared" si="13"/>
        <v>7</v>
      </c>
    </row>
    <row r="334" spans="1:8" x14ac:dyDescent="0.25">
      <c r="A334" t="s">
        <v>1069</v>
      </c>
      <c r="F334">
        <v>1</v>
      </c>
      <c r="G334">
        <f t="shared" si="14"/>
        <v>0</v>
      </c>
      <c r="H334" s="150">
        <f t="shared" si="13"/>
        <v>7</v>
      </c>
    </row>
    <row r="335" spans="1:8" x14ac:dyDescent="0.25">
      <c r="A335" t="s">
        <v>221</v>
      </c>
      <c r="F335">
        <v>12</v>
      </c>
      <c r="G335">
        <f t="shared" si="14"/>
        <v>0</v>
      </c>
      <c r="H335" s="150">
        <f t="shared" si="13"/>
        <v>7</v>
      </c>
    </row>
    <row r="336" spans="1:8" x14ac:dyDescent="0.25">
      <c r="A336" t="s">
        <v>223</v>
      </c>
      <c r="F336">
        <v>1</v>
      </c>
      <c r="G336">
        <f t="shared" si="14"/>
        <v>0</v>
      </c>
      <c r="H336" s="150">
        <f t="shared" si="13"/>
        <v>7</v>
      </c>
    </row>
    <row r="337" spans="1:8" x14ac:dyDescent="0.25">
      <c r="A337" t="s">
        <v>224</v>
      </c>
      <c r="F337">
        <v>3</v>
      </c>
      <c r="G337">
        <f t="shared" si="14"/>
        <v>0</v>
      </c>
      <c r="H337" s="150">
        <f t="shared" si="13"/>
        <v>7</v>
      </c>
    </row>
    <row r="338" spans="1:8" x14ac:dyDescent="0.25">
      <c r="A338" t="s">
        <v>227</v>
      </c>
      <c r="F338">
        <v>37</v>
      </c>
      <c r="G338">
        <f t="shared" si="14"/>
        <v>0</v>
      </c>
      <c r="H338" s="150">
        <f t="shared" si="13"/>
        <v>7</v>
      </c>
    </row>
    <row r="339" spans="1:8" x14ac:dyDescent="0.25">
      <c r="A339" t="s">
        <v>617</v>
      </c>
      <c r="F339">
        <v>23</v>
      </c>
      <c r="G339">
        <f t="shared" si="14"/>
        <v>0</v>
      </c>
      <c r="H339" s="150">
        <f t="shared" si="13"/>
        <v>7</v>
      </c>
    </row>
    <row r="340" spans="1:8" x14ac:dyDescent="0.25">
      <c r="A340" t="s">
        <v>618</v>
      </c>
      <c r="F340">
        <v>1</v>
      </c>
      <c r="G340">
        <f t="shared" si="14"/>
        <v>0</v>
      </c>
      <c r="H340" s="150">
        <f t="shared" si="13"/>
        <v>7</v>
      </c>
    </row>
    <row r="341" spans="1:8" x14ac:dyDescent="0.25">
      <c r="A341" t="s">
        <v>229</v>
      </c>
      <c r="F341">
        <v>1</v>
      </c>
      <c r="G341">
        <f t="shared" si="14"/>
        <v>0</v>
      </c>
      <c r="H341" s="150">
        <f t="shared" si="13"/>
        <v>7</v>
      </c>
    </row>
    <row r="342" spans="1:8" x14ac:dyDescent="0.25">
      <c r="A342" t="s">
        <v>1070</v>
      </c>
      <c r="F342">
        <v>11</v>
      </c>
      <c r="G342">
        <f t="shared" si="14"/>
        <v>0</v>
      </c>
      <c r="H342" s="150">
        <f t="shared" si="13"/>
        <v>7</v>
      </c>
    </row>
    <row r="343" spans="1:8" x14ac:dyDescent="0.25">
      <c r="A343" t="s">
        <v>231</v>
      </c>
      <c r="F343">
        <v>4</v>
      </c>
      <c r="G343">
        <f t="shared" si="14"/>
        <v>0</v>
      </c>
      <c r="H343" s="150">
        <f t="shared" si="13"/>
        <v>7</v>
      </c>
    </row>
    <row r="344" spans="1:8" x14ac:dyDescent="0.25">
      <c r="A344" t="s">
        <v>619</v>
      </c>
      <c r="F344">
        <v>1</v>
      </c>
      <c r="G344">
        <f t="shared" si="14"/>
        <v>0</v>
      </c>
      <c r="H344" s="150">
        <f t="shared" si="13"/>
        <v>7</v>
      </c>
    </row>
    <row r="345" spans="1:8" x14ac:dyDescent="0.25">
      <c r="A345" t="s">
        <v>621</v>
      </c>
      <c r="F345">
        <v>11</v>
      </c>
      <c r="G345">
        <f t="shared" si="14"/>
        <v>0</v>
      </c>
      <c r="H345" s="150">
        <f t="shared" si="13"/>
        <v>7</v>
      </c>
    </row>
    <row r="346" spans="1:8" x14ac:dyDescent="0.25">
      <c r="A346" t="s">
        <v>622</v>
      </c>
      <c r="F346">
        <v>17</v>
      </c>
      <c r="G346">
        <f t="shared" si="14"/>
        <v>0</v>
      </c>
      <c r="H346" s="150">
        <f t="shared" si="13"/>
        <v>7</v>
      </c>
    </row>
    <row r="347" spans="1:8" x14ac:dyDescent="0.25">
      <c r="A347" t="s">
        <v>512</v>
      </c>
      <c r="F347">
        <v>9</v>
      </c>
      <c r="G347">
        <f t="shared" si="14"/>
        <v>0</v>
      </c>
      <c r="H347" s="150">
        <f t="shared" si="13"/>
        <v>7</v>
      </c>
    </row>
    <row r="348" spans="1:8" x14ac:dyDescent="0.25">
      <c r="A348" t="s">
        <v>233</v>
      </c>
      <c r="F348">
        <v>9</v>
      </c>
      <c r="G348">
        <f t="shared" si="14"/>
        <v>0</v>
      </c>
      <c r="H348" s="150">
        <f t="shared" si="13"/>
        <v>7</v>
      </c>
    </row>
    <row r="349" spans="1:8" x14ac:dyDescent="0.25">
      <c r="A349" t="s">
        <v>624</v>
      </c>
      <c r="F349">
        <v>5</v>
      </c>
      <c r="G349">
        <f t="shared" si="14"/>
        <v>0</v>
      </c>
      <c r="H349" s="150">
        <f t="shared" si="13"/>
        <v>7</v>
      </c>
    </row>
    <row r="350" spans="1:8" x14ac:dyDescent="0.25">
      <c r="A350" t="s">
        <v>511</v>
      </c>
      <c r="F350">
        <v>15</v>
      </c>
      <c r="G350">
        <f t="shared" si="14"/>
        <v>0</v>
      </c>
      <c r="H350" s="150">
        <f t="shared" si="13"/>
        <v>7</v>
      </c>
    </row>
    <row r="351" spans="1:8" x14ac:dyDescent="0.25">
      <c r="A351" t="s">
        <v>235</v>
      </c>
      <c r="F351">
        <v>16</v>
      </c>
      <c r="G351">
        <f t="shared" si="14"/>
        <v>0</v>
      </c>
      <c r="H351" s="150">
        <f t="shared" si="13"/>
        <v>7</v>
      </c>
    </row>
    <row r="352" spans="1:8" x14ac:dyDescent="0.25">
      <c r="A352" t="s">
        <v>47</v>
      </c>
      <c r="F352">
        <v>1</v>
      </c>
      <c r="G352">
        <f t="shared" si="14"/>
        <v>0</v>
      </c>
      <c r="H352" s="150">
        <f t="shared" si="13"/>
        <v>7</v>
      </c>
    </row>
    <row r="353" spans="1:8" x14ac:dyDescent="0.25">
      <c r="A353" t="s">
        <v>626</v>
      </c>
      <c r="F353">
        <v>2</v>
      </c>
      <c r="G353">
        <f t="shared" si="14"/>
        <v>0</v>
      </c>
      <c r="H353" s="150">
        <f t="shared" si="13"/>
        <v>7</v>
      </c>
    </row>
    <row r="354" spans="1:8" x14ac:dyDescent="0.25">
      <c r="A354" t="s">
        <v>237</v>
      </c>
      <c r="F354">
        <v>37</v>
      </c>
      <c r="G354">
        <f t="shared" si="14"/>
        <v>0</v>
      </c>
      <c r="H354" s="150">
        <f t="shared" si="13"/>
        <v>7</v>
      </c>
    </row>
    <row r="355" spans="1:8" x14ac:dyDescent="0.25">
      <c r="A355" t="s">
        <v>627</v>
      </c>
      <c r="F355">
        <v>11</v>
      </c>
      <c r="G355">
        <f t="shared" si="14"/>
        <v>0</v>
      </c>
      <c r="H355" s="150">
        <f t="shared" si="13"/>
        <v>7</v>
      </c>
    </row>
    <row r="356" spans="1:8" x14ac:dyDescent="0.25">
      <c r="A356" t="s">
        <v>239</v>
      </c>
      <c r="F356">
        <v>2</v>
      </c>
      <c r="G356">
        <f t="shared" si="14"/>
        <v>0</v>
      </c>
      <c r="H356" s="150">
        <f t="shared" si="13"/>
        <v>7</v>
      </c>
    </row>
    <row r="357" spans="1:8" x14ac:dyDescent="0.25">
      <c r="A357" t="s">
        <v>628</v>
      </c>
      <c r="F357">
        <v>13</v>
      </c>
      <c r="G357">
        <f t="shared" si="14"/>
        <v>0</v>
      </c>
      <c r="H357" s="150">
        <f t="shared" si="13"/>
        <v>7</v>
      </c>
    </row>
    <row r="358" spans="1:8" x14ac:dyDescent="0.25">
      <c r="A358" t="s">
        <v>629</v>
      </c>
      <c r="F358">
        <v>4</v>
      </c>
      <c r="G358">
        <f t="shared" si="14"/>
        <v>0</v>
      </c>
      <c r="H358" s="150">
        <f t="shared" si="13"/>
        <v>7</v>
      </c>
    </row>
    <row r="359" spans="1:8" x14ac:dyDescent="0.25">
      <c r="A359" t="s">
        <v>243</v>
      </c>
      <c r="F359">
        <v>8</v>
      </c>
      <c r="G359">
        <f t="shared" si="14"/>
        <v>0</v>
      </c>
      <c r="H359" s="150">
        <f t="shared" si="13"/>
        <v>7</v>
      </c>
    </row>
    <row r="360" spans="1:8" x14ac:dyDescent="0.25">
      <c r="A360" t="s">
        <v>245</v>
      </c>
      <c r="F360">
        <v>25</v>
      </c>
      <c r="G360">
        <f t="shared" si="14"/>
        <v>0</v>
      </c>
      <c r="H360" s="150">
        <f t="shared" si="13"/>
        <v>7</v>
      </c>
    </row>
    <row r="361" spans="1:8" x14ac:dyDescent="0.25">
      <c r="A361" t="s">
        <v>246</v>
      </c>
      <c r="F361">
        <v>2</v>
      </c>
      <c r="G361">
        <f t="shared" si="14"/>
        <v>0</v>
      </c>
      <c r="H361" s="150">
        <f t="shared" si="13"/>
        <v>7</v>
      </c>
    </row>
    <row r="362" spans="1:8" x14ac:dyDescent="0.25">
      <c r="A362" t="s">
        <v>247</v>
      </c>
      <c r="F362">
        <v>4</v>
      </c>
      <c r="G362">
        <f t="shared" si="14"/>
        <v>0</v>
      </c>
      <c r="H362" s="150">
        <f t="shared" si="13"/>
        <v>7</v>
      </c>
    </row>
    <row r="363" spans="1:8" x14ac:dyDescent="0.25">
      <c r="A363" t="s">
        <v>248</v>
      </c>
      <c r="F363">
        <v>1</v>
      </c>
      <c r="G363">
        <f t="shared" si="14"/>
        <v>0</v>
      </c>
      <c r="H363" s="150">
        <f t="shared" si="13"/>
        <v>7</v>
      </c>
    </row>
    <row r="364" spans="1:8" x14ac:dyDescent="0.25">
      <c r="A364" t="s">
        <v>630</v>
      </c>
      <c r="F364">
        <v>6</v>
      </c>
      <c r="G364">
        <f t="shared" si="14"/>
        <v>0</v>
      </c>
      <c r="H364" s="150">
        <f t="shared" si="13"/>
        <v>7</v>
      </c>
    </row>
    <row r="365" spans="1:8" x14ac:dyDescent="0.25">
      <c r="A365" t="s">
        <v>631</v>
      </c>
      <c r="F365">
        <v>1</v>
      </c>
      <c r="G365">
        <f t="shared" si="14"/>
        <v>0</v>
      </c>
      <c r="H365" s="150">
        <f t="shared" si="13"/>
        <v>7</v>
      </c>
    </row>
    <row r="366" spans="1:8" x14ac:dyDescent="0.25">
      <c r="A366" t="s">
        <v>249</v>
      </c>
      <c r="F366">
        <v>2</v>
      </c>
      <c r="G366">
        <f t="shared" si="14"/>
        <v>0</v>
      </c>
      <c r="H366" s="150">
        <f t="shared" si="13"/>
        <v>7</v>
      </c>
    </row>
    <row r="367" spans="1:8" x14ac:dyDescent="0.25">
      <c r="A367" t="s">
        <v>250</v>
      </c>
      <c r="F367">
        <v>32</v>
      </c>
      <c r="G367">
        <f t="shared" si="14"/>
        <v>0</v>
      </c>
      <c r="H367" s="150">
        <f t="shared" si="13"/>
        <v>7</v>
      </c>
    </row>
    <row r="368" spans="1:8" x14ac:dyDescent="0.25">
      <c r="A368" t="s">
        <v>632</v>
      </c>
      <c r="F368">
        <v>2</v>
      </c>
      <c r="G368">
        <f t="shared" si="14"/>
        <v>0</v>
      </c>
      <c r="H368" s="150">
        <f t="shared" si="13"/>
        <v>7</v>
      </c>
    </row>
    <row r="369" spans="1:8" x14ac:dyDescent="0.25">
      <c r="A369" t="s">
        <v>1073</v>
      </c>
      <c r="F369">
        <v>1</v>
      </c>
      <c r="G369">
        <f t="shared" si="14"/>
        <v>0</v>
      </c>
      <c r="H369" s="150">
        <f t="shared" si="13"/>
        <v>7</v>
      </c>
    </row>
    <row r="370" spans="1:8" x14ac:dyDescent="0.25">
      <c r="A370" t="s">
        <v>635</v>
      </c>
      <c r="F370">
        <v>1</v>
      </c>
      <c r="G370">
        <f t="shared" si="14"/>
        <v>0</v>
      </c>
      <c r="H370" s="150">
        <f t="shared" si="13"/>
        <v>7</v>
      </c>
    </row>
    <row r="371" spans="1:8" x14ac:dyDescent="0.25">
      <c r="A371" t="s">
        <v>254</v>
      </c>
      <c r="F371">
        <v>24</v>
      </c>
      <c r="G371">
        <f t="shared" si="14"/>
        <v>0</v>
      </c>
      <c r="H371" s="150">
        <f t="shared" si="13"/>
        <v>7</v>
      </c>
    </row>
    <row r="372" spans="1:8" x14ac:dyDescent="0.25">
      <c r="A372" t="s">
        <v>255</v>
      </c>
      <c r="F372">
        <v>40</v>
      </c>
      <c r="G372">
        <f t="shared" si="14"/>
        <v>0</v>
      </c>
      <c r="H372" s="150">
        <f t="shared" si="13"/>
        <v>7</v>
      </c>
    </row>
    <row r="373" spans="1:8" x14ac:dyDescent="0.25">
      <c r="A373" t="s">
        <v>256</v>
      </c>
      <c r="F373">
        <v>2</v>
      </c>
      <c r="G373">
        <f t="shared" si="14"/>
        <v>0</v>
      </c>
      <c r="H373" s="150">
        <f t="shared" si="13"/>
        <v>7</v>
      </c>
    </row>
    <row r="374" spans="1:8" x14ac:dyDescent="0.25">
      <c r="A374" t="s">
        <v>636</v>
      </c>
      <c r="F374">
        <v>8</v>
      </c>
      <c r="G374">
        <f t="shared" si="14"/>
        <v>0</v>
      </c>
      <c r="H374" s="150">
        <f t="shared" si="13"/>
        <v>7</v>
      </c>
    </row>
    <row r="375" spans="1:8" x14ac:dyDescent="0.25">
      <c r="A375" t="s">
        <v>637</v>
      </c>
      <c r="F375">
        <v>1</v>
      </c>
      <c r="G375">
        <f t="shared" si="14"/>
        <v>0</v>
      </c>
      <c r="H375" s="150">
        <f t="shared" si="13"/>
        <v>7</v>
      </c>
    </row>
    <row r="376" spans="1:8" x14ac:dyDescent="0.25">
      <c r="A376" t="s">
        <v>638</v>
      </c>
      <c r="F376">
        <v>10</v>
      </c>
      <c r="G376">
        <f t="shared" si="14"/>
        <v>0</v>
      </c>
      <c r="H376" s="150">
        <f t="shared" si="13"/>
        <v>7</v>
      </c>
    </row>
    <row r="377" spans="1:8" x14ac:dyDescent="0.25">
      <c r="A377" t="s">
        <v>1074</v>
      </c>
      <c r="F377">
        <v>1</v>
      </c>
      <c r="G377">
        <f t="shared" si="14"/>
        <v>0</v>
      </c>
      <c r="H377" s="150">
        <f t="shared" si="13"/>
        <v>7</v>
      </c>
    </row>
    <row r="378" spans="1:8" x14ac:dyDescent="0.25">
      <c r="A378" t="s">
        <v>1148</v>
      </c>
      <c r="F378">
        <v>2</v>
      </c>
      <c r="G378">
        <f t="shared" si="14"/>
        <v>0</v>
      </c>
      <c r="H378" s="150">
        <f t="shared" si="13"/>
        <v>7</v>
      </c>
    </row>
    <row r="379" spans="1:8" x14ac:dyDescent="0.25">
      <c r="A379" t="s">
        <v>354</v>
      </c>
      <c r="F379">
        <v>17</v>
      </c>
      <c r="G379">
        <f t="shared" si="14"/>
        <v>0</v>
      </c>
      <c r="H379" s="150">
        <f t="shared" si="13"/>
        <v>7</v>
      </c>
    </row>
    <row r="380" spans="1:8" x14ac:dyDescent="0.25">
      <c r="A380" t="s">
        <v>639</v>
      </c>
      <c r="F380">
        <v>63</v>
      </c>
      <c r="G380">
        <f t="shared" si="14"/>
        <v>0</v>
      </c>
      <c r="H380" s="150">
        <f t="shared" si="13"/>
        <v>7</v>
      </c>
    </row>
    <row r="381" spans="1:8" x14ac:dyDescent="0.25">
      <c r="A381" t="s">
        <v>258</v>
      </c>
      <c r="F381">
        <v>1</v>
      </c>
      <c r="G381">
        <f t="shared" si="14"/>
        <v>0</v>
      </c>
      <c r="H381" s="150">
        <f t="shared" si="13"/>
        <v>7</v>
      </c>
    </row>
    <row r="382" spans="1:8" x14ac:dyDescent="0.25">
      <c r="A382" t="s">
        <v>259</v>
      </c>
      <c r="F382">
        <v>26</v>
      </c>
      <c r="G382">
        <f t="shared" si="14"/>
        <v>0</v>
      </c>
      <c r="H382" s="150">
        <f t="shared" si="13"/>
        <v>7</v>
      </c>
    </row>
    <row r="383" spans="1:8" x14ac:dyDescent="0.25">
      <c r="A383" t="s">
        <v>508</v>
      </c>
      <c r="F383">
        <v>11</v>
      </c>
      <c r="G383">
        <f t="shared" si="14"/>
        <v>0</v>
      </c>
      <c r="H383" s="150">
        <f t="shared" si="13"/>
        <v>7</v>
      </c>
    </row>
    <row r="384" spans="1:8" x14ac:dyDescent="0.25">
      <c r="A384" t="s">
        <v>1075</v>
      </c>
      <c r="F384">
        <v>2</v>
      </c>
      <c r="G384">
        <f t="shared" si="14"/>
        <v>0</v>
      </c>
      <c r="H384" s="150">
        <f t="shared" si="13"/>
        <v>7</v>
      </c>
    </row>
    <row r="385" spans="1:8" x14ac:dyDescent="0.25">
      <c r="A385" t="s">
        <v>1076</v>
      </c>
      <c r="F385">
        <v>3</v>
      </c>
      <c r="G385">
        <f t="shared" si="14"/>
        <v>0</v>
      </c>
      <c r="H385" s="150">
        <f t="shared" si="13"/>
        <v>7</v>
      </c>
    </row>
    <row r="386" spans="1:8" x14ac:dyDescent="0.25">
      <c r="A386" t="s">
        <v>342</v>
      </c>
      <c r="F386">
        <v>3</v>
      </c>
      <c r="G386">
        <f t="shared" si="14"/>
        <v>0</v>
      </c>
      <c r="H386" s="150">
        <f t="shared" ref="H386:H449" si="15">IF(G386&lt;=1,7,IF(AND(G386&gt;1,G386&lt;=3),5,IF(AND(G386&gt;3,G386&lt;=10),3,IF(G386&gt;10,1))))</f>
        <v>7</v>
      </c>
    </row>
    <row r="387" spans="1:8" x14ac:dyDescent="0.25">
      <c r="A387" t="s">
        <v>643</v>
      </c>
      <c r="F387">
        <v>3</v>
      </c>
      <c r="G387">
        <f t="shared" ref="G387:G450" si="16">+(E387/F387)*100</f>
        <v>0</v>
      </c>
      <c r="H387" s="150">
        <f t="shared" si="15"/>
        <v>7</v>
      </c>
    </row>
    <row r="388" spans="1:8" x14ac:dyDescent="0.25">
      <c r="A388" t="s">
        <v>1077</v>
      </c>
      <c r="F388">
        <v>3</v>
      </c>
      <c r="G388">
        <f t="shared" si="16"/>
        <v>0</v>
      </c>
      <c r="H388" s="150">
        <f t="shared" si="15"/>
        <v>7</v>
      </c>
    </row>
    <row r="389" spans="1:8" x14ac:dyDescent="0.25">
      <c r="A389" t="s">
        <v>644</v>
      </c>
      <c r="F389">
        <v>4</v>
      </c>
      <c r="G389">
        <f t="shared" si="16"/>
        <v>0</v>
      </c>
      <c r="H389" s="150">
        <f t="shared" si="15"/>
        <v>7</v>
      </c>
    </row>
    <row r="390" spans="1:8" x14ac:dyDescent="0.25">
      <c r="A390" t="s">
        <v>645</v>
      </c>
      <c r="F390">
        <v>2</v>
      </c>
      <c r="G390">
        <f t="shared" si="16"/>
        <v>0</v>
      </c>
      <c r="H390" s="150">
        <f t="shared" si="15"/>
        <v>7</v>
      </c>
    </row>
    <row r="391" spans="1:8" x14ac:dyDescent="0.25">
      <c r="A391" t="s">
        <v>1078</v>
      </c>
      <c r="F391">
        <v>1</v>
      </c>
      <c r="G391">
        <f t="shared" si="16"/>
        <v>0</v>
      </c>
      <c r="H391" s="150">
        <f t="shared" si="15"/>
        <v>7</v>
      </c>
    </row>
    <row r="392" spans="1:8" x14ac:dyDescent="0.25">
      <c r="A392" t="s">
        <v>1079</v>
      </c>
      <c r="F392">
        <v>1</v>
      </c>
      <c r="G392">
        <f t="shared" si="16"/>
        <v>0</v>
      </c>
      <c r="H392" s="150">
        <f t="shared" si="15"/>
        <v>7</v>
      </c>
    </row>
    <row r="393" spans="1:8" x14ac:dyDescent="0.25">
      <c r="A393" t="s">
        <v>1149</v>
      </c>
      <c r="F393">
        <v>2</v>
      </c>
      <c r="G393">
        <f t="shared" si="16"/>
        <v>0</v>
      </c>
      <c r="H393" s="150">
        <f t="shared" si="15"/>
        <v>7</v>
      </c>
    </row>
    <row r="394" spans="1:8" x14ac:dyDescent="0.25">
      <c r="A394" t="s">
        <v>647</v>
      </c>
      <c r="F394">
        <v>7</v>
      </c>
      <c r="G394">
        <f t="shared" si="16"/>
        <v>0</v>
      </c>
      <c r="H394" s="150">
        <f t="shared" si="15"/>
        <v>7</v>
      </c>
    </row>
    <row r="395" spans="1:8" x14ac:dyDescent="0.25">
      <c r="A395" t="s">
        <v>1080</v>
      </c>
      <c r="F395">
        <v>2</v>
      </c>
      <c r="G395">
        <f t="shared" si="16"/>
        <v>0</v>
      </c>
      <c r="H395" s="150">
        <f t="shared" si="15"/>
        <v>7</v>
      </c>
    </row>
    <row r="396" spans="1:8" x14ac:dyDescent="0.25">
      <c r="A396" t="s">
        <v>261</v>
      </c>
      <c r="F396">
        <v>11</v>
      </c>
      <c r="G396">
        <f t="shared" si="16"/>
        <v>0</v>
      </c>
      <c r="H396" s="150">
        <f t="shared" si="15"/>
        <v>7</v>
      </c>
    </row>
    <row r="397" spans="1:8" x14ac:dyDescent="0.25">
      <c r="A397" t="s">
        <v>1081</v>
      </c>
      <c r="F397">
        <v>3</v>
      </c>
      <c r="G397">
        <f t="shared" si="16"/>
        <v>0</v>
      </c>
      <c r="H397" s="150">
        <f t="shared" si="15"/>
        <v>7</v>
      </c>
    </row>
    <row r="398" spans="1:8" x14ac:dyDescent="0.25">
      <c r="A398" t="s">
        <v>648</v>
      </c>
      <c r="F398">
        <v>1</v>
      </c>
      <c r="G398">
        <f t="shared" si="16"/>
        <v>0</v>
      </c>
      <c r="H398" s="150">
        <f t="shared" si="15"/>
        <v>7</v>
      </c>
    </row>
    <row r="399" spans="1:8" x14ac:dyDescent="0.25">
      <c r="A399" t="s">
        <v>649</v>
      </c>
      <c r="F399">
        <v>3</v>
      </c>
      <c r="G399">
        <f t="shared" si="16"/>
        <v>0</v>
      </c>
      <c r="H399" s="150">
        <f t="shared" si="15"/>
        <v>7</v>
      </c>
    </row>
    <row r="400" spans="1:8" x14ac:dyDescent="0.25">
      <c r="A400" t="s">
        <v>650</v>
      </c>
      <c r="F400">
        <v>5</v>
      </c>
      <c r="G400">
        <f t="shared" si="16"/>
        <v>0</v>
      </c>
      <c r="H400" s="150">
        <f t="shared" si="15"/>
        <v>7</v>
      </c>
    </row>
    <row r="401" spans="1:8" x14ac:dyDescent="0.25">
      <c r="A401" t="s">
        <v>458</v>
      </c>
      <c r="F401">
        <v>4</v>
      </c>
      <c r="G401">
        <f t="shared" si="16"/>
        <v>0</v>
      </c>
      <c r="H401" s="150">
        <f t="shared" si="15"/>
        <v>7</v>
      </c>
    </row>
    <row r="402" spans="1:8" x14ac:dyDescent="0.25">
      <c r="A402" t="s">
        <v>1082</v>
      </c>
      <c r="F402">
        <v>26</v>
      </c>
      <c r="G402">
        <f t="shared" si="16"/>
        <v>0</v>
      </c>
      <c r="H402" s="150">
        <f t="shared" si="15"/>
        <v>7</v>
      </c>
    </row>
    <row r="403" spans="1:8" x14ac:dyDescent="0.25">
      <c r="A403" t="s">
        <v>651</v>
      </c>
      <c r="F403">
        <v>15</v>
      </c>
      <c r="G403">
        <f t="shared" si="16"/>
        <v>0</v>
      </c>
      <c r="H403" s="150">
        <f t="shared" si="15"/>
        <v>7</v>
      </c>
    </row>
    <row r="404" spans="1:8" x14ac:dyDescent="0.25">
      <c r="A404" t="s">
        <v>652</v>
      </c>
      <c r="F404">
        <v>3</v>
      </c>
      <c r="G404">
        <f t="shared" si="16"/>
        <v>0</v>
      </c>
      <c r="H404" s="150">
        <f t="shared" si="15"/>
        <v>7</v>
      </c>
    </row>
    <row r="405" spans="1:8" x14ac:dyDescent="0.25">
      <c r="A405" t="s">
        <v>1083</v>
      </c>
      <c r="F405">
        <v>3</v>
      </c>
      <c r="G405">
        <f t="shared" si="16"/>
        <v>0</v>
      </c>
      <c r="H405" s="150">
        <f t="shared" si="15"/>
        <v>7</v>
      </c>
    </row>
    <row r="406" spans="1:8" x14ac:dyDescent="0.25">
      <c r="A406" t="s">
        <v>1084</v>
      </c>
      <c r="F406">
        <v>1</v>
      </c>
      <c r="G406">
        <f t="shared" si="16"/>
        <v>0</v>
      </c>
      <c r="H406" s="150">
        <f t="shared" si="15"/>
        <v>7</v>
      </c>
    </row>
    <row r="407" spans="1:8" x14ac:dyDescent="0.25">
      <c r="A407" t="s">
        <v>653</v>
      </c>
      <c r="F407">
        <v>1</v>
      </c>
      <c r="G407">
        <f t="shared" si="16"/>
        <v>0</v>
      </c>
      <c r="H407" s="150">
        <f t="shared" si="15"/>
        <v>7</v>
      </c>
    </row>
    <row r="408" spans="1:8" x14ac:dyDescent="0.25">
      <c r="A408" t="s">
        <v>1150</v>
      </c>
      <c r="F408">
        <v>2</v>
      </c>
      <c r="G408">
        <f t="shared" si="16"/>
        <v>0</v>
      </c>
      <c r="H408" s="150">
        <f t="shared" si="15"/>
        <v>7</v>
      </c>
    </row>
    <row r="409" spans="1:8" x14ac:dyDescent="0.25">
      <c r="A409" t="s">
        <v>361</v>
      </c>
      <c r="F409">
        <v>2</v>
      </c>
      <c r="G409">
        <f t="shared" si="16"/>
        <v>0</v>
      </c>
      <c r="H409" s="150">
        <f t="shared" si="15"/>
        <v>7</v>
      </c>
    </row>
    <row r="410" spans="1:8" x14ac:dyDescent="0.25">
      <c r="A410" t="s">
        <v>654</v>
      </c>
      <c r="F410">
        <v>25</v>
      </c>
      <c r="G410">
        <f t="shared" si="16"/>
        <v>0</v>
      </c>
      <c r="H410" s="150">
        <f t="shared" si="15"/>
        <v>7</v>
      </c>
    </row>
    <row r="411" spans="1:8" x14ac:dyDescent="0.25">
      <c r="A411" t="s">
        <v>655</v>
      </c>
      <c r="F411">
        <v>3</v>
      </c>
      <c r="G411">
        <f t="shared" si="16"/>
        <v>0</v>
      </c>
      <c r="H411" s="150">
        <f t="shared" si="15"/>
        <v>7</v>
      </c>
    </row>
    <row r="412" spans="1:8" x14ac:dyDescent="0.25">
      <c r="A412" t="s">
        <v>1085</v>
      </c>
      <c r="F412">
        <v>2</v>
      </c>
      <c r="G412">
        <f t="shared" si="16"/>
        <v>0</v>
      </c>
      <c r="H412" s="150">
        <f t="shared" si="15"/>
        <v>7</v>
      </c>
    </row>
    <row r="413" spans="1:8" x14ac:dyDescent="0.25">
      <c r="A413" t="s">
        <v>658</v>
      </c>
      <c r="F413">
        <v>3</v>
      </c>
      <c r="G413">
        <f t="shared" si="16"/>
        <v>0</v>
      </c>
      <c r="H413" s="150">
        <f t="shared" si="15"/>
        <v>7</v>
      </c>
    </row>
    <row r="414" spans="1:8" x14ac:dyDescent="0.25">
      <c r="A414" t="s">
        <v>355</v>
      </c>
      <c r="F414">
        <v>34</v>
      </c>
      <c r="G414">
        <f t="shared" si="16"/>
        <v>0</v>
      </c>
      <c r="H414" s="150">
        <f t="shared" si="15"/>
        <v>7</v>
      </c>
    </row>
    <row r="415" spans="1:8" x14ac:dyDescent="0.25">
      <c r="A415" t="s">
        <v>660</v>
      </c>
      <c r="F415">
        <v>4</v>
      </c>
      <c r="G415">
        <f t="shared" si="16"/>
        <v>0</v>
      </c>
      <c r="H415" s="150">
        <f t="shared" si="15"/>
        <v>7</v>
      </c>
    </row>
    <row r="416" spans="1:8" x14ac:dyDescent="0.25">
      <c r="A416" t="s">
        <v>661</v>
      </c>
      <c r="F416">
        <v>1</v>
      </c>
      <c r="G416">
        <f t="shared" si="16"/>
        <v>0</v>
      </c>
      <c r="H416" s="150">
        <f t="shared" si="15"/>
        <v>7</v>
      </c>
    </row>
    <row r="417" spans="1:8" x14ac:dyDescent="0.25">
      <c r="A417" t="s">
        <v>1088</v>
      </c>
      <c r="F417">
        <v>6</v>
      </c>
      <c r="G417">
        <f t="shared" si="16"/>
        <v>0</v>
      </c>
      <c r="H417" s="150">
        <f t="shared" si="15"/>
        <v>7</v>
      </c>
    </row>
    <row r="418" spans="1:8" x14ac:dyDescent="0.25">
      <c r="A418" t="s">
        <v>1089</v>
      </c>
      <c r="F418">
        <v>2</v>
      </c>
      <c r="G418">
        <f t="shared" si="16"/>
        <v>0</v>
      </c>
      <c r="H418" s="150">
        <f t="shared" si="15"/>
        <v>7</v>
      </c>
    </row>
    <row r="419" spans="1:8" x14ac:dyDescent="0.25">
      <c r="A419" t="s">
        <v>1090</v>
      </c>
      <c r="F419">
        <v>2</v>
      </c>
      <c r="G419">
        <f t="shared" si="16"/>
        <v>0</v>
      </c>
      <c r="H419" s="150">
        <f t="shared" si="15"/>
        <v>7</v>
      </c>
    </row>
    <row r="420" spans="1:8" x14ac:dyDescent="0.25">
      <c r="A420" t="s">
        <v>1092</v>
      </c>
      <c r="F420">
        <v>1</v>
      </c>
      <c r="G420">
        <f t="shared" si="16"/>
        <v>0</v>
      </c>
      <c r="H420" s="150">
        <f t="shared" si="15"/>
        <v>7</v>
      </c>
    </row>
    <row r="421" spans="1:8" x14ac:dyDescent="0.25">
      <c r="A421" t="s">
        <v>267</v>
      </c>
      <c r="F421">
        <v>36</v>
      </c>
      <c r="G421">
        <f t="shared" si="16"/>
        <v>0</v>
      </c>
      <c r="H421" s="150">
        <f t="shared" si="15"/>
        <v>7</v>
      </c>
    </row>
    <row r="422" spans="1:8" x14ac:dyDescent="0.25">
      <c r="A422" t="s">
        <v>1151</v>
      </c>
      <c r="F422">
        <v>2</v>
      </c>
      <c r="G422">
        <f t="shared" si="16"/>
        <v>0</v>
      </c>
      <c r="H422" s="150">
        <f t="shared" si="15"/>
        <v>7</v>
      </c>
    </row>
    <row r="423" spans="1:8" x14ac:dyDescent="0.25">
      <c r="A423" t="s">
        <v>1095</v>
      </c>
      <c r="F423">
        <v>5</v>
      </c>
      <c r="G423">
        <f t="shared" si="16"/>
        <v>0</v>
      </c>
      <c r="H423" s="150">
        <f t="shared" si="15"/>
        <v>7</v>
      </c>
    </row>
    <row r="424" spans="1:8" x14ac:dyDescent="0.25">
      <c r="A424" t="s">
        <v>1096</v>
      </c>
      <c r="F424">
        <v>1</v>
      </c>
      <c r="G424">
        <f t="shared" si="16"/>
        <v>0</v>
      </c>
      <c r="H424" s="150">
        <f t="shared" si="15"/>
        <v>7</v>
      </c>
    </row>
    <row r="425" spans="1:8" x14ac:dyDescent="0.25">
      <c r="A425" t="s">
        <v>665</v>
      </c>
      <c r="F425">
        <v>1</v>
      </c>
      <c r="G425">
        <f t="shared" si="16"/>
        <v>0</v>
      </c>
      <c r="H425" s="150">
        <f t="shared" si="15"/>
        <v>7</v>
      </c>
    </row>
    <row r="426" spans="1:8" x14ac:dyDescent="0.25">
      <c r="A426" t="s">
        <v>666</v>
      </c>
      <c r="F426">
        <v>66</v>
      </c>
      <c r="G426">
        <f t="shared" si="16"/>
        <v>0</v>
      </c>
      <c r="H426" s="150">
        <f t="shared" si="15"/>
        <v>7</v>
      </c>
    </row>
    <row r="427" spans="1:8" x14ac:dyDescent="0.25">
      <c r="A427" t="s">
        <v>914</v>
      </c>
      <c r="F427">
        <v>11</v>
      </c>
      <c r="G427">
        <f t="shared" si="16"/>
        <v>0</v>
      </c>
      <c r="H427" s="150">
        <f t="shared" si="15"/>
        <v>7</v>
      </c>
    </row>
    <row r="428" spans="1:8" x14ac:dyDescent="0.25">
      <c r="A428" t="s">
        <v>667</v>
      </c>
      <c r="F428">
        <v>1</v>
      </c>
      <c r="G428">
        <f t="shared" si="16"/>
        <v>0</v>
      </c>
      <c r="H428" s="150">
        <f t="shared" si="15"/>
        <v>7</v>
      </c>
    </row>
    <row r="429" spans="1:8" x14ac:dyDescent="0.25">
      <c r="A429" t="s">
        <v>1097</v>
      </c>
      <c r="F429">
        <v>6</v>
      </c>
      <c r="G429">
        <f t="shared" si="16"/>
        <v>0</v>
      </c>
      <c r="H429" s="150">
        <f t="shared" si="15"/>
        <v>7</v>
      </c>
    </row>
    <row r="430" spans="1:8" x14ac:dyDescent="0.25">
      <c r="A430" t="s">
        <v>269</v>
      </c>
      <c r="F430">
        <v>51</v>
      </c>
      <c r="G430">
        <f t="shared" si="16"/>
        <v>0</v>
      </c>
      <c r="H430" s="150">
        <f t="shared" si="15"/>
        <v>7</v>
      </c>
    </row>
    <row r="431" spans="1:8" x14ac:dyDescent="0.25">
      <c r="A431" t="s">
        <v>1152</v>
      </c>
      <c r="F431">
        <v>1</v>
      </c>
      <c r="G431">
        <f t="shared" si="16"/>
        <v>0</v>
      </c>
      <c r="H431" s="150">
        <f t="shared" si="15"/>
        <v>7</v>
      </c>
    </row>
    <row r="432" spans="1:8" x14ac:dyDescent="0.25">
      <c r="A432" t="s">
        <v>1153</v>
      </c>
      <c r="F432">
        <v>6</v>
      </c>
      <c r="G432">
        <f t="shared" si="16"/>
        <v>0</v>
      </c>
      <c r="H432" s="150">
        <f t="shared" si="15"/>
        <v>7</v>
      </c>
    </row>
    <row r="433" spans="1:8" x14ac:dyDescent="0.25">
      <c r="A433" t="s">
        <v>1154</v>
      </c>
      <c r="F433">
        <v>2</v>
      </c>
      <c r="G433">
        <f t="shared" si="16"/>
        <v>0</v>
      </c>
      <c r="H433" s="150">
        <f t="shared" si="15"/>
        <v>7</v>
      </c>
    </row>
    <row r="434" spans="1:8" x14ac:dyDescent="0.25">
      <c r="A434" t="s">
        <v>270</v>
      </c>
      <c r="F434">
        <v>3</v>
      </c>
      <c r="G434">
        <f t="shared" si="16"/>
        <v>0</v>
      </c>
      <c r="H434" s="150">
        <f t="shared" si="15"/>
        <v>7</v>
      </c>
    </row>
    <row r="435" spans="1:8" x14ac:dyDescent="0.25">
      <c r="A435" t="s">
        <v>1155</v>
      </c>
      <c r="F435">
        <v>3</v>
      </c>
      <c r="G435">
        <f t="shared" si="16"/>
        <v>0</v>
      </c>
      <c r="H435" s="150">
        <f t="shared" si="15"/>
        <v>7</v>
      </c>
    </row>
    <row r="436" spans="1:8" x14ac:dyDescent="0.25">
      <c r="A436" t="s">
        <v>272</v>
      </c>
      <c r="F436">
        <v>9</v>
      </c>
      <c r="G436">
        <f t="shared" si="16"/>
        <v>0</v>
      </c>
      <c r="H436" s="150">
        <f t="shared" si="15"/>
        <v>7</v>
      </c>
    </row>
    <row r="437" spans="1:8" x14ac:dyDescent="0.25">
      <c r="A437" t="s">
        <v>273</v>
      </c>
      <c r="F437">
        <v>1</v>
      </c>
      <c r="G437">
        <f t="shared" si="16"/>
        <v>0</v>
      </c>
      <c r="H437" s="150">
        <f t="shared" si="15"/>
        <v>7</v>
      </c>
    </row>
    <row r="438" spans="1:8" x14ac:dyDescent="0.25">
      <c r="A438" t="s">
        <v>274</v>
      </c>
      <c r="F438">
        <v>6</v>
      </c>
      <c r="G438">
        <f t="shared" si="16"/>
        <v>0</v>
      </c>
      <c r="H438" s="150">
        <f t="shared" si="15"/>
        <v>7</v>
      </c>
    </row>
    <row r="439" spans="1:8" x14ac:dyDescent="0.25">
      <c r="A439" t="s">
        <v>1156</v>
      </c>
      <c r="F439">
        <v>2</v>
      </c>
      <c r="G439">
        <f t="shared" si="16"/>
        <v>0</v>
      </c>
      <c r="H439" s="150">
        <f t="shared" si="15"/>
        <v>7</v>
      </c>
    </row>
    <row r="440" spans="1:8" x14ac:dyDescent="0.25">
      <c r="A440" t="s">
        <v>275</v>
      </c>
      <c r="F440">
        <v>26</v>
      </c>
      <c r="G440">
        <f t="shared" si="16"/>
        <v>0</v>
      </c>
      <c r="H440" s="150">
        <f t="shared" si="15"/>
        <v>7</v>
      </c>
    </row>
    <row r="441" spans="1:8" x14ac:dyDescent="0.25">
      <c r="A441" t="s">
        <v>344</v>
      </c>
      <c r="F441">
        <v>33</v>
      </c>
      <c r="G441">
        <f t="shared" si="16"/>
        <v>0</v>
      </c>
      <c r="H441" s="150">
        <f t="shared" si="15"/>
        <v>7</v>
      </c>
    </row>
    <row r="442" spans="1:8" x14ac:dyDescent="0.25">
      <c r="A442" t="s">
        <v>276</v>
      </c>
      <c r="F442">
        <v>33</v>
      </c>
      <c r="G442">
        <f t="shared" si="16"/>
        <v>0</v>
      </c>
      <c r="H442" s="150">
        <f t="shared" si="15"/>
        <v>7</v>
      </c>
    </row>
    <row r="443" spans="1:8" x14ac:dyDescent="0.25">
      <c r="A443" t="s">
        <v>277</v>
      </c>
      <c r="F443">
        <v>32</v>
      </c>
      <c r="G443">
        <f t="shared" si="16"/>
        <v>0</v>
      </c>
      <c r="H443" s="150">
        <f t="shared" si="15"/>
        <v>7</v>
      </c>
    </row>
    <row r="444" spans="1:8" x14ac:dyDescent="0.25">
      <c r="A444" t="s">
        <v>504</v>
      </c>
      <c r="F444">
        <v>2</v>
      </c>
      <c r="G444">
        <f t="shared" si="16"/>
        <v>0</v>
      </c>
      <c r="H444" s="150">
        <f t="shared" si="15"/>
        <v>7</v>
      </c>
    </row>
    <row r="445" spans="1:8" x14ac:dyDescent="0.25">
      <c r="A445" t="s">
        <v>668</v>
      </c>
      <c r="F445">
        <v>1</v>
      </c>
      <c r="G445">
        <f t="shared" si="16"/>
        <v>0</v>
      </c>
      <c r="H445" s="150">
        <f t="shared" si="15"/>
        <v>7</v>
      </c>
    </row>
    <row r="446" spans="1:8" x14ac:dyDescent="0.25">
      <c r="A446" t="s">
        <v>278</v>
      </c>
      <c r="F446">
        <v>5</v>
      </c>
      <c r="G446">
        <f t="shared" si="16"/>
        <v>0</v>
      </c>
      <c r="H446" s="150">
        <f t="shared" si="15"/>
        <v>7</v>
      </c>
    </row>
    <row r="447" spans="1:8" x14ac:dyDescent="0.25">
      <c r="A447" t="s">
        <v>279</v>
      </c>
      <c r="F447">
        <v>22</v>
      </c>
      <c r="G447">
        <f t="shared" si="16"/>
        <v>0</v>
      </c>
      <c r="H447" s="150">
        <f t="shared" si="15"/>
        <v>7</v>
      </c>
    </row>
    <row r="448" spans="1:8" x14ac:dyDescent="0.25">
      <c r="A448" t="s">
        <v>280</v>
      </c>
      <c r="F448">
        <v>16</v>
      </c>
      <c r="G448">
        <f t="shared" si="16"/>
        <v>0</v>
      </c>
      <c r="H448" s="150">
        <f t="shared" si="15"/>
        <v>7</v>
      </c>
    </row>
    <row r="449" spans="1:8" x14ac:dyDescent="0.25">
      <c r="A449" t="s">
        <v>669</v>
      </c>
      <c r="F449">
        <v>21</v>
      </c>
      <c r="G449">
        <f t="shared" si="16"/>
        <v>0</v>
      </c>
      <c r="H449" s="150">
        <f t="shared" si="15"/>
        <v>7</v>
      </c>
    </row>
    <row r="450" spans="1:8" x14ac:dyDescent="0.25">
      <c r="A450" t="s">
        <v>1098</v>
      </c>
      <c r="F450">
        <v>3</v>
      </c>
      <c r="G450">
        <f t="shared" si="16"/>
        <v>0</v>
      </c>
      <c r="H450" s="150">
        <f t="shared" ref="H450:H513" si="17">IF(G450&lt;=1,7,IF(AND(G450&gt;1,G450&lt;=3),5,IF(AND(G450&gt;3,G450&lt;=10),3,IF(G450&gt;10,1))))</f>
        <v>7</v>
      </c>
    </row>
    <row r="451" spans="1:8" x14ac:dyDescent="0.25">
      <c r="A451" t="s">
        <v>1158</v>
      </c>
      <c r="F451">
        <v>1</v>
      </c>
      <c r="G451">
        <f t="shared" ref="G451:G513" si="18">+(E451/F451)*100</f>
        <v>0</v>
      </c>
      <c r="H451" s="150">
        <f t="shared" si="17"/>
        <v>7</v>
      </c>
    </row>
    <row r="452" spans="1:8" x14ac:dyDescent="0.25">
      <c r="A452" t="s">
        <v>1159</v>
      </c>
      <c r="F452">
        <v>1</v>
      </c>
      <c r="G452">
        <f t="shared" si="18"/>
        <v>0</v>
      </c>
      <c r="H452" s="150">
        <f t="shared" si="17"/>
        <v>7</v>
      </c>
    </row>
    <row r="453" spans="1:8" x14ac:dyDescent="0.25">
      <c r="A453" t="s">
        <v>1160</v>
      </c>
      <c r="F453">
        <v>1</v>
      </c>
      <c r="G453">
        <f t="shared" si="18"/>
        <v>0</v>
      </c>
      <c r="H453" s="150">
        <f t="shared" si="17"/>
        <v>7</v>
      </c>
    </row>
    <row r="454" spans="1:8" x14ac:dyDescent="0.25">
      <c r="A454" t="s">
        <v>1099</v>
      </c>
      <c r="F454">
        <v>2</v>
      </c>
      <c r="G454">
        <f t="shared" si="18"/>
        <v>0</v>
      </c>
      <c r="H454" s="150">
        <f t="shared" si="17"/>
        <v>7</v>
      </c>
    </row>
    <row r="455" spans="1:8" x14ac:dyDescent="0.25">
      <c r="A455" t="s">
        <v>282</v>
      </c>
      <c r="F455">
        <v>1</v>
      </c>
      <c r="G455">
        <f t="shared" si="18"/>
        <v>0</v>
      </c>
      <c r="H455" s="150">
        <f t="shared" si="17"/>
        <v>7</v>
      </c>
    </row>
    <row r="456" spans="1:8" x14ac:dyDescent="0.25">
      <c r="A456" t="s">
        <v>1161</v>
      </c>
      <c r="F456">
        <v>1</v>
      </c>
      <c r="G456">
        <f t="shared" si="18"/>
        <v>0</v>
      </c>
      <c r="H456" s="150">
        <f t="shared" si="17"/>
        <v>7</v>
      </c>
    </row>
    <row r="457" spans="1:8" x14ac:dyDescent="0.25">
      <c r="A457" t="s">
        <v>670</v>
      </c>
      <c r="F457">
        <v>11</v>
      </c>
      <c r="G457">
        <f t="shared" si="18"/>
        <v>0</v>
      </c>
      <c r="H457" s="150">
        <f t="shared" si="17"/>
        <v>7</v>
      </c>
    </row>
    <row r="458" spans="1:8" x14ac:dyDescent="0.25">
      <c r="A458" t="s">
        <v>283</v>
      </c>
      <c r="F458">
        <v>20</v>
      </c>
      <c r="G458">
        <f t="shared" si="18"/>
        <v>0</v>
      </c>
      <c r="H458" s="150">
        <f t="shared" si="17"/>
        <v>7</v>
      </c>
    </row>
    <row r="459" spans="1:8" x14ac:dyDescent="0.25">
      <c r="A459" t="s">
        <v>359</v>
      </c>
      <c r="F459">
        <v>7</v>
      </c>
      <c r="G459">
        <f t="shared" si="18"/>
        <v>0</v>
      </c>
      <c r="H459" s="150">
        <f t="shared" si="17"/>
        <v>7</v>
      </c>
    </row>
    <row r="460" spans="1:8" x14ac:dyDescent="0.25">
      <c r="A460" t="s">
        <v>671</v>
      </c>
      <c r="F460">
        <v>5</v>
      </c>
      <c r="G460">
        <f t="shared" si="18"/>
        <v>0</v>
      </c>
      <c r="H460" s="150">
        <f t="shared" si="17"/>
        <v>7</v>
      </c>
    </row>
    <row r="461" spans="1:8" x14ac:dyDescent="0.25">
      <c r="A461" t="s">
        <v>672</v>
      </c>
      <c r="F461">
        <v>19</v>
      </c>
      <c r="G461">
        <f t="shared" si="18"/>
        <v>0</v>
      </c>
      <c r="H461" s="150">
        <f t="shared" si="17"/>
        <v>7</v>
      </c>
    </row>
    <row r="462" spans="1:8" x14ac:dyDescent="0.25">
      <c r="A462" t="s">
        <v>673</v>
      </c>
      <c r="F462">
        <v>9</v>
      </c>
      <c r="G462">
        <f t="shared" si="18"/>
        <v>0</v>
      </c>
      <c r="H462" s="150">
        <f t="shared" si="17"/>
        <v>7</v>
      </c>
    </row>
    <row r="463" spans="1:8" x14ac:dyDescent="0.25">
      <c r="A463" t="s">
        <v>286</v>
      </c>
      <c r="F463">
        <v>2</v>
      </c>
      <c r="G463">
        <f t="shared" si="18"/>
        <v>0</v>
      </c>
      <c r="H463" s="150">
        <f t="shared" si="17"/>
        <v>7</v>
      </c>
    </row>
    <row r="464" spans="1:8" x14ac:dyDescent="0.25">
      <c r="A464" t="s">
        <v>675</v>
      </c>
      <c r="F464">
        <v>6</v>
      </c>
      <c r="G464">
        <f t="shared" si="18"/>
        <v>0</v>
      </c>
      <c r="H464" s="150">
        <f t="shared" si="17"/>
        <v>7</v>
      </c>
    </row>
    <row r="465" spans="1:8" x14ac:dyDescent="0.25">
      <c r="A465" t="s">
        <v>287</v>
      </c>
      <c r="F465">
        <v>5</v>
      </c>
      <c r="G465">
        <f t="shared" si="18"/>
        <v>0</v>
      </c>
      <c r="H465" s="150">
        <f t="shared" si="17"/>
        <v>7</v>
      </c>
    </row>
    <row r="466" spans="1:8" x14ac:dyDescent="0.25">
      <c r="A466" t="s">
        <v>288</v>
      </c>
      <c r="F466">
        <v>5</v>
      </c>
      <c r="G466">
        <f t="shared" si="18"/>
        <v>0</v>
      </c>
      <c r="H466" s="150">
        <f t="shared" si="17"/>
        <v>7</v>
      </c>
    </row>
    <row r="467" spans="1:8" x14ac:dyDescent="0.25">
      <c r="A467" t="s">
        <v>676</v>
      </c>
      <c r="F467">
        <v>112</v>
      </c>
      <c r="G467">
        <f t="shared" si="18"/>
        <v>0</v>
      </c>
      <c r="H467" s="150">
        <f t="shared" si="17"/>
        <v>7</v>
      </c>
    </row>
    <row r="468" spans="1:8" x14ac:dyDescent="0.25">
      <c r="A468" t="s">
        <v>677</v>
      </c>
      <c r="F468">
        <v>4</v>
      </c>
      <c r="G468">
        <f t="shared" si="18"/>
        <v>0</v>
      </c>
      <c r="H468" s="150">
        <f t="shared" si="17"/>
        <v>7</v>
      </c>
    </row>
    <row r="469" spans="1:8" x14ac:dyDescent="0.25">
      <c r="A469" t="s">
        <v>290</v>
      </c>
      <c r="F469">
        <v>16</v>
      </c>
      <c r="G469">
        <f t="shared" si="18"/>
        <v>0</v>
      </c>
      <c r="H469" s="150">
        <f t="shared" si="17"/>
        <v>7</v>
      </c>
    </row>
    <row r="470" spans="1:8" x14ac:dyDescent="0.25">
      <c r="A470" t="s">
        <v>678</v>
      </c>
      <c r="F470">
        <v>1</v>
      </c>
      <c r="G470">
        <f t="shared" si="18"/>
        <v>0</v>
      </c>
      <c r="H470" s="150">
        <f t="shared" si="17"/>
        <v>7</v>
      </c>
    </row>
    <row r="471" spans="1:8" x14ac:dyDescent="0.25">
      <c r="A471" t="s">
        <v>291</v>
      </c>
      <c r="F471">
        <v>7</v>
      </c>
      <c r="G471">
        <f t="shared" si="18"/>
        <v>0</v>
      </c>
      <c r="H471" s="150">
        <f t="shared" si="17"/>
        <v>7</v>
      </c>
    </row>
    <row r="472" spans="1:8" x14ac:dyDescent="0.25">
      <c r="A472" t="s">
        <v>679</v>
      </c>
      <c r="F472">
        <v>1</v>
      </c>
      <c r="G472">
        <f t="shared" si="18"/>
        <v>0</v>
      </c>
      <c r="H472" s="150">
        <f t="shared" si="17"/>
        <v>7</v>
      </c>
    </row>
    <row r="473" spans="1:8" x14ac:dyDescent="0.25">
      <c r="A473" t="s">
        <v>292</v>
      </c>
      <c r="F473">
        <v>3</v>
      </c>
      <c r="G473">
        <f t="shared" si="18"/>
        <v>0</v>
      </c>
      <c r="H473" s="150">
        <f t="shared" si="17"/>
        <v>7</v>
      </c>
    </row>
    <row r="474" spans="1:8" x14ac:dyDescent="0.25">
      <c r="A474" t="s">
        <v>294</v>
      </c>
      <c r="F474">
        <v>1</v>
      </c>
      <c r="G474">
        <f t="shared" si="18"/>
        <v>0</v>
      </c>
      <c r="H474" s="150">
        <f t="shared" si="17"/>
        <v>7</v>
      </c>
    </row>
    <row r="475" spans="1:8" x14ac:dyDescent="0.25">
      <c r="A475" t="s">
        <v>295</v>
      </c>
      <c r="F475">
        <v>89</v>
      </c>
      <c r="G475">
        <f t="shared" si="18"/>
        <v>0</v>
      </c>
      <c r="H475" s="150">
        <f t="shared" si="17"/>
        <v>7</v>
      </c>
    </row>
    <row r="476" spans="1:8" x14ac:dyDescent="0.25">
      <c r="A476" t="s">
        <v>296</v>
      </c>
      <c r="F476">
        <v>1</v>
      </c>
      <c r="G476">
        <f t="shared" si="18"/>
        <v>0</v>
      </c>
      <c r="H476" s="150">
        <f t="shared" si="17"/>
        <v>7</v>
      </c>
    </row>
    <row r="477" spans="1:8" x14ac:dyDescent="0.25">
      <c r="A477" t="s">
        <v>681</v>
      </c>
      <c r="F477">
        <v>5</v>
      </c>
      <c r="G477">
        <f t="shared" si="18"/>
        <v>0</v>
      </c>
      <c r="H477" s="150">
        <f t="shared" si="17"/>
        <v>7</v>
      </c>
    </row>
    <row r="478" spans="1:8" x14ac:dyDescent="0.25">
      <c r="A478" t="s">
        <v>682</v>
      </c>
      <c r="F478">
        <v>35</v>
      </c>
      <c r="G478">
        <f t="shared" si="18"/>
        <v>0</v>
      </c>
      <c r="H478" s="150">
        <f t="shared" si="17"/>
        <v>7</v>
      </c>
    </row>
    <row r="479" spans="1:8" x14ac:dyDescent="0.25">
      <c r="A479" t="s">
        <v>298</v>
      </c>
      <c r="F479">
        <v>27</v>
      </c>
      <c r="G479">
        <f t="shared" si="18"/>
        <v>0</v>
      </c>
      <c r="H479" s="150">
        <f t="shared" si="17"/>
        <v>7</v>
      </c>
    </row>
    <row r="480" spans="1:8" x14ac:dyDescent="0.25">
      <c r="A480" t="s">
        <v>299</v>
      </c>
      <c r="F480">
        <v>5</v>
      </c>
      <c r="G480">
        <f t="shared" si="18"/>
        <v>0</v>
      </c>
      <c r="H480" s="150">
        <f t="shared" si="17"/>
        <v>7</v>
      </c>
    </row>
    <row r="481" spans="1:8" x14ac:dyDescent="0.25">
      <c r="A481" t="s">
        <v>300</v>
      </c>
      <c r="F481">
        <v>45</v>
      </c>
      <c r="G481">
        <f t="shared" si="18"/>
        <v>0</v>
      </c>
      <c r="H481" s="150">
        <f t="shared" si="17"/>
        <v>7</v>
      </c>
    </row>
    <row r="482" spans="1:8" x14ac:dyDescent="0.25">
      <c r="A482" t="s">
        <v>301</v>
      </c>
      <c r="F482">
        <v>10</v>
      </c>
      <c r="G482">
        <f t="shared" si="18"/>
        <v>0</v>
      </c>
      <c r="H482" s="150">
        <f t="shared" si="17"/>
        <v>7</v>
      </c>
    </row>
    <row r="483" spans="1:8" x14ac:dyDescent="0.25">
      <c r="A483" t="s">
        <v>303</v>
      </c>
      <c r="F483">
        <v>59</v>
      </c>
      <c r="G483">
        <f t="shared" si="18"/>
        <v>0</v>
      </c>
      <c r="H483" s="150">
        <f t="shared" si="17"/>
        <v>7</v>
      </c>
    </row>
    <row r="484" spans="1:8" x14ac:dyDescent="0.25">
      <c r="A484" t="s">
        <v>305</v>
      </c>
      <c r="F484">
        <v>73</v>
      </c>
      <c r="G484">
        <f t="shared" si="18"/>
        <v>0</v>
      </c>
      <c r="H484" s="150">
        <f t="shared" si="17"/>
        <v>7</v>
      </c>
    </row>
    <row r="485" spans="1:8" x14ac:dyDescent="0.25">
      <c r="A485" t="s">
        <v>685</v>
      </c>
      <c r="F485">
        <v>20</v>
      </c>
      <c r="G485">
        <f t="shared" si="18"/>
        <v>0</v>
      </c>
      <c r="H485" s="150">
        <f t="shared" si="17"/>
        <v>7</v>
      </c>
    </row>
    <row r="486" spans="1:8" x14ac:dyDescent="0.25">
      <c r="A486" t="s">
        <v>306</v>
      </c>
      <c r="F486">
        <v>21</v>
      </c>
      <c r="G486">
        <f t="shared" si="18"/>
        <v>0</v>
      </c>
      <c r="H486" s="150">
        <f t="shared" si="17"/>
        <v>7</v>
      </c>
    </row>
    <row r="487" spans="1:8" x14ac:dyDescent="0.25">
      <c r="A487" t="s">
        <v>1162</v>
      </c>
      <c r="F487">
        <v>1</v>
      </c>
      <c r="G487">
        <f t="shared" si="18"/>
        <v>0</v>
      </c>
      <c r="H487" s="150">
        <f t="shared" si="17"/>
        <v>7</v>
      </c>
    </row>
    <row r="488" spans="1:8" x14ac:dyDescent="0.25">
      <c r="A488" t="s">
        <v>1101</v>
      </c>
      <c r="F488">
        <v>4</v>
      </c>
      <c r="G488">
        <f t="shared" si="18"/>
        <v>0</v>
      </c>
      <c r="H488" s="150">
        <f t="shared" si="17"/>
        <v>7</v>
      </c>
    </row>
    <row r="489" spans="1:8" x14ac:dyDescent="0.25">
      <c r="A489" t="s">
        <v>364</v>
      </c>
      <c r="F489">
        <v>2</v>
      </c>
      <c r="G489">
        <f t="shared" si="18"/>
        <v>0</v>
      </c>
      <c r="H489" s="150">
        <f t="shared" si="17"/>
        <v>7</v>
      </c>
    </row>
    <row r="490" spans="1:8" x14ac:dyDescent="0.25">
      <c r="A490" t="s">
        <v>686</v>
      </c>
      <c r="F490">
        <v>15</v>
      </c>
      <c r="G490">
        <f t="shared" si="18"/>
        <v>0</v>
      </c>
      <c r="H490" s="150">
        <f t="shared" si="17"/>
        <v>7</v>
      </c>
    </row>
    <row r="491" spans="1:8" x14ac:dyDescent="0.25">
      <c r="A491" t="s">
        <v>687</v>
      </c>
      <c r="F491">
        <v>1</v>
      </c>
      <c r="G491">
        <f t="shared" si="18"/>
        <v>0</v>
      </c>
      <c r="H491" s="150">
        <f t="shared" si="17"/>
        <v>7</v>
      </c>
    </row>
    <row r="492" spans="1:8" x14ac:dyDescent="0.25">
      <c r="A492" t="s">
        <v>312</v>
      </c>
      <c r="F492">
        <v>7</v>
      </c>
      <c r="G492">
        <f t="shared" si="18"/>
        <v>0</v>
      </c>
      <c r="H492" s="150">
        <f t="shared" si="17"/>
        <v>7</v>
      </c>
    </row>
    <row r="493" spans="1:8" x14ac:dyDescent="0.25">
      <c r="A493" t="s">
        <v>688</v>
      </c>
      <c r="F493">
        <v>2</v>
      </c>
      <c r="G493">
        <f t="shared" si="18"/>
        <v>0</v>
      </c>
      <c r="H493" s="150">
        <f t="shared" si="17"/>
        <v>7</v>
      </c>
    </row>
    <row r="494" spans="1:8" x14ac:dyDescent="0.25">
      <c r="A494" t="s">
        <v>689</v>
      </c>
      <c r="F494">
        <v>2</v>
      </c>
      <c r="G494">
        <f t="shared" si="18"/>
        <v>0</v>
      </c>
      <c r="H494" s="150">
        <f t="shared" si="17"/>
        <v>7</v>
      </c>
    </row>
    <row r="495" spans="1:8" x14ac:dyDescent="0.25">
      <c r="A495" t="s">
        <v>459</v>
      </c>
      <c r="F495">
        <v>28</v>
      </c>
      <c r="G495">
        <f t="shared" si="18"/>
        <v>0</v>
      </c>
      <c r="H495" s="150">
        <f t="shared" si="17"/>
        <v>7</v>
      </c>
    </row>
    <row r="496" spans="1:8" x14ac:dyDescent="0.25">
      <c r="A496" t="s">
        <v>314</v>
      </c>
      <c r="F496">
        <v>8</v>
      </c>
      <c r="G496">
        <f t="shared" si="18"/>
        <v>0</v>
      </c>
      <c r="H496" s="150">
        <f t="shared" si="17"/>
        <v>7</v>
      </c>
    </row>
    <row r="497" spans="1:8" x14ac:dyDescent="0.25">
      <c r="A497" t="s">
        <v>315</v>
      </c>
      <c r="F497">
        <v>2</v>
      </c>
      <c r="G497">
        <f t="shared" si="18"/>
        <v>0</v>
      </c>
      <c r="H497" s="150">
        <f t="shared" si="17"/>
        <v>7</v>
      </c>
    </row>
    <row r="498" spans="1:8" x14ac:dyDescent="0.25">
      <c r="A498" t="s">
        <v>690</v>
      </c>
      <c r="F498">
        <v>1</v>
      </c>
      <c r="G498">
        <f t="shared" si="18"/>
        <v>0</v>
      </c>
      <c r="H498" s="150">
        <f t="shared" si="17"/>
        <v>7</v>
      </c>
    </row>
    <row r="499" spans="1:8" x14ac:dyDescent="0.25">
      <c r="A499" t="s">
        <v>691</v>
      </c>
      <c r="F499">
        <v>11</v>
      </c>
      <c r="G499">
        <f t="shared" si="18"/>
        <v>0</v>
      </c>
      <c r="H499" s="150">
        <f t="shared" si="17"/>
        <v>7</v>
      </c>
    </row>
    <row r="500" spans="1:8" x14ac:dyDescent="0.25">
      <c r="A500" t="s">
        <v>692</v>
      </c>
      <c r="F500">
        <v>2</v>
      </c>
      <c r="G500">
        <f t="shared" si="18"/>
        <v>0</v>
      </c>
      <c r="H500" s="150">
        <f t="shared" si="17"/>
        <v>7</v>
      </c>
    </row>
    <row r="501" spans="1:8" x14ac:dyDescent="0.25">
      <c r="A501" t="s">
        <v>693</v>
      </c>
      <c r="F501">
        <v>2</v>
      </c>
      <c r="G501">
        <f t="shared" si="18"/>
        <v>0</v>
      </c>
      <c r="H501" s="150">
        <f t="shared" si="17"/>
        <v>7</v>
      </c>
    </row>
    <row r="502" spans="1:8" x14ac:dyDescent="0.25">
      <c r="A502" t="s">
        <v>1102</v>
      </c>
      <c r="F502">
        <v>1</v>
      </c>
      <c r="G502">
        <f t="shared" si="18"/>
        <v>0</v>
      </c>
      <c r="H502" s="150">
        <f t="shared" si="17"/>
        <v>7</v>
      </c>
    </row>
    <row r="503" spans="1:8" x14ac:dyDescent="0.25">
      <c r="A503" t="s">
        <v>316</v>
      </c>
      <c r="F503">
        <v>52</v>
      </c>
      <c r="G503">
        <f t="shared" si="18"/>
        <v>0</v>
      </c>
      <c r="H503" s="150">
        <f t="shared" si="17"/>
        <v>7</v>
      </c>
    </row>
    <row r="504" spans="1:8" x14ac:dyDescent="0.25">
      <c r="A504" t="s">
        <v>319</v>
      </c>
      <c r="F504">
        <v>37</v>
      </c>
      <c r="G504">
        <f t="shared" si="18"/>
        <v>0</v>
      </c>
      <c r="H504" s="150">
        <f t="shared" si="17"/>
        <v>7</v>
      </c>
    </row>
    <row r="505" spans="1:8" x14ac:dyDescent="0.25">
      <c r="A505" t="s">
        <v>321</v>
      </c>
      <c r="F505">
        <v>2</v>
      </c>
      <c r="G505">
        <f t="shared" si="18"/>
        <v>0</v>
      </c>
      <c r="H505" s="150">
        <f t="shared" si="17"/>
        <v>7</v>
      </c>
    </row>
    <row r="506" spans="1:8" x14ac:dyDescent="0.25">
      <c r="A506" t="s">
        <v>322</v>
      </c>
      <c r="F506">
        <v>39</v>
      </c>
      <c r="G506">
        <f t="shared" si="18"/>
        <v>0</v>
      </c>
      <c r="H506" s="150">
        <f t="shared" si="17"/>
        <v>7</v>
      </c>
    </row>
    <row r="507" spans="1:8" x14ac:dyDescent="0.25">
      <c r="A507" t="s">
        <v>694</v>
      </c>
      <c r="F507">
        <v>8</v>
      </c>
      <c r="G507">
        <f t="shared" si="18"/>
        <v>0</v>
      </c>
      <c r="H507" s="150">
        <f t="shared" si="17"/>
        <v>7</v>
      </c>
    </row>
    <row r="508" spans="1:8" x14ac:dyDescent="0.25">
      <c r="A508" t="s">
        <v>323</v>
      </c>
      <c r="F508">
        <v>53</v>
      </c>
      <c r="G508">
        <f t="shared" si="18"/>
        <v>0</v>
      </c>
      <c r="H508" s="150">
        <f t="shared" si="17"/>
        <v>7</v>
      </c>
    </row>
    <row r="509" spans="1:8" x14ac:dyDescent="0.25">
      <c r="A509" t="s">
        <v>324</v>
      </c>
      <c r="F509">
        <v>1</v>
      </c>
      <c r="G509">
        <f t="shared" si="18"/>
        <v>0</v>
      </c>
      <c r="H509" s="150">
        <f t="shared" si="17"/>
        <v>7</v>
      </c>
    </row>
    <row r="510" spans="1:8" x14ac:dyDescent="0.25">
      <c r="A510" t="s">
        <v>1103</v>
      </c>
      <c r="F510">
        <v>1</v>
      </c>
      <c r="G510">
        <f t="shared" si="18"/>
        <v>0</v>
      </c>
      <c r="H510" s="150">
        <f t="shared" si="17"/>
        <v>7</v>
      </c>
    </row>
    <row r="511" spans="1:8" x14ac:dyDescent="0.25">
      <c r="A511" t="s">
        <v>695</v>
      </c>
      <c r="F511">
        <v>3</v>
      </c>
      <c r="G511">
        <f t="shared" si="18"/>
        <v>0</v>
      </c>
      <c r="H511" s="150">
        <f t="shared" si="17"/>
        <v>7</v>
      </c>
    </row>
    <row r="512" spans="1:8" x14ac:dyDescent="0.25">
      <c r="A512" t="s">
        <v>697</v>
      </c>
      <c r="F512">
        <v>8</v>
      </c>
      <c r="G512">
        <f t="shared" si="18"/>
        <v>0</v>
      </c>
      <c r="H512" s="150">
        <f t="shared" si="17"/>
        <v>7</v>
      </c>
    </row>
    <row r="513" spans="1:8" x14ac:dyDescent="0.25">
      <c r="A513" t="s">
        <v>698</v>
      </c>
      <c r="F513">
        <v>2</v>
      </c>
      <c r="G513">
        <f t="shared" si="18"/>
        <v>0</v>
      </c>
      <c r="H513" s="150">
        <f t="shared" si="17"/>
        <v>7</v>
      </c>
    </row>
    <row r="514" spans="1:8" x14ac:dyDescent="0.25">
      <c r="A514" t="s">
        <v>1270</v>
      </c>
      <c r="G514">
        <v>0</v>
      </c>
      <c r="H514" s="150">
        <f t="shared" ref="H514" si="19">IF(G514&lt;=1,7,IF(AND(G514&gt;1,G514&lt;=3),5,IF(AND(G514&gt;3,G514&lt;=10),3,IF(G514&gt;10,1))))</f>
        <v>7</v>
      </c>
    </row>
  </sheetData>
  <autoFilter ref="A1:H171" xr:uid="{560548C7-8F42-435A-80FE-F3543A4425C8}"/>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F3F3A-CC44-418E-A7BE-C4AE59442B00}">
  <dimension ref="A1:DT1"/>
  <sheetViews>
    <sheetView workbookViewId="0">
      <selection activeCell="A3" sqref="A3"/>
    </sheetView>
  </sheetViews>
  <sheetFormatPr baseColWidth="10" defaultRowHeight="15" x14ac:dyDescent="0.25"/>
  <cols>
    <col min="49" max="49" width="14" customWidth="1"/>
    <col min="50" max="50" width="12.5703125" bestFit="1" customWidth="1"/>
  </cols>
  <sheetData>
    <row r="1" spans="1:124" s="33" customFormat="1" ht="91.5" customHeight="1" x14ac:dyDescent="0.25">
      <c r="A1" s="17" t="s">
        <v>917</v>
      </c>
      <c r="B1" s="17" t="s">
        <v>0</v>
      </c>
      <c r="C1" s="17" t="s">
        <v>448</v>
      </c>
      <c r="D1" s="17" t="s">
        <v>51</v>
      </c>
      <c r="E1" s="17" t="s">
        <v>15</v>
      </c>
      <c r="F1" s="17" t="s">
        <v>328</v>
      </c>
      <c r="G1" s="17" t="s">
        <v>370</v>
      </c>
      <c r="H1" s="10" t="s">
        <v>449</v>
      </c>
      <c r="I1" s="10" t="s">
        <v>450</v>
      </c>
      <c r="J1" s="10" t="s">
        <v>451</v>
      </c>
      <c r="K1" s="10" t="s">
        <v>452</v>
      </c>
      <c r="L1" s="17" t="s">
        <v>371</v>
      </c>
      <c r="M1" s="50" t="s">
        <v>372</v>
      </c>
      <c r="N1" s="17" t="s">
        <v>915</v>
      </c>
      <c r="O1" s="17" t="s">
        <v>916</v>
      </c>
      <c r="P1" s="17" t="s">
        <v>330</v>
      </c>
      <c r="Q1" s="17" t="s">
        <v>374</v>
      </c>
      <c r="R1" s="17" t="s">
        <v>1</v>
      </c>
      <c r="S1" s="17" t="s">
        <v>329</v>
      </c>
      <c r="T1" s="17" t="s">
        <v>375</v>
      </c>
      <c r="U1" s="17" t="s">
        <v>376</v>
      </c>
      <c r="V1" s="17" t="s">
        <v>338</v>
      </c>
      <c r="W1" s="17" t="s">
        <v>2</v>
      </c>
      <c r="X1" s="17" t="s">
        <v>377</v>
      </c>
      <c r="Y1" s="17" t="s">
        <v>378</v>
      </c>
      <c r="Z1" s="17" t="s">
        <v>379</v>
      </c>
      <c r="AA1" s="17" t="s">
        <v>3</v>
      </c>
      <c r="AB1" s="17" t="s">
        <v>331</v>
      </c>
      <c r="AC1" s="17" t="s">
        <v>380</v>
      </c>
      <c r="AD1" s="17" t="s">
        <v>332</v>
      </c>
      <c r="AE1" s="17" t="s">
        <v>333</v>
      </c>
      <c r="AF1" s="17" t="s">
        <v>16</v>
      </c>
      <c r="AG1" s="17" t="s">
        <v>381</v>
      </c>
      <c r="AH1" s="17" t="s">
        <v>334</v>
      </c>
      <c r="AI1" s="17" t="s">
        <v>335</v>
      </c>
      <c r="AJ1" s="18" t="s">
        <v>4</v>
      </c>
      <c r="AK1" s="9" t="s">
        <v>445</v>
      </c>
      <c r="AL1" s="9" t="s">
        <v>446</v>
      </c>
      <c r="AM1" s="15" t="s">
        <v>432</v>
      </c>
      <c r="AN1" s="15" t="s">
        <v>5</v>
      </c>
      <c r="AO1" s="51" t="s">
        <v>6</v>
      </c>
      <c r="AP1" s="15" t="s">
        <v>7</v>
      </c>
      <c r="AQ1" s="15" t="s">
        <v>8</v>
      </c>
      <c r="AR1" s="15" t="s">
        <v>9</v>
      </c>
      <c r="AS1" s="15" t="s">
        <v>10</v>
      </c>
      <c r="AT1" s="15" t="s">
        <v>341</v>
      </c>
      <c r="AU1" s="15" t="s">
        <v>434</v>
      </c>
      <c r="AV1" s="15" t="s">
        <v>11</v>
      </c>
      <c r="AW1" s="15" t="s">
        <v>12</v>
      </c>
      <c r="AX1" s="13" t="s">
        <v>13</v>
      </c>
      <c r="AY1" s="49" t="s">
        <v>42</v>
      </c>
      <c r="AZ1" s="13" t="s">
        <v>14</v>
      </c>
      <c r="BA1" s="13" t="s">
        <v>435</v>
      </c>
      <c r="BB1" s="13" t="s">
        <v>900</v>
      </c>
      <c r="BC1" s="13" t="s">
        <v>442</v>
      </c>
      <c r="BD1" s="13" t="s">
        <v>441</v>
      </c>
      <c r="BE1" s="13" t="s">
        <v>440</v>
      </c>
      <c r="BF1" s="13" t="s">
        <v>439</v>
      </c>
      <c r="BG1" s="13" t="s">
        <v>464</v>
      </c>
      <c r="BH1" s="13" t="s">
        <v>437</v>
      </c>
      <c r="BI1" s="13" t="s">
        <v>438</v>
      </c>
      <c r="BJ1" s="13" t="s">
        <v>908</v>
      </c>
      <c r="BK1" s="13" t="s">
        <v>436</v>
      </c>
      <c r="BL1" s="13" t="s">
        <v>443</v>
      </c>
      <c r="BM1" s="13" t="s">
        <v>444</v>
      </c>
      <c r="BN1" s="13" t="s">
        <v>465</v>
      </c>
      <c r="BO1" s="9" t="s">
        <v>340</v>
      </c>
      <c r="BP1" s="41" t="s">
        <v>79</v>
      </c>
      <c r="BQ1" s="32" t="s">
        <v>327</v>
      </c>
      <c r="BR1" s="21" t="s">
        <v>466</v>
      </c>
      <c r="BS1" s="21" t="s">
        <v>467</v>
      </c>
      <c r="BT1" s="19" t="s">
        <v>480</v>
      </c>
      <c r="BU1" s="19" t="s">
        <v>468</v>
      </c>
      <c r="BV1" s="19" t="s">
        <v>481</v>
      </c>
      <c r="BW1" s="19" t="s">
        <v>482</v>
      </c>
      <c r="BX1" s="19" t="s">
        <v>469</v>
      </c>
      <c r="BY1" s="19" t="s">
        <v>483</v>
      </c>
      <c r="BZ1" s="19" t="s">
        <v>484</v>
      </c>
      <c r="CA1" s="19" t="s">
        <v>485</v>
      </c>
      <c r="CB1" s="19" t="s">
        <v>486</v>
      </c>
      <c r="CC1" s="19" t="s">
        <v>487</v>
      </c>
      <c r="CD1" s="19" t="s">
        <v>470</v>
      </c>
      <c r="CE1" s="19" t="s">
        <v>488</v>
      </c>
      <c r="CF1" s="19" t="s">
        <v>489</v>
      </c>
      <c r="CG1" s="42" t="s">
        <v>490</v>
      </c>
      <c r="CH1" s="19" t="s">
        <v>894</v>
      </c>
      <c r="CI1" s="19" t="s">
        <v>899</v>
      </c>
      <c r="CJ1" s="19" t="s">
        <v>895</v>
      </c>
      <c r="CK1" s="19" t="s">
        <v>491</v>
      </c>
      <c r="CL1" s="19" t="s">
        <v>500</v>
      </c>
      <c r="CM1" s="19" t="s">
        <v>501</v>
      </c>
      <c r="CN1" s="19" t="s">
        <v>460</v>
      </c>
      <c r="CO1" s="19" t="s">
        <v>909</v>
      </c>
      <c r="CP1" s="19" t="s">
        <v>910</v>
      </c>
      <c r="CQ1" s="42" t="s">
        <v>912</v>
      </c>
      <c r="CR1" s="19" t="s">
        <v>699</v>
      </c>
      <c r="CS1" s="43" t="s">
        <v>911</v>
      </c>
      <c r="CT1" s="20" t="s">
        <v>461</v>
      </c>
      <c r="CU1" s="21" t="s">
        <v>492</v>
      </c>
      <c r="CV1" s="21" t="s">
        <v>493</v>
      </c>
      <c r="CW1" s="43" t="s">
        <v>471</v>
      </c>
      <c r="CX1" s="20" t="s">
        <v>472</v>
      </c>
      <c r="CY1" s="20" t="s">
        <v>473</v>
      </c>
      <c r="CZ1" s="48" t="s">
        <v>494</v>
      </c>
      <c r="DA1" s="22" t="s">
        <v>447</v>
      </c>
      <c r="DB1" s="47" t="s">
        <v>462</v>
      </c>
      <c r="DC1" s="22" t="s">
        <v>433</v>
      </c>
      <c r="DD1" s="20" t="s">
        <v>495</v>
      </c>
      <c r="DE1" s="22" t="s">
        <v>496</v>
      </c>
      <c r="DF1" s="20" t="s">
        <v>896</v>
      </c>
      <c r="DG1" s="22" t="s">
        <v>897</v>
      </c>
      <c r="DH1" s="22" t="s">
        <v>497</v>
      </c>
      <c r="DI1" s="22" t="s">
        <v>898</v>
      </c>
      <c r="DJ1" s="22" t="s">
        <v>474</v>
      </c>
      <c r="DK1" s="22" t="s">
        <v>498</v>
      </c>
      <c r="DL1" s="22" t="s">
        <v>499</v>
      </c>
      <c r="DM1" s="20" t="s">
        <v>904</v>
      </c>
      <c r="DN1" s="22" t="s">
        <v>475</v>
      </c>
      <c r="DO1" s="22" t="s">
        <v>476</v>
      </c>
      <c r="DP1" s="22" t="s">
        <v>901</v>
      </c>
      <c r="DQ1" s="22" t="s">
        <v>477</v>
      </c>
      <c r="DR1" s="22" t="s">
        <v>478</v>
      </c>
      <c r="DS1" s="22" t="s">
        <v>903</v>
      </c>
      <c r="DT1" s="36" t="s">
        <v>479</v>
      </c>
    </row>
  </sheetData>
  <autoFilter ref="A1:DT259" xr:uid="{ECBF3F3A-CC44-418E-A7BE-C4AE59442B00}"/>
  <conditionalFormatting sqref="BR2:BS260">
    <cfRule type="containsText" dxfId="4" priority="1" stopIfTrue="1" operator="containsText" text="Rechazado EV T">
      <formula>NOT(ISERROR(SEARCH("Rechazado EV T",BR2)))</formula>
    </cfRule>
  </conditionalFormatting>
  <conditionalFormatting sqref="BV2:CF259 BT2:BT260">
    <cfRule type="cellIs" dxfId="3" priority="3" operator="greaterThan">
      <formula>0</formula>
    </cfRule>
  </conditionalFormatting>
  <conditionalFormatting sqref="BV260:CF260">
    <cfRule type="cellIs" dxfId="2" priority="9" operator="greaterThan">
      <formula>0</formula>
    </cfRule>
  </conditionalFormatting>
  <conditionalFormatting sqref="BW2:BX260">
    <cfRule type="containsText" dxfId="1" priority="4" stopIfTrue="1" operator="containsText" text="Error">
      <formula>NOT(ISERROR(SEARCH("Error",BW2)))</formula>
    </cfRule>
  </conditionalFormatting>
  <conditionalFormatting sqref="CI2:CI260 CK2:CM260 CR2:CT260 CV2:DA260">
    <cfRule type="containsText" dxfId="0" priority="2" operator="containsText" text="ERROR NOTA">
      <formula>NOT(ISERROR(SEARCH("ERROR NOTA",CI2)))</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E6D4B-C74B-41EA-BC73-A0A368719763}">
  <dimension ref="A3:F119"/>
  <sheetViews>
    <sheetView workbookViewId="0">
      <selection activeCell="B5" sqref="B5"/>
    </sheetView>
  </sheetViews>
  <sheetFormatPr baseColWidth="10" defaultRowHeight="15" x14ac:dyDescent="0.25"/>
  <cols>
    <col min="1" max="1" width="16.5703125" bestFit="1" customWidth="1"/>
    <col min="2" max="2" width="45.42578125" bestFit="1" customWidth="1"/>
    <col min="3" max="3" width="23.7109375" bestFit="1" customWidth="1"/>
    <col min="5" max="5" width="13" bestFit="1" customWidth="1"/>
  </cols>
  <sheetData>
    <row r="3" spans="1:3" x14ac:dyDescent="0.25">
      <c r="A3" s="39" t="s">
        <v>43</v>
      </c>
      <c r="B3" t="s">
        <v>922</v>
      </c>
      <c r="C3" t="s">
        <v>906</v>
      </c>
    </row>
    <row r="4" spans="1:3" x14ac:dyDescent="0.25">
      <c r="A4" s="37" t="s">
        <v>905</v>
      </c>
    </row>
    <row r="5" spans="1:3" x14ac:dyDescent="0.25">
      <c r="A5" s="37" t="s">
        <v>44</v>
      </c>
    </row>
    <row r="61" spans="5:5" x14ac:dyDescent="0.25">
      <c r="E61" s="40">
        <f>GETPIVOTDATA("Suma de TOTAL DEL CURSO",$A$3)*10%</f>
        <v>0</v>
      </c>
    </row>
    <row r="118" spans="1:6" x14ac:dyDescent="0.25">
      <c r="C118" s="56"/>
      <c r="E118" s="56">
        <f>C118*10%</f>
        <v>0</v>
      </c>
      <c r="F118" s="57">
        <v>0.1</v>
      </c>
    </row>
    <row r="119" spans="1:6" x14ac:dyDescent="0.25">
      <c r="A119" t="s">
        <v>44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109AA-CFFD-4CBC-BA34-BD767DBBCAEE}">
  <dimension ref="E11:H14"/>
  <sheetViews>
    <sheetView topLeftCell="A4" workbookViewId="0">
      <selection activeCell="F17" sqref="F17"/>
    </sheetView>
  </sheetViews>
  <sheetFormatPr baseColWidth="10" defaultRowHeight="15" x14ac:dyDescent="0.25"/>
  <cols>
    <col min="1" max="1" width="17.5703125" bestFit="1" customWidth="1"/>
    <col min="2" max="2" width="25" bestFit="1" customWidth="1"/>
    <col min="3" max="3" width="21" customWidth="1"/>
    <col min="6" max="6" width="22.5703125" customWidth="1"/>
    <col min="7" max="7" width="19.85546875" customWidth="1"/>
    <col min="9" max="9" width="11.42578125" customWidth="1"/>
    <col min="13" max="13" width="11.42578125" customWidth="1"/>
  </cols>
  <sheetData>
    <row r="11" spans="5:8" x14ac:dyDescent="0.25">
      <c r="G11" s="2" t="s">
        <v>366</v>
      </c>
    </row>
    <row r="12" spans="5:8" x14ac:dyDescent="0.25">
      <c r="F12" s="3">
        <f>(5000000000-G12)/4900000000</f>
        <v>1.0204081632653061</v>
      </c>
      <c r="G12" s="4"/>
      <c r="H12" t="s">
        <v>907</v>
      </c>
    </row>
    <row r="13" spans="5:8" x14ac:dyDescent="0.25">
      <c r="E13" s="2" t="s">
        <v>367</v>
      </c>
      <c r="F13" s="5">
        <f>0.9*F12*F12*F12*F12+0.1</f>
        <v>1.0757492062605458</v>
      </c>
    </row>
    <row r="14" spans="5:8" x14ac:dyDescent="0.25">
      <c r="E14" s="2" t="s">
        <v>368</v>
      </c>
      <c r="F14" s="4">
        <f>F13*G12</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249977111117893"/>
  </sheetPr>
  <dimension ref="B2:F103"/>
  <sheetViews>
    <sheetView topLeftCell="A94" workbookViewId="0">
      <selection activeCell="C4" sqref="C4:F103"/>
    </sheetView>
  </sheetViews>
  <sheetFormatPr baseColWidth="10" defaultRowHeight="15" x14ac:dyDescent="0.25"/>
  <cols>
    <col min="2" max="2" width="4.28515625" customWidth="1"/>
    <col min="3" max="3" width="24" customWidth="1"/>
    <col min="4" max="4" width="14.28515625" customWidth="1"/>
    <col min="5" max="5" width="16.7109375" customWidth="1"/>
    <col min="6" max="6" width="17.85546875" style="67" customWidth="1"/>
  </cols>
  <sheetData>
    <row r="2" spans="2:6" ht="15.75" thickBot="1" x14ac:dyDescent="0.3">
      <c r="B2" s="212" t="s">
        <v>74</v>
      </c>
      <c r="C2" s="213"/>
      <c r="D2" s="214"/>
      <c r="E2" s="212" t="s">
        <v>75</v>
      </c>
      <c r="F2" s="214"/>
    </row>
    <row r="3" spans="2:6" ht="15.75" thickBot="1" x14ac:dyDescent="0.3">
      <c r="B3" s="70" t="s">
        <v>45</v>
      </c>
      <c r="C3" s="70" t="s">
        <v>72</v>
      </c>
      <c r="D3" s="70" t="s">
        <v>73</v>
      </c>
      <c r="E3" s="70" t="s">
        <v>76</v>
      </c>
      <c r="F3" s="71" t="s">
        <v>77</v>
      </c>
    </row>
    <row r="4" spans="2:6" ht="35.1" customHeight="1" thickBot="1" x14ac:dyDescent="0.3">
      <c r="B4" s="1">
        <v>1</v>
      </c>
      <c r="C4" s="52" t="s">
        <v>1203</v>
      </c>
      <c r="D4" s="53" t="s">
        <v>134</v>
      </c>
      <c r="E4" s="44">
        <v>3</v>
      </c>
      <c r="F4" s="64">
        <v>36640272</v>
      </c>
    </row>
    <row r="5" spans="2:6" ht="35.1" customHeight="1" thickBot="1" x14ac:dyDescent="0.3">
      <c r="B5" s="1">
        <v>2</v>
      </c>
      <c r="C5" s="54" t="s">
        <v>1204</v>
      </c>
      <c r="D5" s="55" t="s">
        <v>306</v>
      </c>
      <c r="E5" s="44">
        <v>3</v>
      </c>
      <c r="F5" s="65">
        <v>37077920</v>
      </c>
    </row>
    <row r="6" spans="2:6" ht="35.1" customHeight="1" thickBot="1" x14ac:dyDescent="0.3">
      <c r="B6" s="1">
        <v>3</v>
      </c>
      <c r="C6" s="54" t="s">
        <v>1205</v>
      </c>
      <c r="D6" s="55" t="s">
        <v>1206</v>
      </c>
      <c r="E6" s="44">
        <v>13</v>
      </c>
      <c r="F6" s="65">
        <v>119973620</v>
      </c>
    </row>
    <row r="7" spans="2:6" ht="35.1" customHeight="1" thickBot="1" x14ac:dyDescent="0.3">
      <c r="B7" s="1">
        <v>4</v>
      </c>
      <c r="C7" s="54" t="s">
        <v>1207</v>
      </c>
      <c r="D7" s="55" t="s">
        <v>1208</v>
      </c>
      <c r="E7" s="44">
        <v>7</v>
      </c>
      <c r="F7" s="65">
        <v>85257708</v>
      </c>
    </row>
    <row r="8" spans="2:6" ht="35.1" customHeight="1" thickBot="1" x14ac:dyDescent="0.3">
      <c r="B8" s="1">
        <v>5</v>
      </c>
      <c r="C8" s="54" t="s">
        <v>1209</v>
      </c>
      <c r="D8" s="55" t="s">
        <v>1210</v>
      </c>
      <c r="E8" s="44">
        <v>4</v>
      </c>
      <c r="F8" s="65">
        <v>22113400</v>
      </c>
    </row>
    <row r="9" spans="2:6" ht="35.1" customHeight="1" thickBot="1" x14ac:dyDescent="0.3">
      <c r="B9" s="1">
        <v>6</v>
      </c>
      <c r="C9" s="54" t="s">
        <v>1211</v>
      </c>
      <c r="D9" s="55" t="s">
        <v>209</v>
      </c>
      <c r="E9" s="44">
        <v>1</v>
      </c>
      <c r="F9" s="65">
        <v>9847600</v>
      </c>
    </row>
    <row r="10" spans="2:6" ht="35.1" customHeight="1" thickBot="1" x14ac:dyDescent="0.3">
      <c r="B10" s="1">
        <v>7</v>
      </c>
      <c r="C10" s="54" t="s">
        <v>1212</v>
      </c>
      <c r="D10" s="55" t="s">
        <v>601</v>
      </c>
      <c r="E10" s="44">
        <v>16</v>
      </c>
      <c r="F10" s="65">
        <v>163150000</v>
      </c>
    </row>
    <row r="11" spans="2:6" ht="35.1" customHeight="1" thickBot="1" x14ac:dyDescent="0.3">
      <c r="B11" s="1">
        <v>8</v>
      </c>
      <c r="C11" s="54" t="s">
        <v>1213</v>
      </c>
      <c r="D11" s="55" t="s">
        <v>138</v>
      </c>
      <c r="E11" s="44">
        <v>2</v>
      </c>
      <c r="F11" s="65">
        <v>21855000</v>
      </c>
    </row>
    <row r="12" spans="2:6" ht="35.1" customHeight="1" thickBot="1" x14ac:dyDescent="0.3">
      <c r="B12" s="1">
        <v>9</v>
      </c>
      <c r="C12" s="54" t="s">
        <v>1214</v>
      </c>
      <c r="D12" s="55" t="s">
        <v>265</v>
      </c>
      <c r="E12" s="44">
        <v>5</v>
      </c>
      <c r="F12" s="65">
        <v>107241850</v>
      </c>
    </row>
    <row r="13" spans="2:6" ht="35.1" customHeight="1" thickBot="1" x14ac:dyDescent="0.3">
      <c r="B13" s="1">
        <v>10</v>
      </c>
      <c r="C13" s="54" t="s">
        <v>1215</v>
      </c>
      <c r="D13" s="55" t="s">
        <v>1216</v>
      </c>
      <c r="E13" s="44">
        <v>9</v>
      </c>
      <c r="F13" s="65">
        <v>100587000</v>
      </c>
    </row>
    <row r="14" spans="2:6" ht="35.1" customHeight="1" thickBot="1" x14ac:dyDescent="0.3">
      <c r="B14" s="1">
        <v>11</v>
      </c>
      <c r="C14" s="54" t="s">
        <v>1217</v>
      </c>
      <c r="D14" s="55" t="s">
        <v>1218</v>
      </c>
      <c r="E14" s="44">
        <v>6</v>
      </c>
      <c r="F14" s="65">
        <v>65233708</v>
      </c>
    </row>
    <row r="15" spans="2:6" ht="35.1" customHeight="1" thickBot="1" x14ac:dyDescent="0.3">
      <c r="B15" s="1">
        <v>12</v>
      </c>
      <c r="C15" s="54" t="s">
        <v>1219</v>
      </c>
      <c r="D15" s="55" t="s">
        <v>248</v>
      </c>
      <c r="E15" s="44">
        <v>9</v>
      </c>
      <c r="F15" s="65">
        <v>142935020</v>
      </c>
    </row>
    <row r="16" spans="2:6" ht="35.1" customHeight="1" thickBot="1" x14ac:dyDescent="0.3">
      <c r="B16" s="1">
        <v>13</v>
      </c>
      <c r="C16" s="54" t="s">
        <v>1220</v>
      </c>
      <c r="D16" s="55" t="s">
        <v>344</v>
      </c>
      <c r="E16" s="44">
        <v>2</v>
      </c>
      <c r="F16" s="65">
        <v>9015000</v>
      </c>
    </row>
    <row r="17" spans="2:6" ht="35.1" customHeight="1" thickBot="1" x14ac:dyDescent="0.3">
      <c r="B17" s="1">
        <v>14</v>
      </c>
      <c r="C17" s="54" t="s">
        <v>1221</v>
      </c>
      <c r="D17" s="55" t="s">
        <v>1222</v>
      </c>
      <c r="E17" s="44">
        <v>1</v>
      </c>
      <c r="F17" s="65">
        <v>13940000</v>
      </c>
    </row>
    <row r="18" spans="2:6" ht="35.1" customHeight="1" thickBot="1" x14ac:dyDescent="0.3">
      <c r="B18" s="1">
        <v>15</v>
      </c>
      <c r="C18" s="54" t="s">
        <v>1223</v>
      </c>
      <c r="D18" s="55" t="s">
        <v>1224</v>
      </c>
      <c r="E18" s="44">
        <v>16</v>
      </c>
      <c r="F18" s="65">
        <v>144681450</v>
      </c>
    </row>
    <row r="19" spans="2:6" ht="35.1" customHeight="1" thickBot="1" x14ac:dyDescent="0.3">
      <c r="B19" s="1">
        <v>16</v>
      </c>
      <c r="C19" s="54" t="s">
        <v>1225</v>
      </c>
      <c r="D19" s="55" t="s">
        <v>356</v>
      </c>
      <c r="E19" s="44">
        <v>6</v>
      </c>
      <c r="F19" s="65">
        <v>97033195</v>
      </c>
    </row>
    <row r="20" spans="2:6" ht="35.1" customHeight="1" thickBot="1" x14ac:dyDescent="0.3">
      <c r="B20" s="1">
        <v>17</v>
      </c>
      <c r="C20" s="54" t="s">
        <v>1226</v>
      </c>
      <c r="D20" s="55" t="s">
        <v>260</v>
      </c>
      <c r="E20" s="44">
        <v>7</v>
      </c>
      <c r="F20" s="65">
        <v>101871240</v>
      </c>
    </row>
    <row r="21" spans="2:6" ht="35.1" customHeight="1" thickBot="1" x14ac:dyDescent="0.3">
      <c r="B21" s="1">
        <v>18</v>
      </c>
      <c r="C21" s="54" t="s">
        <v>1227</v>
      </c>
      <c r="D21" s="55" t="s">
        <v>1228</v>
      </c>
      <c r="E21" s="44">
        <v>11</v>
      </c>
      <c r="F21" s="65">
        <v>109514000</v>
      </c>
    </row>
    <row r="22" spans="2:6" ht="35.1" customHeight="1" thickBot="1" x14ac:dyDescent="0.3">
      <c r="B22" s="1">
        <v>19</v>
      </c>
      <c r="C22" s="54" t="s">
        <v>1229</v>
      </c>
      <c r="D22" s="55" t="s">
        <v>1230</v>
      </c>
      <c r="E22" s="44">
        <v>9</v>
      </c>
      <c r="F22" s="65">
        <v>77527544</v>
      </c>
    </row>
    <row r="23" spans="2:6" ht="35.1" customHeight="1" thickBot="1" x14ac:dyDescent="0.3">
      <c r="B23" s="1">
        <v>20</v>
      </c>
      <c r="C23" s="54" t="s">
        <v>1231</v>
      </c>
      <c r="D23" s="55" t="s">
        <v>167</v>
      </c>
      <c r="E23" s="44">
        <v>2</v>
      </c>
      <c r="F23" s="65">
        <v>32650000</v>
      </c>
    </row>
    <row r="24" spans="2:6" ht="35.1" customHeight="1" thickBot="1" x14ac:dyDescent="0.3">
      <c r="B24" s="1">
        <v>21</v>
      </c>
      <c r="C24" s="54" t="s">
        <v>1232</v>
      </c>
      <c r="D24" s="55" t="s">
        <v>1233</v>
      </c>
      <c r="E24" s="44">
        <v>16</v>
      </c>
      <c r="F24" s="65">
        <v>276467980</v>
      </c>
    </row>
    <row r="25" spans="2:6" ht="35.1" customHeight="1" thickBot="1" x14ac:dyDescent="0.3">
      <c r="B25" s="1">
        <v>22</v>
      </c>
      <c r="C25" s="54" t="s">
        <v>1234</v>
      </c>
      <c r="D25" s="55" t="s">
        <v>241</v>
      </c>
      <c r="E25" s="44">
        <v>7</v>
      </c>
      <c r="F25" s="65">
        <v>140410050</v>
      </c>
    </row>
    <row r="26" spans="2:6" ht="35.1" customHeight="1" thickBot="1" x14ac:dyDescent="0.3">
      <c r="B26" s="1">
        <v>23</v>
      </c>
      <c r="C26" s="54" t="s">
        <v>1235</v>
      </c>
      <c r="D26" s="55" t="s">
        <v>914</v>
      </c>
      <c r="E26" s="44">
        <v>11</v>
      </c>
      <c r="F26" s="65">
        <v>219614380</v>
      </c>
    </row>
    <row r="27" spans="2:6" ht="35.1" customHeight="1" thickBot="1" x14ac:dyDescent="0.3">
      <c r="B27" s="1">
        <v>24</v>
      </c>
      <c r="C27" s="54" t="s">
        <v>1236</v>
      </c>
      <c r="D27" s="55" t="s">
        <v>175</v>
      </c>
      <c r="E27" s="44">
        <v>15</v>
      </c>
      <c r="F27" s="65">
        <v>228469250</v>
      </c>
    </row>
    <row r="28" spans="2:6" ht="35.1" customHeight="1" thickBot="1" x14ac:dyDescent="0.3">
      <c r="B28" s="1">
        <v>25</v>
      </c>
      <c r="C28" s="54" t="s">
        <v>1237</v>
      </c>
      <c r="D28" s="55" t="s">
        <v>1238</v>
      </c>
      <c r="E28" s="44">
        <v>3</v>
      </c>
      <c r="F28" s="65">
        <v>26209200</v>
      </c>
    </row>
    <row r="29" spans="2:6" ht="35.1" customHeight="1" thickBot="1" x14ac:dyDescent="0.3">
      <c r="B29" s="1">
        <v>26</v>
      </c>
      <c r="C29" s="54" t="s">
        <v>1239</v>
      </c>
      <c r="D29" s="55" t="s">
        <v>1240</v>
      </c>
      <c r="E29" s="44">
        <v>8</v>
      </c>
      <c r="F29" s="65">
        <v>53974320</v>
      </c>
    </row>
    <row r="30" spans="2:6" ht="35.1" customHeight="1" thickBot="1" x14ac:dyDescent="0.3">
      <c r="B30" s="1">
        <v>27</v>
      </c>
      <c r="C30" s="54" t="s">
        <v>1241</v>
      </c>
      <c r="D30" s="55" t="s">
        <v>250</v>
      </c>
      <c r="E30" s="44">
        <v>7</v>
      </c>
      <c r="F30" s="65">
        <v>33456500</v>
      </c>
    </row>
    <row r="31" spans="2:6" ht="35.1" customHeight="1" thickBot="1" x14ac:dyDescent="0.3">
      <c r="B31" s="1">
        <v>28</v>
      </c>
      <c r="C31" s="54" t="s">
        <v>1242</v>
      </c>
      <c r="D31" s="55" t="s">
        <v>163</v>
      </c>
      <c r="E31" s="44">
        <v>13</v>
      </c>
      <c r="F31" s="65">
        <v>215370070</v>
      </c>
    </row>
    <row r="32" spans="2:6" ht="35.1" customHeight="1" thickBot="1" x14ac:dyDescent="0.3">
      <c r="B32" s="1">
        <v>29</v>
      </c>
      <c r="C32" s="54" t="s">
        <v>1243</v>
      </c>
      <c r="D32" s="55" t="s">
        <v>1244</v>
      </c>
      <c r="E32" s="44">
        <v>8</v>
      </c>
      <c r="F32" s="65">
        <v>58567628</v>
      </c>
    </row>
    <row r="33" spans="2:6" ht="35.1" customHeight="1" thickBot="1" x14ac:dyDescent="0.3">
      <c r="B33" s="1">
        <v>30</v>
      </c>
      <c r="C33" s="54" t="s">
        <v>1245</v>
      </c>
      <c r="D33" s="55" t="s">
        <v>1246</v>
      </c>
      <c r="E33" s="44">
        <v>7</v>
      </c>
      <c r="F33" s="65">
        <v>114465660</v>
      </c>
    </row>
    <row r="34" spans="2:6" ht="35.1" customHeight="1" thickBot="1" x14ac:dyDescent="0.3">
      <c r="B34" s="1">
        <v>31</v>
      </c>
      <c r="C34" s="54" t="s">
        <v>1247</v>
      </c>
      <c r="D34" s="55" t="s">
        <v>1248</v>
      </c>
      <c r="E34" s="44">
        <v>5</v>
      </c>
      <c r="F34" s="65">
        <v>46106720</v>
      </c>
    </row>
    <row r="35" spans="2:6" ht="35.1" customHeight="1" thickBot="1" x14ac:dyDescent="0.3">
      <c r="B35" s="1">
        <v>32</v>
      </c>
      <c r="C35" s="54" t="s">
        <v>1249</v>
      </c>
      <c r="D35" s="55" t="s">
        <v>1250</v>
      </c>
      <c r="E35" s="44">
        <v>3</v>
      </c>
      <c r="F35" s="65">
        <v>4191600</v>
      </c>
    </row>
    <row r="36" spans="2:6" ht="35.1" customHeight="1" thickBot="1" x14ac:dyDescent="0.3">
      <c r="B36" s="1">
        <v>33</v>
      </c>
      <c r="C36" s="54" t="s">
        <v>1251</v>
      </c>
      <c r="D36" s="55" t="s">
        <v>320</v>
      </c>
      <c r="E36" s="44">
        <v>1</v>
      </c>
      <c r="F36" s="65">
        <v>26449900</v>
      </c>
    </row>
    <row r="37" spans="2:6" ht="35.1" customHeight="1" thickBot="1" x14ac:dyDescent="0.3">
      <c r="B37" s="1">
        <v>34</v>
      </c>
      <c r="C37" s="54" t="s">
        <v>1252</v>
      </c>
      <c r="D37" s="55" t="s">
        <v>1253</v>
      </c>
      <c r="E37" s="44">
        <v>19</v>
      </c>
      <c r="F37" s="65">
        <v>216861530</v>
      </c>
    </row>
    <row r="38" spans="2:6" ht="35.1" customHeight="1" thickBot="1" x14ac:dyDescent="0.3">
      <c r="B38" s="1">
        <v>35</v>
      </c>
      <c r="C38" s="54" t="s">
        <v>1254</v>
      </c>
      <c r="D38" s="55" t="s">
        <v>153</v>
      </c>
      <c r="E38" s="44">
        <v>9</v>
      </c>
      <c r="F38" s="65">
        <v>67012740</v>
      </c>
    </row>
    <row r="39" spans="2:6" ht="35.1" customHeight="1" thickBot="1" x14ac:dyDescent="0.3">
      <c r="B39" s="1">
        <v>36</v>
      </c>
      <c r="C39" s="54" t="s">
        <v>1255</v>
      </c>
      <c r="D39" s="55" t="s">
        <v>257</v>
      </c>
      <c r="E39" s="44">
        <v>7</v>
      </c>
      <c r="F39" s="65">
        <v>131975200</v>
      </c>
    </row>
    <row r="40" spans="2:6" ht="35.1" customHeight="1" thickBot="1" x14ac:dyDescent="0.3">
      <c r="B40" s="1">
        <v>37</v>
      </c>
      <c r="C40" s="54" t="s">
        <v>1256</v>
      </c>
      <c r="D40" s="55" t="s">
        <v>1257</v>
      </c>
      <c r="E40" s="44">
        <v>1</v>
      </c>
      <c r="F40" s="65">
        <v>13985400</v>
      </c>
    </row>
    <row r="41" spans="2:6" ht="35.1" customHeight="1" thickBot="1" x14ac:dyDescent="0.3">
      <c r="B41" s="1">
        <v>38</v>
      </c>
      <c r="C41" s="54" t="s">
        <v>1258</v>
      </c>
      <c r="D41" s="55" t="s">
        <v>1259</v>
      </c>
      <c r="E41" s="44">
        <v>15</v>
      </c>
      <c r="F41" s="65">
        <v>146703748</v>
      </c>
    </row>
    <row r="42" spans="2:6" ht="35.1" customHeight="1" thickBot="1" x14ac:dyDescent="0.3">
      <c r="B42" s="1">
        <v>39</v>
      </c>
      <c r="C42" s="54" t="s">
        <v>1260</v>
      </c>
      <c r="D42" s="55" t="s">
        <v>1261</v>
      </c>
      <c r="E42" s="44">
        <v>8</v>
      </c>
      <c r="F42" s="65">
        <v>31625000</v>
      </c>
    </row>
    <row r="43" spans="2:6" ht="35.1" customHeight="1" thickBot="1" x14ac:dyDescent="0.3">
      <c r="B43" s="1">
        <v>40</v>
      </c>
      <c r="C43" s="54" t="s">
        <v>1262</v>
      </c>
      <c r="D43" s="55" t="s">
        <v>160</v>
      </c>
      <c r="E43" s="44">
        <v>9</v>
      </c>
      <c r="F43" s="65">
        <v>84081540</v>
      </c>
    </row>
    <row r="44" spans="2:6" ht="35.1" customHeight="1" thickBot="1" x14ac:dyDescent="0.3">
      <c r="B44" s="1">
        <v>41</v>
      </c>
      <c r="C44" s="54" t="s">
        <v>1263</v>
      </c>
      <c r="D44" s="55" t="s">
        <v>1264</v>
      </c>
      <c r="E44" s="44">
        <v>4</v>
      </c>
      <c r="F44" s="65">
        <v>9367600</v>
      </c>
    </row>
    <row r="45" spans="2:6" ht="35.1" customHeight="1" thickBot="1" x14ac:dyDescent="0.3">
      <c r="B45" s="1">
        <v>42</v>
      </c>
      <c r="C45" s="54" t="s">
        <v>1265</v>
      </c>
      <c r="D45" s="55" t="s">
        <v>1146</v>
      </c>
      <c r="E45" s="44">
        <v>2</v>
      </c>
      <c r="F45" s="65">
        <v>14461240</v>
      </c>
    </row>
    <row r="46" spans="2:6" ht="35.1" customHeight="1" thickBot="1" x14ac:dyDescent="0.3">
      <c r="B46" s="1">
        <v>43</v>
      </c>
      <c r="C46" s="54" t="s">
        <v>1266</v>
      </c>
      <c r="D46" s="55" t="s">
        <v>151</v>
      </c>
      <c r="E46" s="44">
        <v>16</v>
      </c>
      <c r="F46" s="65">
        <v>155056935</v>
      </c>
    </row>
    <row r="47" spans="2:6" ht="35.1" customHeight="1" thickBot="1" x14ac:dyDescent="0.3">
      <c r="B47" s="1">
        <v>44</v>
      </c>
      <c r="C47" s="54" t="s">
        <v>1267</v>
      </c>
      <c r="D47" s="55" t="s">
        <v>360</v>
      </c>
      <c r="E47" s="44">
        <v>8</v>
      </c>
      <c r="F47" s="65">
        <v>83099108</v>
      </c>
    </row>
    <row r="48" spans="2:6" ht="35.1" customHeight="1" thickBot="1" x14ac:dyDescent="0.3">
      <c r="B48" s="1">
        <v>45</v>
      </c>
      <c r="C48" s="54" t="s">
        <v>1268</v>
      </c>
      <c r="D48" s="55" t="s">
        <v>240</v>
      </c>
      <c r="E48" s="44">
        <v>17</v>
      </c>
      <c r="F48" s="65">
        <v>365312645</v>
      </c>
    </row>
    <row r="49" spans="2:6" ht="35.1" customHeight="1" thickBot="1" x14ac:dyDescent="0.3">
      <c r="B49" s="1">
        <v>46</v>
      </c>
      <c r="C49" s="54" t="s">
        <v>1269</v>
      </c>
      <c r="D49" s="55" t="s">
        <v>1270</v>
      </c>
      <c r="E49" s="44">
        <v>4</v>
      </c>
      <c r="F49" s="65">
        <v>142177280</v>
      </c>
    </row>
    <row r="50" spans="2:6" ht="35.1" customHeight="1" thickBot="1" x14ac:dyDescent="0.3">
      <c r="B50" s="1">
        <v>47</v>
      </c>
      <c r="C50" s="54" t="s">
        <v>1271</v>
      </c>
      <c r="D50" s="55" t="s">
        <v>592</v>
      </c>
      <c r="E50" s="44">
        <v>4</v>
      </c>
      <c r="F50" s="65">
        <v>38730000</v>
      </c>
    </row>
    <row r="51" spans="2:6" ht="35.1" customHeight="1" thickBot="1" x14ac:dyDescent="0.3">
      <c r="B51" s="1">
        <v>48</v>
      </c>
      <c r="C51" s="54" t="s">
        <v>1272</v>
      </c>
      <c r="D51" s="55" t="s">
        <v>1273</v>
      </c>
      <c r="E51" s="44">
        <v>1</v>
      </c>
      <c r="F51" s="65">
        <v>14921602</v>
      </c>
    </row>
    <row r="52" spans="2:6" ht="35.1" customHeight="1" thickBot="1" x14ac:dyDescent="0.3">
      <c r="B52" s="1">
        <v>49</v>
      </c>
      <c r="C52" s="54" t="s">
        <v>1274</v>
      </c>
      <c r="D52" s="55" t="s">
        <v>1275</v>
      </c>
      <c r="E52" s="44">
        <v>3</v>
      </c>
      <c r="F52" s="65">
        <v>23923650</v>
      </c>
    </row>
    <row r="53" spans="2:6" ht="35.1" customHeight="1" thickBot="1" x14ac:dyDescent="0.3">
      <c r="B53" s="1">
        <v>50</v>
      </c>
      <c r="C53" s="54" t="s">
        <v>1276</v>
      </c>
      <c r="D53" s="55" t="s">
        <v>276</v>
      </c>
      <c r="E53" s="44">
        <v>9</v>
      </c>
      <c r="F53" s="65">
        <v>119888845</v>
      </c>
    </row>
    <row r="54" spans="2:6" ht="35.1" customHeight="1" thickBot="1" x14ac:dyDescent="0.3">
      <c r="B54" s="1">
        <v>51</v>
      </c>
      <c r="C54" s="54" t="s">
        <v>1277</v>
      </c>
      <c r="D54" s="55" t="s">
        <v>546</v>
      </c>
      <c r="E54" s="44">
        <v>39</v>
      </c>
      <c r="F54" s="65">
        <v>421446578</v>
      </c>
    </row>
    <row r="55" spans="2:6" ht="35.1" customHeight="1" thickBot="1" x14ac:dyDescent="0.3">
      <c r="B55" s="1">
        <v>52</v>
      </c>
      <c r="C55" s="54" t="s">
        <v>1278</v>
      </c>
      <c r="D55" s="55" t="s">
        <v>1279</v>
      </c>
      <c r="E55" s="44">
        <v>1</v>
      </c>
      <c r="F55" s="65">
        <v>7640600</v>
      </c>
    </row>
    <row r="56" spans="2:6" ht="35.1" customHeight="1" thickBot="1" x14ac:dyDescent="0.3">
      <c r="B56" s="1">
        <v>53</v>
      </c>
      <c r="C56" s="54" t="s">
        <v>1280</v>
      </c>
      <c r="D56" s="55" t="s">
        <v>313</v>
      </c>
      <c r="E56" s="44">
        <v>2</v>
      </c>
      <c r="F56" s="65">
        <v>18688000</v>
      </c>
    </row>
    <row r="57" spans="2:6" ht="35.1" customHeight="1" thickBot="1" x14ac:dyDescent="0.3">
      <c r="B57" s="1">
        <v>54</v>
      </c>
      <c r="C57" s="54" t="s">
        <v>1281</v>
      </c>
      <c r="D57" s="55" t="s">
        <v>1282</v>
      </c>
      <c r="E57" s="44">
        <v>13</v>
      </c>
      <c r="F57" s="65">
        <v>224971320</v>
      </c>
    </row>
    <row r="58" spans="2:6" ht="35.1" customHeight="1" thickBot="1" x14ac:dyDescent="0.3">
      <c r="B58" s="1">
        <v>55</v>
      </c>
      <c r="C58" s="54" t="s">
        <v>1283</v>
      </c>
      <c r="D58" s="55" t="s">
        <v>200</v>
      </c>
      <c r="E58" s="44">
        <v>5</v>
      </c>
      <c r="F58" s="65">
        <v>65438850</v>
      </c>
    </row>
    <row r="59" spans="2:6" ht="35.1" customHeight="1" thickBot="1" x14ac:dyDescent="0.3">
      <c r="B59" s="1">
        <v>56</v>
      </c>
      <c r="C59" s="54" t="s">
        <v>1284</v>
      </c>
      <c r="D59" s="55" t="s">
        <v>222</v>
      </c>
      <c r="E59" s="44">
        <v>5</v>
      </c>
      <c r="F59" s="65">
        <v>76269160</v>
      </c>
    </row>
    <row r="60" spans="2:6" ht="35.1" customHeight="1" thickBot="1" x14ac:dyDescent="0.3">
      <c r="B60" s="1">
        <v>57</v>
      </c>
      <c r="C60" s="54" t="s">
        <v>1285</v>
      </c>
      <c r="D60" s="55" t="s">
        <v>1015</v>
      </c>
      <c r="E60" s="44">
        <v>5</v>
      </c>
      <c r="F60" s="65">
        <v>45094800</v>
      </c>
    </row>
    <row r="61" spans="2:6" ht="35.1" customHeight="1" thickBot="1" x14ac:dyDescent="0.3">
      <c r="B61" s="1">
        <v>58</v>
      </c>
      <c r="C61" s="54" t="s">
        <v>1286</v>
      </c>
      <c r="D61" s="55" t="s">
        <v>289</v>
      </c>
      <c r="E61" s="44">
        <v>7</v>
      </c>
      <c r="F61" s="65">
        <v>100097035</v>
      </c>
    </row>
    <row r="62" spans="2:6" ht="35.1" customHeight="1" thickBot="1" x14ac:dyDescent="0.3">
      <c r="B62" s="1">
        <v>59</v>
      </c>
      <c r="C62" s="54" t="s">
        <v>1287</v>
      </c>
      <c r="D62" s="55" t="s">
        <v>217</v>
      </c>
      <c r="E62" s="44">
        <v>9</v>
      </c>
      <c r="F62" s="65">
        <v>71461935</v>
      </c>
    </row>
    <row r="63" spans="2:6" ht="35.1" customHeight="1" thickBot="1" x14ac:dyDescent="0.3">
      <c r="B63" s="1">
        <v>60</v>
      </c>
      <c r="C63" s="54" t="s">
        <v>1288</v>
      </c>
      <c r="D63" s="55" t="s">
        <v>354</v>
      </c>
      <c r="E63" s="44">
        <v>6</v>
      </c>
      <c r="F63" s="65">
        <v>97911050</v>
      </c>
    </row>
    <row r="64" spans="2:6" ht="35.1" customHeight="1" thickBot="1" x14ac:dyDescent="0.3">
      <c r="B64" s="1">
        <v>61</v>
      </c>
      <c r="C64" s="54" t="s">
        <v>1289</v>
      </c>
      <c r="D64" s="55" t="s">
        <v>308</v>
      </c>
      <c r="E64" s="44">
        <v>4</v>
      </c>
      <c r="F64" s="65">
        <v>55513450</v>
      </c>
    </row>
    <row r="65" spans="2:6" ht="35.1" customHeight="1" thickBot="1" x14ac:dyDescent="0.3">
      <c r="B65" s="1">
        <v>62</v>
      </c>
      <c r="C65" s="54" t="s">
        <v>1290</v>
      </c>
      <c r="D65" s="55" t="s">
        <v>1291</v>
      </c>
      <c r="E65" s="44">
        <v>1</v>
      </c>
      <c r="F65" s="65">
        <v>5735200</v>
      </c>
    </row>
    <row r="66" spans="2:6" ht="35.1" customHeight="1" thickBot="1" x14ac:dyDescent="0.3">
      <c r="B66" s="1">
        <v>63</v>
      </c>
      <c r="C66" s="54" t="s">
        <v>1292</v>
      </c>
      <c r="D66" s="55" t="s">
        <v>623</v>
      </c>
      <c r="E66" s="44">
        <v>6</v>
      </c>
      <c r="F66" s="65">
        <v>149087845</v>
      </c>
    </row>
    <row r="67" spans="2:6" ht="35.1" customHeight="1" thickBot="1" x14ac:dyDescent="0.3">
      <c r="B67" s="1">
        <v>64</v>
      </c>
      <c r="C67" s="54" t="s">
        <v>1293</v>
      </c>
      <c r="D67" s="55" t="s">
        <v>141</v>
      </c>
      <c r="E67" s="44">
        <v>3</v>
      </c>
      <c r="F67" s="65">
        <v>25481475</v>
      </c>
    </row>
    <row r="68" spans="2:6" ht="35.1" customHeight="1" thickBot="1" x14ac:dyDescent="0.3">
      <c r="B68" s="1">
        <v>65</v>
      </c>
      <c r="C68" s="54" t="s">
        <v>1294</v>
      </c>
      <c r="D68" s="55" t="s">
        <v>1295</v>
      </c>
      <c r="E68" s="44">
        <v>1</v>
      </c>
      <c r="F68" s="65">
        <v>2416000</v>
      </c>
    </row>
    <row r="69" spans="2:6" ht="35.1" customHeight="1" thickBot="1" x14ac:dyDescent="0.3">
      <c r="B69" s="1">
        <v>66</v>
      </c>
      <c r="C69" s="54" t="s">
        <v>1296</v>
      </c>
      <c r="D69" s="55" t="s">
        <v>667</v>
      </c>
      <c r="E69" s="44">
        <v>1</v>
      </c>
      <c r="F69" s="65">
        <v>11796800</v>
      </c>
    </row>
    <row r="70" spans="2:6" ht="35.1" customHeight="1" thickBot="1" x14ac:dyDescent="0.3">
      <c r="B70" s="1">
        <v>67</v>
      </c>
      <c r="C70" s="54" t="s">
        <v>1297</v>
      </c>
      <c r="D70" s="55" t="s">
        <v>121</v>
      </c>
      <c r="E70" s="44">
        <v>1</v>
      </c>
      <c r="F70" s="65">
        <v>11456500</v>
      </c>
    </row>
    <row r="71" spans="2:6" ht="35.1" customHeight="1" thickBot="1" x14ac:dyDescent="0.3">
      <c r="B71" s="1">
        <v>68</v>
      </c>
      <c r="C71" s="54" t="s">
        <v>1298</v>
      </c>
      <c r="D71" s="55" t="s">
        <v>1299</v>
      </c>
      <c r="E71" s="44">
        <v>8</v>
      </c>
      <c r="F71" s="65">
        <v>42244000</v>
      </c>
    </row>
    <row r="72" spans="2:6" ht="35.1" customHeight="1" thickBot="1" x14ac:dyDescent="0.3">
      <c r="B72" s="1">
        <v>69</v>
      </c>
      <c r="C72" s="54" t="s">
        <v>1300</v>
      </c>
      <c r="D72" s="55" t="s">
        <v>305</v>
      </c>
      <c r="E72" s="44">
        <v>1</v>
      </c>
      <c r="F72" s="65">
        <v>12296800</v>
      </c>
    </row>
    <row r="73" spans="2:6" ht="35.1" customHeight="1" thickBot="1" x14ac:dyDescent="0.3">
      <c r="B73" s="1">
        <v>70</v>
      </c>
      <c r="C73" s="54" t="s">
        <v>1301</v>
      </c>
      <c r="D73" s="55" t="s">
        <v>164</v>
      </c>
      <c r="E73" s="44">
        <v>11</v>
      </c>
      <c r="F73" s="65">
        <v>198490125</v>
      </c>
    </row>
    <row r="74" spans="2:6" ht="35.1" customHeight="1" thickBot="1" x14ac:dyDescent="0.3">
      <c r="B74" s="1">
        <v>71</v>
      </c>
      <c r="C74" s="54" t="s">
        <v>1302</v>
      </c>
      <c r="D74" s="55" t="s">
        <v>545</v>
      </c>
      <c r="E74" s="44">
        <v>4</v>
      </c>
      <c r="F74" s="65">
        <v>74158150</v>
      </c>
    </row>
    <row r="75" spans="2:6" ht="35.1" customHeight="1" thickBot="1" x14ac:dyDescent="0.3">
      <c r="B75" s="1">
        <v>72</v>
      </c>
      <c r="C75" s="45" t="s">
        <v>1303</v>
      </c>
      <c r="D75" s="46" t="s">
        <v>1304</v>
      </c>
      <c r="E75" s="44">
        <v>5</v>
      </c>
      <c r="F75" s="66">
        <v>45501600</v>
      </c>
    </row>
    <row r="76" spans="2:6" ht="35.1" customHeight="1" thickBot="1" x14ac:dyDescent="0.3">
      <c r="B76" s="1">
        <v>73</v>
      </c>
      <c r="C76" s="54" t="s">
        <v>1305</v>
      </c>
      <c r="D76" s="55" t="s">
        <v>1174</v>
      </c>
      <c r="E76" s="44">
        <v>8</v>
      </c>
      <c r="F76" s="65">
        <v>84588800</v>
      </c>
    </row>
    <row r="77" spans="2:6" ht="35.1" customHeight="1" thickBot="1" x14ac:dyDescent="0.3">
      <c r="B77" s="1">
        <v>74</v>
      </c>
      <c r="C77" s="54" t="s">
        <v>1306</v>
      </c>
      <c r="D77" s="55" t="s">
        <v>323</v>
      </c>
      <c r="E77" s="44">
        <v>5</v>
      </c>
      <c r="F77" s="65">
        <v>76269160</v>
      </c>
    </row>
    <row r="78" spans="2:6" ht="35.1" customHeight="1" thickBot="1" x14ac:dyDescent="0.3">
      <c r="B78" s="1">
        <v>75</v>
      </c>
      <c r="C78" s="54" t="s">
        <v>1307</v>
      </c>
      <c r="D78" s="55" t="s">
        <v>314</v>
      </c>
      <c r="E78" s="44">
        <v>4</v>
      </c>
      <c r="F78" s="65">
        <v>102536000</v>
      </c>
    </row>
    <row r="79" spans="2:6" ht="35.1" customHeight="1" thickBot="1" x14ac:dyDescent="0.3">
      <c r="B79" s="1">
        <v>76</v>
      </c>
      <c r="C79" s="54" t="s">
        <v>1308</v>
      </c>
      <c r="D79" s="55" t="s">
        <v>518</v>
      </c>
      <c r="E79" s="44">
        <v>8</v>
      </c>
      <c r="F79" s="65">
        <v>47015168</v>
      </c>
    </row>
    <row r="80" spans="2:6" ht="35.1" customHeight="1" thickBot="1" x14ac:dyDescent="0.3">
      <c r="B80" s="1">
        <v>77</v>
      </c>
      <c r="C80" s="54" t="s">
        <v>1309</v>
      </c>
      <c r="D80" s="55" t="s">
        <v>666</v>
      </c>
      <c r="E80" s="44">
        <v>2</v>
      </c>
      <c r="F80" s="65">
        <v>15763000</v>
      </c>
    </row>
    <row r="81" spans="2:6" ht="35.1" customHeight="1" thickBot="1" x14ac:dyDescent="0.3">
      <c r="B81" s="1">
        <v>78</v>
      </c>
      <c r="C81" s="54" t="s">
        <v>1310</v>
      </c>
      <c r="D81" s="55" t="s">
        <v>1311</v>
      </c>
      <c r="E81" s="44">
        <v>22</v>
      </c>
      <c r="F81" s="65">
        <v>389274860</v>
      </c>
    </row>
    <row r="82" spans="2:6" ht="35.1" customHeight="1" thickBot="1" x14ac:dyDescent="0.3">
      <c r="B82" s="1">
        <v>79</v>
      </c>
      <c r="C82" s="54" t="s">
        <v>1312</v>
      </c>
      <c r="D82" s="55" t="s">
        <v>343</v>
      </c>
      <c r="E82" s="44">
        <v>7</v>
      </c>
      <c r="F82" s="65">
        <v>114199200</v>
      </c>
    </row>
    <row r="83" spans="2:6" ht="35.1" customHeight="1" thickBot="1" x14ac:dyDescent="0.3">
      <c r="B83" s="1">
        <v>80</v>
      </c>
      <c r="C83" s="54" t="s">
        <v>1313</v>
      </c>
      <c r="D83" s="55" t="s">
        <v>193</v>
      </c>
      <c r="E83" s="44">
        <v>1</v>
      </c>
      <c r="F83" s="65">
        <v>7685540</v>
      </c>
    </row>
    <row r="84" spans="2:6" ht="35.1" customHeight="1" thickBot="1" x14ac:dyDescent="0.3">
      <c r="B84" s="1">
        <v>81</v>
      </c>
      <c r="C84" s="54" t="s">
        <v>1314</v>
      </c>
      <c r="D84" s="55" t="s">
        <v>555</v>
      </c>
      <c r="E84" s="44">
        <v>1</v>
      </c>
      <c r="F84" s="65">
        <v>7685540</v>
      </c>
    </row>
    <row r="85" spans="2:6" ht="35.1" customHeight="1" thickBot="1" x14ac:dyDescent="0.3">
      <c r="B85" s="1">
        <v>82</v>
      </c>
      <c r="C85" s="54" t="s">
        <v>1315</v>
      </c>
      <c r="D85" s="55" t="s">
        <v>242</v>
      </c>
      <c r="E85" s="44">
        <v>6</v>
      </c>
      <c r="F85" s="65">
        <v>104363125</v>
      </c>
    </row>
    <row r="86" spans="2:6" ht="35.1" customHeight="1" thickBot="1" x14ac:dyDescent="0.3">
      <c r="B86" s="1">
        <v>83</v>
      </c>
      <c r="C86" s="45" t="s">
        <v>1316</v>
      </c>
      <c r="D86" s="46" t="s">
        <v>607</v>
      </c>
      <c r="E86" s="44">
        <v>1</v>
      </c>
      <c r="F86" s="66">
        <v>7685540</v>
      </c>
    </row>
    <row r="87" spans="2:6" ht="35.1" customHeight="1" thickBot="1" x14ac:dyDescent="0.3">
      <c r="B87" s="1">
        <v>84</v>
      </c>
      <c r="C87" s="45" t="s">
        <v>1317</v>
      </c>
      <c r="D87" s="46" t="s">
        <v>1318</v>
      </c>
      <c r="E87" s="44">
        <v>3</v>
      </c>
      <c r="F87" s="66">
        <v>38349010</v>
      </c>
    </row>
    <row r="88" spans="2:6" ht="35.1" customHeight="1" thickBot="1" x14ac:dyDescent="0.3">
      <c r="B88" s="1">
        <v>85</v>
      </c>
      <c r="C88" s="45" t="s">
        <v>1319</v>
      </c>
      <c r="D88" s="46" t="s">
        <v>295</v>
      </c>
      <c r="E88" s="44">
        <v>5</v>
      </c>
      <c r="F88" s="66">
        <v>32625200</v>
      </c>
    </row>
    <row r="89" spans="2:6" ht="35.1" customHeight="1" thickBot="1" x14ac:dyDescent="0.3">
      <c r="B89" s="1">
        <v>86</v>
      </c>
      <c r="C89" s="45" t="s">
        <v>1320</v>
      </c>
      <c r="D89" s="46" t="s">
        <v>1321</v>
      </c>
      <c r="E89" s="44">
        <v>4</v>
      </c>
      <c r="F89" s="66">
        <v>43534000</v>
      </c>
    </row>
    <row r="90" spans="2:6" ht="35.1" customHeight="1" thickBot="1" x14ac:dyDescent="0.3">
      <c r="B90" s="1">
        <v>87</v>
      </c>
      <c r="C90" s="45" t="s">
        <v>1322</v>
      </c>
      <c r="D90" s="46" t="s">
        <v>177</v>
      </c>
      <c r="E90" s="44">
        <v>8</v>
      </c>
      <c r="F90" s="66">
        <v>62394700</v>
      </c>
    </row>
    <row r="91" spans="2:6" ht="35.1" customHeight="1" thickBot="1" x14ac:dyDescent="0.3">
      <c r="B91" s="1">
        <v>88</v>
      </c>
      <c r="C91" s="45" t="s">
        <v>1323</v>
      </c>
      <c r="D91" s="46" t="s">
        <v>1324</v>
      </c>
      <c r="E91" s="44">
        <v>5</v>
      </c>
      <c r="F91" s="66">
        <v>20961000</v>
      </c>
    </row>
    <row r="92" spans="2:6" ht="35.1" customHeight="1" thickBot="1" x14ac:dyDescent="0.3">
      <c r="B92" s="1">
        <v>89</v>
      </c>
      <c r="C92" s="96" t="s">
        <v>1325</v>
      </c>
      <c r="D92" s="97" t="s">
        <v>1326</v>
      </c>
      <c r="E92" s="98">
        <v>1</v>
      </c>
      <c r="F92" s="99">
        <v>6747200</v>
      </c>
    </row>
    <row r="93" spans="2:6" ht="25.5" thickBot="1" x14ac:dyDescent="0.3">
      <c r="B93" s="1">
        <v>90</v>
      </c>
      <c r="C93" s="96" t="s">
        <v>1327</v>
      </c>
      <c r="D93" s="97" t="s">
        <v>220</v>
      </c>
      <c r="E93" s="98">
        <v>1</v>
      </c>
      <c r="F93" s="99">
        <v>14774400</v>
      </c>
    </row>
    <row r="94" spans="2:6" ht="25.5" thickBot="1" x14ac:dyDescent="0.3">
      <c r="B94" s="1">
        <v>91</v>
      </c>
      <c r="C94" s="96" t="s">
        <v>1328</v>
      </c>
      <c r="D94" s="97" t="s">
        <v>228</v>
      </c>
      <c r="E94" s="98">
        <v>13</v>
      </c>
      <c r="F94" s="99">
        <v>168340308</v>
      </c>
    </row>
    <row r="95" spans="2:6" ht="37.5" thickBot="1" x14ac:dyDescent="0.3">
      <c r="B95" s="1">
        <v>92</v>
      </c>
      <c r="C95" s="96" t="s">
        <v>1329</v>
      </c>
      <c r="D95" s="97" t="s">
        <v>638</v>
      </c>
      <c r="E95" s="98">
        <v>9</v>
      </c>
      <c r="F95" s="99">
        <v>75548810</v>
      </c>
    </row>
    <row r="96" spans="2:6" ht="25.5" thickBot="1" x14ac:dyDescent="0.3">
      <c r="B96" s="1">
        <v>93</v>
      </c>
      <c r="C96" s="96" t="s">
        <v>1330</v>
      </c>
      <c r="D96" s="97" t="s">
        <v>204</v>
      </c>
      <c r="E96" s="98">
        <v>13</v>
      </c>
      <c r="F96" s="99">
        <v>153367200</v>
      </c>
    </row>
    <row r="97" spans="2:6" ht="15.75" thickBot="1" x14ac:dyDescent="0.3">
      <c r="B97" s="1">
        <v>94</v>
      </c>
      <c r="C97" s="96" t="s">
        <v>1331</v>
      </c>
      <c r="D97" s="97" t="s">
        <v>1149</v>
      </c>
      <c r="E97" s="98">
        <v>1</v>
      </c>
      <c r="F97" s="99">
        <v>5280000</v>
      </c>
    </row>
    <row r="98" spans="2:6" ht="15.75" thickBot="1" x14ac:dyDescent="0.3">
      <c r="B98" s="1">
        <v>95</v>
      </c>
      <c r="C98" s="96" t="s">
        <v>1332</v>
      </c>
      <c r="D98" s="97" t="s">
        <v>1333</v>
      </c>
      <c r="E98" s="98">
        <v>2</v>
      </c>
      <c r="F98" s="99">
        <v>20731224</v>
      </c>
    </row>
    <row r="99" spans="2:6" ht="25.5" thickBot="1" x14ac:dyDescent="0.3">
      <c r="B99" s="1">
        <v>96</v>
      </c>
      <c r="C99" s="96" t="s">
        <v>1334</v>
      </c>
      <c r="D99" s="97" t="s">
        <v>1087</v>
      </c>
      <c r="E99" s="98">
        <v>44</v>
      </c>
      <c r="F99" s="99">
        <v>472663939</v>
      </c>
    </row>
    <row r="100" spans="2:6" ht="25.5" thickBot="1" x14ac:dyDescent="0.3">
      <c r="B100" s="1">
        <v>97</v>
      </c>
      <c r="C100" s="96" t="s">
        <v>1335</v>
      </c>
      <c r="D100" s="97" t="s">
        <v>182</v>
      </c>
      <c r="E100" s="98">
        <v>42</v>
      </c>
      <c r="F100" s="99">
        <v>427534531</v>
      </c>
    </row>
    <row r="101" spans="2:6" ht="25.5" thickBot="1" x14ac:dyDescent="0.3">
      <c r="B101" s="1">
        <v>98</v>
      </c>
      <c r="C101" s="96" t="s">
        <v>1336</v>
      </c>
      <c r="D101" s="97" t="s">
        <v>1337</v>
      </c>
      <c r="E101" s="98">
        <v>42</v>
      </c>
      <c r="F101" s="99">
        <v>427534531</v>
      </c>
    </row>
    <row r="102" spans="2:6" ht="25.5" thickBot="1" x14ac:dyDescent="0.3">
      <c r="B102" s="1">
        <v>99</v>
      </c>
      <c r="C102" s="96" t="s">
        <v>1338</v>
      </c>
      <c r="D102" s="97" t="s">
        <v>1339</v>
      </c>
      <c r="E102" s="98">
        <v>42</v>
      </c>
      <c r="F102" s="99">
        <v>426214531</v>
      </c>
    </row>
    <row r="103" spans="2:6" ht="25.5" thickBot="1" x14ac:dyDescent="0.3">
      <c r="B103" s="1">
        <v>100</v>
      </c>
      <c r="C103" s="96" t="s">
        <v>1340</v>
      </c>
      <c r="D103" s="97" t="s">
        <v>1341</v>
      </c>
      <c r="E103" s="98">
        <v>3</v>
      </c>
      <c r="F103" s="99">
        <v>66192000</v>
      </c>
    </row>
  </sheetData>
  <autoFilter ref="B3:F92" xr:uid="{00000000-0001-0000-0000-000000000000}"/>
  <mergeCells count="2">
    <mergeCell ref="B2:D2"/>
    <mergeCell ref="E2:F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1534E-961C-451F-830A-D81128130CEA}">
  <sheetPr>
    <tabColor rgb="FF7030A0"/>
  </sheetPr>
  <dimension ref="B1:J48"/>
  <sheetViews>
    <sheetView tabSelected="1" workbookViewId="0">
      <selection activeCell="D8" sqref="D8"/>
    </sheetView>
  </sheetViews>
  <sheetFormatPr baseColWidth="10" defaultRowHeight="15" x14ac:dyDescent="0.25"/>
  <cols>
    <col min="2" max="2" width="6.140625" style="12" customWidth="1"/>
    <col min="3" max="3" width="16.28515625" customWidth="1"/>
    <col min="4" max="4" width="19.42578125" customWidth="1"/>
    <col min="5" max="5" width="68" customWidth="1"/>
    <col min="6" max="6" width="11" customWidth="1"/>
    <col min="7" max="7" width="26.28515625" style="12" customWidth="1"/>
    <col min="9" max="9" width="57.85546875" customWidth="1"/>
    <col min="10" max="10" width="16.42578125" customWidth="1"/>
  </cols>
  <sheetData>
    <row r="1" spans="2:10" ht="30" x14ac:dyDescent="0.25">
      <c r="B1" s="216" t="s">
        <v>74</v>
      </c>
      <c r="C1" s="216"/>
      <c r="D1" s="216"/>
      <c r="E1" s="132" t="s">
        <v>966</v>
      </c>
      <c r="F1" s="133"/>
      <c r="G1" s="215" t="s">
        <v>960</v>
      </c>
      <c r="I1" s="75" t="s">
        <v>965</v>
      </c>
      <c r="J1" s="75" t="s">
        <v>967</v>
      </c>
    </row>
    <row r="2" spans="2:10" ht="23.1" customHeight="1" x14ac:dyDescent="0.25">
      <c r="B2" s="72" t="s">
        <v>45</v>
      </c>
      <c r="C2" s="73" t="s">
        <v>72</v>
      </c>
      <c r="D2" s="73" t="s">
        <v>73</v>
      </c>
      <c r="E2" s="134"/>
      <c r="F2" s="135"/>
      <c r="G2" s="215"/>
      <c r="I2" s="68" t="s">
        <v>961</v>
      </c>
      <c r="J2" s="69">
        <f>SUM('1 Apertura de Cursos'!E3:E1048574)</f>
        <v>813</v>
      </c>
    </row>
    <row r="3" spans="2:10" ht="135" x14ac:dyDescent="0.25">
      <c r="B3" s="218">
        <v>1</v>
      </c>
      <c r="C3" s="221" t="s">
        <v>1335</v>
      </c>
      <c r="D3" s="219" t="s">
        <v>182</v>
      </c>
      <c r="E3" s="221" t="s">
        <v>1344</v>
      </c>
      <c r="G3" s="220">
        <v>5</v>
      </c>
      <c r="I3" s="68" t="s">
        <v>962</v>
      </c>
      <c r="J3" s="69">
        <f>SUM(G3:G1048574)</f>
        <v>27</v>
      </c>
    </row>
    <row r="4" spans="2:10" ht="135" x14ac:dyDescent="0.25">
      <c r="B4" s="222">
        <v>2</v>
      </c>
      <c r="C4" s="221" t="s">
        <v>1340</v>
      </c>
      <c r="D4" s="219" t="s">
        <v>1341</v>
      </c>
      <c r="E4" s="221" t="s">
        <v>1344</v>
      </c>
      <c r="G4" s="220">
        <v>2</v>
      </c>
      <c r="I4" s="68" t="s">
        <v>963</v>
      </c>
      <c r="J4" s="69">
        <f>J2-J3</f>
        <v>786</v>
      </c>
    </row>
    <row r="5" spans="2:10" ht="75" x14ac:dyDescent="0.25">
      <c r="B5" s="218">
        <v>3</v>
      </c>
      <c r="C5" s="221" t="s">
        <v>1315</v>
      </c>
      <c r="D5" s="219" t="s">
        <v>242</v>
      </c>
      <c r="E5" s="221" t="s">
        <v>1343</v>
      </c>
      <c r="G5" s="220">
        <v>1</v>
      </c>
      <c r="I5" s="68" t="s">
        <v>964</v>
      </c>
      <c r="J5" s="149">
        <f>COUNT('3 Planilla Preadjudicación OTIC'!A2:A1999)</f>
        <v>50</v>
      </c>
    </row>
    <row r="6" spans="2:10" ht="135" x14ac:dyDescent="0.25">
      <c r="B6" s="218">
        <v>4</v>
      </c>
      <c r="C6" s="221" t="s">
        <v>1334</v>
      </c>
      <c r="D6" s="219" t="s">
        <v>1087</v>
      </c>
      <c r="E6" s="221" t="s">
        <v>1344</v>
      </c>
      <c r="G6" s="220">
        <v>6</v>
      </c>
      <c r="I6" s="68" t="s">
        <v>78</v>
      </c>
      <c r="J6" s="149">
        <f>J4-J5</f>
        <v>736</v>
      </c>
    </row>
    <row r="7" spans="2:10" ht="45" x14ac:dyDescent="0.25">
      <c r="B7" s="218">
        <v>5</v>
      </c>
      <c r="C7" s="221" t="s">
        <v>1235</v>
      </c>
      <c r="D7" s="219" t="s">
        <v>914</v>
      </c>
      <c r="E7" s="221" t="s">
        <v>1342</v>
      </c>
      <c r="G7" s="220">
        <v>3</v>
      </c>
    </row>
    <row r="8" spans="2:10" ht="135" x14ac:dyDescent="0.25">
      <c r="B8" s="218">
        <v>6</v>
      </c>
      <c r="C8" s="221" t="s">
        <v>1336</v>
      </c>
      <c r="D8" s="219" t="s">
        <v>1337</v>
      </c>
      <c r="E8" s="221" t="s">
        <v>1344</v>
      </c>
      <c r="G8" s="220">
        <v>5</v>
      </c>
    </row>
    <row r="9" spans="2:10" ht="135" x14ac:dyDescent="0.25">
      <c r="B9" s="218">
        <v>7</v>
      </c>
      <c r="C9" s="221" t="s">
        <v>1338</v>
      </c>
      <c r="D9" s="219" t="s">
        <v>1339</v>
      </c>
      <c r="E9" s="221" t="s">
        <v>1344</v>
      </c>
      <c r="G9" s="220">
        <v>5</v>
      </c>
    </row>
    <row r="10" spans="2:10" x14ac:dyDescent="0.25">
      <c r="B10" s="61">
        <v>8</v>
      </c>
      <c r="C10" s="60"/>
      <c r="D10" s="58"/>
      <c r="E10" s="217"/>
      <c r="G10" s="59">
        <v>0</v>
      </c>
    </row>
    <row r="11" spans="2:10" x14ac:dyDescent="0.25">
      <c r="B11" s="74">
        <v>9</v>
      </c>
      <c r="C11" s="60"/>
      <c r="D11" s="58"/>
      <c r="E11" s="217"/>
      <c r="G11" s="59">
        <v>0</v>
      </c>
    </row>
    <row r="12" spans="2:10" x14ac:dyDescent="0.25">
      <c r="B12" s="61">
        <v>10</v>
      </c>
      <c r="C12" s="60"/>
      <c r="D12" s="58"/>
      <c r="E12" s="217"/>
      <c r="G12" s="59">
        <v>0</v>
      </c>
    </row>
    <row r="13" spans="2:10" x14ac:dyDescent="0.25">
      <c r="B13" s="61">
        <v>11</v>
      </c>
      <c r="C13" s="60"/>
      <c r="D13" s="58"/>
      <c r="E13" s="217"/>
      <c r="G13" s="59">
        <v>0</v>
      </c>
    </row>
    <row r="14" spans="2:10" x14ac:dyDescent="0.25">
      <c r="B14" s="61">
        <v>12</v>
      </c>
      <c r="C14" s="60"/>
      <c r="D14" s="58"/>
      <c r="E14" s="217"/>
      <c r="G14" s="59">
        <v>0</v>
      </c>
    </row>
    <row r="15" spans="2:10" x14ac:dyDescent="0.25">
      <c r="B15" s="61">
        <v>13</v>
      </c>
      <c r="C15" s="60"/>
      <c r="D15" s="58"/>
      <c r="E15" s="217"/>
      <c r="G15" s="59">
        <v>0</v>
      </c>
    </row>
    <row r="16" spans="2:10" x14ac:dyDescent="0.25">
      <c r="B16" s="61">
        <v>14</v>
      </c>
      <c r="C16" s="60"/>
      <c r="D16" s="58"/>
      <c r="E16" s="217"/>
      <c r="G16" s="59">
        <v>0</v>
      </c>
    </row>
    <row r="17" spans="2:7" x14ac:dyDescent="0.25">
      <c r="B17" s="61">
        <v>15</v>
      </c>
      <c r="C17" s="60"/>
      <c r="D17" s="58"/>
      <c r="E17" s="217"/>
      <c r="G17" s="59">
        <v>0</v>
      </c>
    </row>
    <row r="18" spans="2:7" x14ac:dyDescent="0.25">
      <c r="B18" s="61">
        <v>16</v>
      </c>
      <c r="C18" s="60"/>
      <c r="D18" s="58"/>
      <c r="E18" s="217"/>
      <c r="G18" s="59">
        <v>0</v>
      </c>
    </row>
    <row r="19" spans="2:7" x14ac:dyDescent="0.25">
      <c r="B19" s="61">
        <v>17</v>
      </c>
      <c r="C19" s="60"/>
      <c r="D19" s="58"/>
      <c r="E19" s="217"/>
      <c r="G19" s="59">
        <v>0</v>
      </c>
    </row>
    <row r="20" spans="2:7" x14ac:dyDescent="0.25">
      <c r="B20" s="61">
        <v>18</v>
      </c>
      <c r="C20" s="60"/>
      <c r="D20" s="58"/>
      <c r="E20" s="217"/>
      <c r="G20" s="59">
        <v>0</v>
      </c>
    </row>
    <row r="21" spans="2:7" x14ac:dyDescent="0.25">
      <c r="B21" s="61">
        <v>19</v>
      </c>
      <c r="C21" s="60"/>
      <c r="D21" s="58"/>
      <c r="E21" s="217"/>
      <c r="G21" s="59">
        <v>0</v>
      </c>
    </row>
    <row r="22" spans="2:7" x14ac:dyDescent="0.25">
      <c r="B22" s="61">
        <v>20</v>
      </c>
      <c r="C22" s="60"/>
      <c r="D22" s="58"/>
      <c r="E22" s="217"/>
      <c r="G22" s="59">
        <v>0</v>
      </c>
    </row>
    <row r="23" spans="2:7" x14ac:dyDescent="0.25">
      <c r="B23" s="61">
        <v>21</v>
      </c>
      <c r="C23" s="60"/>
      <c r="D23" s="58"/>
      <c r="E23" s="217"/>
      <c r="G23" s="59">
        <v>0</v>
      </c>
    </row>
    <row r="24" spans="2:7" x14ac:dyDescent="0.25">
      <c r="B24" s="61">
        <v>22</v>
      </c>
      <c r="C24" s="60"/>
      <c r="D24" s="58"/>
      <c r="E24" s="217"/>
      <c r="G24" s="59">
        <v>0</v>
      </c>
    </row>
    <row r="25" spans="2:7" x14ac:dyDescent="0.25">
      <c r="B25" s="61">
        <v>23</v>
      </c>
      <c r="C25" s="60"/>
      <c r="D25" s="58"/>
      <c r="E25" s="217"/>
      <c r="G25" s="59">
        <v>0</v>
      </c>
    </row>
    <row r="26" spans="2:7" x14ac:dyDescent="0.25">
      <c r="B26" s="61">
        <v>24</v>
      </c>
      <c r="C26" s="60"/>
      <c r="D26" s="58"/>
      <c r="E26" s="217"/>
      <c r="G26" s="59">
        <v>0</v>
      </c>
    </row>
    <row r="27" spans="2:7" x14ac:dyDescent="0.25">
      <c r="B27" s="61">
        <v>25</v>
      </c>
      <c r="C27" s="60"/>
      <c r="D27" s="58"/>
      <c r="E27" s="217"/>
      <c r="G27" s="59">
        <v>0</v>
      </c>
    </row>
    <row r="28" spans="2:7" x14ac:dyDescent="0.25">
      <c r="B28" s="61">
        <v>26</v>
      </c>
      <c r="C28" s="60"/>
      <c r="D28" s="58"/>
      <c r="E28" s="217"/>
      <c r="G28" s="59">
        <v>0</v>
      </c>
    </row>
    <row r="29" spans="2:7" x14ac:dyDescent="0.25">
      <c r="B29" s="61">
        <v>27</v>
      </c>
      <c r="C29" s="60"/>
      <c r="D29" s="58"/>
      <c r="E29" s="217"/>
      <c r="G29" s="59">
        <v>0</v>
      </c>
    </row>
    <row r="30" spans="2:7" x14ac:dyDescent="0.25">
      <c r="B30" s="61">
        <v>28</v>
      </c>
      <c r="C30" s="60"/>
      <c r="D30" s="58"/>
      <c r="E30" s="217"/>
      <c r="G30" s="59">
        <v>0</v>
      </c>
    </row>
    <row r="31" spans="2:7" x14ac:dyDescent="0.25">
      <c r="B31" s="61">
        <v>29</v>
      </c>
      <c r="C31" s="60"/>
      <c r="D31" s="58"/>
      <c r="E31" s="217"/>
      <c r="G31" s="59">
        <v>0</v>
      </c>
    </row>
    <row r="32" spans="2:7" x14ac:dyDescent="0.25">
      <c r="B32" s="61">
        <v>30</v>
      </c>
      <c r="C32" s="60"/>
      <c r="D32" s="58"/>
      <c r="E32" s="217"/>
      <c r="G32" s="59">
        <v>0</v>
      </c>
    </row>
    <row r="33" spans="2:7" x14ac:dyDescent="0.25">
      <c r="B33" s="61">
        <v>31</v>
      </c>
      <c r="C33" s="60"/>
      <c r="D33" s="58"/>
      <c r="E33" s="217"/>
      <c r="G33" s="59">
        <v>0</v>
      </c>
    </row>
    <row r="34" spans="2:7" x14ac:dyDescent="0.25">
      <c r="B34" s="61">
        <v>32</v>
      </c>
      <c r="C34" s="60"/>
      <c r="D34" s="58"/>
      <c r="E34" s="217"/>
      <c r="G34" s="59">
        <v>0</v>
      </c>
    </row>
    <row r="35" spans="2:7" x14ac:dyDescent="0.25">
      <c r="B35" s="61">
        <v>33</v>
      </c>
      <c r="C35" s="60"/>
      <c r="D35" s="58"/>
      <c r="E35" s="217"/>
      <c r="G35" s="59">
        <v>0</v>
      </c>
    </row>
    <row r="36" spans="2:7" x14ac:dyDescent="0.25">
      <c r="B36" s="61">
        <v>34</v>
      </c>
      <c r="C36" s="60"/>
      <c r="D36" s="58"/>
      <c r="E36" s="217"/>
      <c r="G36" s="59">
        <v>0</v>
      </c>
    </row>
    <row r="37" spans="2:7" x14ac:dyDescent="0.25">
      <c r="B37" s="61">
        <v>35</v>
      </c>
      <c r="C37" s="60"/>
      <c r="D37" s="58"/>
      <c r="E37" s="217"/>
      <c r="G37" s="59">
        <v>0</v>
      </c>
    </row>
    <row r="38" spans="2:7" x14ac:dyDescent="0.25">
      <c r="B38" s="61">
        <v>36</v>
      </c>
      <c r="C38" s="60"/>
      <c r="D38" s="58"/>
      <c r="E38" s="217"/>
      <c r="G38" s="59">
        <v>0</v>
      </c>
    </row>
    <row r="39" spans="2:7" x14ac:dyDescent="0.25">
      <c r="B39" s="61">
        <v>37</v>
      </c>
      <c r="C39" s="60"/>
      <c r="D39" s="58"/>
      <c r="E39" s="217"/>
      <c r="G39" s="59">
        <v>0</v>
      </c>
    </row>
    <row r="40" spans="2:7" x14ac:dyDescent="0.25">
      <c r="B40" s="61">
        <v>38</v>
      </c>
      <c r="C40" s="60"/>
      <c r="D40" s="58"/>
      <c r="E40" s="217"/>
      <c r="G40" s="59">
        <v>0</v>
      </c>
    </row>
    <row r="41" spans="2:7" x14ac:dyDescent="0.25">
      <c r="B41" s="61">
        <v>39</v>
      </c>
      <c r="C41" s="60"/>
      <c r="D41" s="58"/>
      <c r="E41" s="217"/>
      <c r="G41" s="59">
        <v>0</v>
      </c>
    </row>
    <row r="42" spans="2:7" x14ac:dyDescent="0.25">
      <c r="B42" s="61">
        <v>40</v>
      </c>
      <c r="C42" s="60"/>
      <c r="D42" s="58"/>
      <c r="E42" s="217"/>
      <c r="G42" s="59">
        <f>IF(ISERROR(VLOOKUP(D42,'1 Apertura de Cursos'!$D$4:$F$1048576,2,FALSE)),0,VLOOKUP(D42,'1 Apertura de Cursos'!$D$4:$F$1048576,2,FALSE))</f>
        <v>0</v>
      </c>
    </row>
    <row r="43" spans="2:7" x14ac:dyDescent="0.25">
      <c r="B43" s="61">
        <v>41</v>
      </c>
      <c r="C43" s="60"/>
      <c r="D43" s="58"/>
      <c r="E43" s="136"/>
      <c r="G43" s="59">
        <f>IF(ISERROR(VLOOKUP(D43,'1 Apertura de Cursos'!$D$4:$F$1048576,2,FALSE)),0,VLOOKUP(D43,'1 Apertura de Cursos'!$D$4:$F$1048576,2,FALSE))</f>
        <v>0</v>
      </c>
    </row>
    <row r="44" spans="2:7" x14ac:dyDescent="0.25">
      <c r="B44" s="61">
        <v>42</v>
      </c>
      <c r="C44" s="60"/>
      <c r="D44" s="58"/>
      <c r="E44" s="136"/>
      <c r="G44" s="59">
        <f>IF(ISERROR(VLOOKUP(D44,'1 Apertura de Cursos'!$D$4:$F$1048576,2,FALSE)),0,VLOOKUP(D44,'1 Apertura de Cursos'!$D$4:$F$1048576,2,FALSE))</f>
        <v>0</v>
      </c>
    </row>
    <row r="45" spans="2:7" x14ac:dyDescent="0.25">
      <c r="B45" s="61">
        <v>43</v>
      </c>
      <c r="C45" s="60"/>
      <c r="D45" s="58"/>
      <c r="E45" s="136"/>
      <c r="G45" s="59">
        <f>IF(ISERROR(VLOOKUP(D45,'1 Apertura de Cursos'!$D$4:$F$1048576,2,FALSE)),0,VLOOKUP(D45,'1 Apertura de Cursos'!$D$4:$F$1048576,2,FALSE))</f>
        <v>0</v>
      </c>
    </row>
    <row r="46" spans="2:7" x14ac:dyDescent="0.25">
      <c r="B46" s="61">
        <v>44</v>
      </c>
      <c r="C46" s="60"/>
      <c r="D46" s="58"/>
      <c r="E46" s="136"/>
      <c r="G46" s="59">
        <f>IF(ISERROR(VLOOKUP(D46,'1 Apertura de Cursos'!$D$4:$F$1048576,2,FALSE)),0,VLOOKUP(D46,'1 Apertura de Cursos'!$D$4:$F$1048576,2,FALSE))</f>
        <v>0</v>
      </c>
    </row>
    <row r="47" spans="2:7" x14ac:dyDescent="0.25">
      <c r="B47" s="61">
        <v>45</v>
      </c>
      <c r="C47" s="60"/>
      <c r="D47" s="58"/>
      <c r="E47" s="136"/>
      <c r="G47" s="59">
        <f>IF(ISERROR(VLOOKUP(D47,'1 Apertura de Cursos'!$D$4:$F$1048576,2,FALSE)),0,VLOOKUP(D47,'1 Apertura de Cursos'!$D$4:$F$1048576,2,FALSE))</f>
        <v>0</v>
      </c>
    </row>
    <row r="48" spans="2:7" x14ac:dyDescent="0.25">
      <c r="B48" s="61">
        <v>46</v>
      </c>
      <c r="C48" s="60"/>
      <c r="D48" s="58"/>
      <c r="E48" s="136"/>
      <c r="G48" s="59">
        <f>IF(ISERROR(VLOOKUP(D48,'1 Apertura de Cursos'!$D$4:$F$1048576,2,FALSE)),0,VLOOKUP(D48,'1 Apertura de Cursos'!$D$4:$F$1048576,2,FALSE))</f>
        <v>0</v>
      </c>
    </row>
  </sheetData>
  <protectedRanges>
    <protectedRange algorithmName="SHA-512" hashValue="Zu/MHJKWfvdnjR1J5BYNX8n/nfmOD36JDyyjjiHIko674PETHyRoxgFaMkBXIzG02xbveESyfpo0danvcDHrow==" saltValue="ZWue5zzzubMsiO8oJkKg5g==" spinCount="100000" sqref="I1:J6" name="Rango1"/>
  </protectedRanges>
  <mergeCells count="2">
    <mergeCell ref="G1:G2"/>
    <mergeCell ref="B1:D1"/>
  </mergeCells>
  <conditionalFormatting sqref="J6">
    <cfRule type="cellIs" dxfId="13" priority="1" operator="notEqual">
      <formula>0</formula>
    </cfRule>
    <cfRule type="cellIs" dxfId="12" priority="2" operator="equal">
      <formula>0</formula>
    </cfRule>
  </conditionalFormatting>
  <pageMargins left="0.7" right="0.7" top="0.75" bottom="0.75" header="0.3" footer="0.3"/>
  <ignoredErrors>
    <ignoredError sqref="G42:G4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D5E63-B63B-4221-A226-A03545C79122}">
  <sheetPr>
    <tabColor theme="5"/>
  </sheetPr>
  <dimension ref="A1:BX51"/>
  <sheetViews>
    <sheetView zoomScale="115" zoomScaleNormal="115" workbookViewId="0">
      <pane ySplit="1" topLeftCell="A2" activePane="bottomLeft" state="frozen"/>
      <selection pane="bottomLeft" activeCell="H5" sqref="H5"/>
    </sheetView>
  </sheetViews>
  <sheetFormatPr baseColWidth="10" defaultColWidth="10.85546875" defaultRowHeight="15" customHeight="1" x14ac:dyDescent="0.25"/>
  <cols>
    <col min="1" max="1" width="11" style="85" bestFit="1" customWidth="1"/>
    <col min="2" max="3" width="10.85546875" style="85" customWidth="1"/>
    <col min="4" max="4" width="11" style="85" customWidth="1"/>
    <col min="5" max="5" width="10.85546875" style="85" customWidth="1"/>
    <col min="6" max="6" width="13.42578125" style="85" customWidth="1"/>
    <col min="7" max="9" width="16.140625" style="85" customWidth="1"/>
    <col min="10" max="10" width="28.7109375" style="85" customWidth="1"/>
    <col min="11" max="11" width="53.5703125" style="85" customWidth="1"/>
    <col min="12" max="13" width="16.140625" style="85" customWidth="1"/>
    <col min="14" max="15" width="11.42578125" style="85" customWidth="1"/>
    <col min="16" max="16" width="17" style="85" customWidth="1"/>
    <col min="17" max="18" width="11.42578125" style="85" customWidth="1"/>
    <col min="19" max="19" width="14.7109375" style="85" customWidth="1"/>
    <col min="20" max="20" width="11.42578125" style="85" customWidth="1"/>
    <col min="21" max="21" width="11.42578125" style="114" customWidth="1"/>
    <col min="22" max="22" width="12.42578125" style="114" customWidth="1"/>
    <col min="23" max="23" width="18.140625" style="114" customWidth="1"/>
    <col min="24" max="25" width="11" style="114" customWidth="1"/>
    <col min="26" max="26" width="10.85546875" style="114" customWidth="1"/>
    <col min="27" max="28" width="11.42578125" style="114" customWidth="1"/>
    <col min="29" max="30" width="11.42578125" style="86" customWidth="1"/>
    <col min="31" max="31" width="11.42578125" style="114" customWidth="1"/>
    <col min="32" max="32" width="11.42578125" style="86" customWidth="1"/>
    <col min="33" max="33" width="13.85546875" style="114" customWidth="1"/>
    <col min="34" max="35" width="11.42578125" style="114" customWidth="1"/>
    <col min="36" max="36" width="14.140625" style="85" customWidth="1"/>
    <col min="37" max="37" width="14.28515625" style="114" customWidth="1"/>
    <col min="38" max="38" width="11.7109375" style="114" customWidth="1"/>
    <col min="39" max="39" width="14" style="116" customWidth="1"/>
    <col min="40" max="40" width="15.42578125" style="116" customWidth="1"/>
    <col min="41" max="41" width="14.7109375" style="116" customWidth="1"/>
    <col min="42" max="42" width="14.5703125" style="116" customWidth="1"/>
    <col min="43" max="43" width="15.140625" style="117" customWidth="1"/>
    <col min="44" max="44" width="12.85546875" style="117" customWidth="1"/>
    <col min="45" max="45" width="11.42578125" style="117" customWidth="1"/>
    <col min="46" max="46" width="14.140625" style="117" customWidth="1"/>
    <col min="47" max="47" width="14.42578125" style="117" customWidth="1"/>
    <col min="48" max="48" width="16" style="114" customWidth="1"/>
    <col min="49" max="49" width="11.42578125" style="85" customWidth="1"/>
    <col min="50" max="50" width="13.7109375" style="114" customWidth="1"/>
    <col min="51" max="51" width="115.42578125" style="114" customWidth="1"/>
    <col min="52" max="52" width="16" style="114" customWidth="1"/>
    <col min="53" max="53" width="15.85546875" style="114" customWidth="1"/>
    <col min="54" max="54" width="15.28515625" style="114" customWidth="1"/>
    <col min="55" max="55" width="16" style="114" customWidth="1"/>
    <col min="56" max="56" width="14.28515625" style="114" customWidth="1"/>
    <col min="57" max="57" width="18" style="114" customWidth="1"/>
    <col min="58" max="58" width="17.5703125" style="114" customWidth="1"/>
    <col min="59" max="59" width="14.7109375" style="114" customWidth="1"/>
    <col min="60" max="60" width="13" style="114" customWidth="1"/>
    <col min="61" max="61" width="13.140625" style="114" customWidth="1"/>
    <col min="62" max="62" width="11" style="114" bestFit="1" customWidth="1"/>
    <col min="63" max="63" width="13.140625" style="114" customWidth="1"/>
    <col min="64" max="64" width="13.42578125" style="114" customWidth="1"/>
    <col min="65" max="65" width="11" style="119" bestFit="1" customWidth="1"/>
    <col min="66" max="66" width="17.140625" style="114" customWidth="1"/>
    <col min="67" max="67" width="14.7109375" style="85" customWidth="1"/>
    <col min="68" max="68" width="10.85546875" style="85"/>
    <col min="69" max="69" width="12.140625" style="85" bestFit="1" customWidth="1"/>
    <col min="70" max="70" width="10.85546875" style="85"/>
    <col min="71" max="71" width="18" style="85" bestFit="1" customWidth="1"/>
    <col min="72" max="16384" width="10.85546875" style="85"/>
  </cols>
  <sheetData>
    <row r="1" spans="1:76" s="62" customFormat="1" ht="53.25" customHeight="1" x14ac:dyDescent="0.2">
      <c r="A1" s="76" t="s">
        <v>369</v>
      </c>
      <c r="B1" s="76" t="s">
        <v>0</v>
      </c>
      <c r="C1" s="76" t="s">
        <v>448</v>
      </c>
      <c r="D1" s="76" t="s">
        <v>1141</v>
      </c>
      <c r="E1" s="144" t="s">
        <v>51</v>
      </c>
      <c r="F1" s="76" t="s">
        <v>15</v>
      </c>
      <c r="G1" s="76" t="s">
        <v>924</v>
      </c>
      <c r="H1" s="76" t="s">
        <v>925</v>
      </c>
      <c r="I1" s="76" t="s">
        <v>449</v>
      </c>
      <c r="J1" s="76" t="s">
        <v>450</v>
      </c>
      <c r="K1" s="76" t="s">
        <v>453</v>
      </c>
      <c r="L1" s="76" t="s">
        <v>454</v>
      </c>
      <c r="M1" s="76" t="s">
        <v>455</v>
      </c>
      <c r="N1" s="76" t="s">
        <v>456</v>
      </c>
      <c r="O1" s="76" t="s">
        <v>330</v>
      </c>
      <c r="P1" s="76" t="s">
        <v>374</v>
      </c>
      <c r="Q1" s="76" t="s">
        <v>1</v>
      </c>
      <c r="R1" s="76" t="s">
        <v>329</v>
      </c>
      <c r="S1" s="76" t="s">
        <v>375</v>
      </c>
      <c r="T1" s="76" t="s">
        <v>376</v>
      </c>
      <c r="U1" s="76" t="s">
        <v>338</v>
      </c>
      <c r="V1" s="76" t="s">
        <v>2</v>
      </c>
      <c r="W1" s="76" t="s">
        <v>926</v>
      </c>
      <c r="X1" s="76" t="s">
        <v>378</v>
      </c>
      <c r="Y1" s="76" t="s">
        <v>379</v>
      </c>
      <c r="Z1" s="76" t="s">
        <v>3</v>
      </c>
      <c r="AA1" s="76" t="s">
        <v>331</v>
      </c>
      <c r="AB1" s="76" t="s">
        <v>380</v>
      </c>
      <c r="AC1" s="76" t="s">
        <v>332</v>
      </c>
      <c r="AD1" s="76" t="s">
        <v>333</v>
      </c>
      <c r="AE1" s="76" t="s">
        <v>16</v>
      </c>
      <c r="AF1" s="76" t="s">
        <v>334</v>
      </c>
      <c r="AG1" s="76" t="s">
        <v>335</v>
      </c>
      <c r="AH1" s="76" t="s">
        <v>1134</v>
      </c>
      <c r="AI1" s="76" t="s">
        <v>890</v>
      </c>
      <c r="AJ1" s="76" t="s">
        <v>381</v>
      </c>
      <c r="AK1" s="78" t="s">
        <v>1133</v>
      </c>
      <c r="AL1" s="78" t="s">
        <v>445</v>
      </c>
      <c r="AM1" s="78" t="s">
        <v>928</v>
      </c>
      <c r="AN1" s="78" t="s">
        <v>929</v>
      </c>
      <c r="AO1" s="81" t="s">
        <v>930</v>
      </c>
      <c r="AP1" s="81" t="s">
        <v>931</v>
      </c>
      <c r="AQ1" s="81" t="s">
        <v>932</v>
      </c>
      <c r="AR1" s="81" t="s">
        <v>933</v>
      </c>
      <c r="AS1" s="81" t="s">
        <v>934</v>
      </c>
      <c r="AT1" s="81" t="s">
        <v>935</v>
      </c>
      <c r="AU1" s="81" t="s">
        <v>936</v>
      </c>
      <c r="AV1" s="81" t="s">
        <v>937</v>
      </c>
      <c r="AW1" s="81" t="s">
        <v>938</v>
      </c>
      <c r="AX1" s="77" t="s">
        <v>939</v>
      </c>
      <c r="AY1" s="77" t="s">
        <v>14</v>
      </c>
      <c r="AZ1" s="77" t="s">
        <v>940</v>
      </c>
      <c r="BA1" s="77" t="s">
        <v>941</v>
      </c>
      <c r="BB1" s="87" t="s">
        <v>953</v>
      </c>
      <c r="BC1" s="77" t="s">
        <v>954</v>
      </c>
      <c r="BD1" s="77" t="s">
        <v>955</v>
      </c>
      <c r="BE1" s="77" t="s">
        <v>956</v>
      </c>
      <c r="BF1" s="77" t="s">
        <v>968</v>
      </c>
      <c r="BG1" s="77" t="s">
        <v>958</v>
      </c>
      <c r="BH1" s="77" t="s">
        <v>959</v>
      </c>
      <c r="BI1" s="80" t="s">
        <v>949</v>
      </c>
      <c r="BJ1" s="100" t="s">
        <v>969</v>
      </c>
      <c r="BK1" s="100" t="s">
        <v>951</v>
      </c>
      <c r="BL1" s="100" t="s">
        <v>970</v>
      </c>
      <c r="BM1" s="100" t="s">
        <v>952</v>
      </c>
      <c r="BN1" s="79" t="s">
        <v>971</v>
      </c>
      <c r="BO1" s="107" t="s">
        <v>973</v>
      </c>
      <c r="BP1" s="101" t="s">
        <v>942</v>
      </c>
      <c r="BQ1" s="102" t="s">
        <v>943</v>
      </c>
      <c r="BR1" s="102" t="s">
        <v>944</v>
      </c>
      <c r="BS1" s="102" t="s">
        <v>945</v>
      </c>
      <c r="BT1" s="102" t="s">
        <v>946</v>
      </c>
      <c r="BU1" s="102" t="s">
        <v>947</v>
      </c>
      <c r="BV1" s="103" t="s">
        <v>948</v>
      </c>
      <c r="BW1" s="79" t="s">
        <v>433</v>
      </c>
    </row>
    <row r="2" spans="1:76" s="63" customFormat="1" ht="14.1" customHeight="1" x14ac:dyDescent="0.25">
      <c r="A2" s="159">
        <v>14385</v>
      </c>
      <c r="B2" s="110" t="s">
        <v>41</v>
      </c>
      <c r="C2" s="63" t="s">
        <v>1345</v>
      </c>
      <c r="D2" s="63">
        <v>2</v>
      </c>
      <c r="E2" s="63">
        <v>2025</v>
      </c>
      <c r="F2" s="111" t="s">
        <v>23</v>
      </c>
      <c r="G2" s="63" t="s">
        <v>1345</v>
      </c>
      <c r="H2" s="110" t="s">
        <v>41</v>
      </c>
      <c r="I2" s="63" t="s">
        <v>1346</v>
      </c>
      <c r="J2" s="63" t="s">
        <v>1347</v>
      </c>
      <c r="K2" s="160" t="s">
        <v>1176</v>
      </c>
      <c r="L2" s="160" t="s">
        <v>1177</v>
      </c>
      <c r="M2" s="160" t="s">
        <v>21</v>
      </c>
      <c r="N2" s="160" t="s">
        <v>21</v>
      </c>
      <c r="O2" s="63">
        <v>13</v>
      </c>
      <c r="Q2" s="63" t="s">
        <v>724</v>
      </c>
      <c r="R2" s="160" t="s">
        <v>1178</v>
      </c>
      <c r="S2" s="63" t="s">
        <v>339</v>
      </c>
      <c r="T2" s="63" t="s">
        <v>22</v>
      </c>
      <c r="U2" t="s">
        <v>348</v>
      </c>
      <c r="V2" s="111">
        <v>16</v>
      </c>
      <c r="W2" s="111">
        <v>110</v>
      </c>
      <c r="X2" s="111">
        <v>0</v>
      </c>
      <c r="Y2" s="111">
        <v>110</v>
      </c>
      <c r="Z2" s="111">
        <v>4</v>
      </c>
      <c r="AA2" s="111" t="s">
        <v>20</v>
      </c>
      <c r="AB2" s="111" t="s">
        <v>18</v>
      </c>
      <c r="AC2" s="111" t="s">
        <v>18</v>
      </c>
      <c r="AD2" s="110"/>
      <c r="AE2" s="110" t="s">
        <v>1179</v>
      </c>
      <c r="AF2" s="111" t="s">
        <v>18</v>
      </c>
      <c r="AG2" s="110"/>
      <c r="AH2" s="111" t="s">
        <v>990</v>
      </c>
      <c r="AI2" s="63">
        <v>28</v>
      </c>
      <c r="AJ2" s="111">
        <v>2</v>
      </c>
      <c r="AK2" s="63" t="s">
        <v>175</v>
      </c>
      <c r="AL2" s="63" t="s">
        <v>1236</v>
      </c>
      <c r="AM2" s="111">
        <v>110</v>
      </c>
      <c r="AN2" s="111">
        <v>28</v>
      </c>
      <c r="AO2" s="115">
        <v>5075</v>
      </c>
      <c r="AP2" s="115">
        <v>0</v>
      </c>
      <c r="AQ2" s="115">
        <v>0</v>
      </c>
      <c r="AR2" s="115">
        <v>8932000</v>
      </c>
      <c r="AS2" s="115">
        <v>1792000</v>
      </c>
      <c r="AT2" s="115">
        <v>0</v>
      </c>
      <c r="AU2" s="115">
        <v>0</v>
      </c>
      <c r="AV2" s="115">
        <v>0</v>
      </c>
      <c r="AW2" s="115">
        <v>10724000</v>
      </c>
      <c r="AX2" s="111" t="s">
        <v>20</v>
      </c>
      <c r="AZ2" s="111">
        <v>1</v>
      </c>
      <c r="BA2" s="111">
        <v>7</v>
      </c>
      <c r="BB2" s="111">
        <v>0</v>
      </c>
      <c r="BC2" s="111">
        <v>0</v>
      </c>
      <c r="BD2" s="111">
        <v>0</v>
      </c>
      <c r="BE2" s="111">
        <v>0</v>
      </c>
      <c r="BF2" s="111">
        <v>0</v>
      </c>
      <c r="BG2" s="111">
        <v>0</v>
      </c>
      <c r="BH2" s="111">
        <v>0</v>
      </c>
      <c r="BI2" s="111">
        <v>7</v>
      </c>
      <c r="BJ2" s="111">
        <v>7</v>
      </c>
      <c r="BK2" s="111">
        <v>7</v>
      </c>
      <c r="BL2" s="111">
        <v>7</v>
      </c>
      <c r="BM2" s="111">
        <v>7</v>
      </c>
      <c r="BN2" s="111">
        <v>7</v>
      </c>
      <c r="BO2" s="118">
        <v>6.4</v>
      </c>
      <c r="BP2" s="111" t="s">
        <v>18</v>
      </c>
      <c r="BQ2" s="63" t="s">
        <v>1356</v>
      </c>
      <c r="BR2" s="63" t="s">
        <v>1357</v>
      </c>
      <c r="BS2" s="163">
        <v>342358308</v>
      </c>
      <c r="BT2" s="63" t="s">
        <v>1358</v>
      </c>
    </row>
    <row r="3" spans="1:76" s="63" customFormat="1" ht="14.1" customHeight="1" x14ac:dyDescent="0.25">
      <c r="A3" s="159">
        <v>14386</v>
      </c>
      <c r="B3" s="110" t="s">
        <v>41</v>
      </c>
      <c r="C3" s="63" t="s">
        <v>1345</v>
      </c>
      <c r="D3" s="63">
        <v>2</v>
      </c>
      <c r="E3" s="63">
        <v>2025</v>
      </c>
      <c r="F3" s="111" t="s">
        <v>23</v>
      </c>
      <c r="G3" s="63" t="s">
        <v>1345</v>
      </c>
      <c r="H3" s="110" t="s">
        <v>41</v>
      </c>
      <c r="I3" s="63" t="s">
        <v>1346</v>
      </c>
      <c r="J3" s="63" t="s">
        <v>1347</v>
      </c>
      <c r="K3" s="63" t="s">
        <v>1183</v>
      </c>
      <c r="L3" t="s">
        <v>1184</v>
      </c>
      <c r="M3" s="160" t="s">
        <v>21</v>
      </c>
      <c r="N3" s="160" t="s">
        <v>21</v>
      </c>
      <c r="O3" s="63">
        <v>13</v>
      </c>
      <c r="Q3" s="63" t="s">
        <v>724</v>
      </c>
      <c r="R3" s="160" t="s">
        <v>1178</v>
      </c>
      <c r="S3" s="63" t="s">
        <v>339</v>
      </c>
      <c r="T3" s="63" t="s">
        <v>22</v>
      </c>
      <c r="U3" t="s">
        <v>348</v>
      </c>
      <c r="V3" s="111">
        <v>14</v>
      </c>
      <c r="W3" s="111">
        <v>120</v>
      </c>
      <c r="X3" s="111">
        <v>0</v>
      </c>
      <c r="Y3" s="111">
        <v>120</v>
      </c>
      <c r="Z3" s="111">
        <v>4</v>
      </c>
      <c r="AA3" s="111" t="s">
        <v>20</v>
      </c>
      <c r="AB3" s="111" t="s">
        <v>18</v>
      </c>
      <c r="AC3" s="111" t="s">
        <v>18</v>
      </c>
      <c r="AD3" s="110"/>
      <c r="AE3" s="110" t="s">
        <v>1179</v>
      </c>
      <c r="AF3" s="111" t="s">
        <v>18</v>
      </c>
      <c r="AG3" s="110"/>
      <c r="AH3" s="111" t="s">
        <v>990</v>
      </c>
      <c r="AI3" s="63">
        <v>30</v>
      </c>
      <c r="AJ3" s="111">
        <v>3</v>
      </c>
      <c r="AK3" s="63" t="s">
        <v>175</v>
      </c>
      <c r="AL3" s="63" t="s">
        <v>1236</v>
      </c>
      <c r="AM3" s="111">
        <v>120</v>
      </c>
      <c r="AN3" s="111">
        <v>30</v>
      </c>
      <c r="AO3" s="115">
        <v>6373</v>
      </c>
      <c r="AP3" s="115">
        <v>0</v>
      </c>
      <c r="AQ3" s="115">
        <v>0</v>
      </c>
      <c r="AR3" s="115">
        <v>10706640</v>
      </c>
      <c r="AS3" s="115">
        <v>1680000</v>
      </c>
      <c r="AT3" s="115">
        <v>0</v>
      </c>
      <c r="AU3" s="115">
        <v>0</v>
      </c>
      <c r="AV3" s="115">
        <v>0</v>
      </c>
      <c r="AW3" s="115">
        <v>12386640</v>
      </c>
      <c r="AX3" s="111" t="s">
        <v>20</v>
      </c>
      <c r="AZ3" s="111">
        <v>1</v>
      </c>
      <c r="BA3" s="111">
        <v>7</v>
      </c>
      <c r="BB3" s="111">
        <v>0</v>
      </c>
      <c r="BC3" s="111">
        <v>0</v>
      </c>
      <c r="BD3" s="111">
        <v>0</v>
      </c>
      <c r="BE3" s="111">
        <v>0</v>
      </c>
      <c r="BF3" s="111">
        <v>0</v>
      </c>
      <c r="BG3" s="111">
        <v>0</v>
      </c>
      <c r="BH3" s="111">
        <v>0</v>
      </c>
      <c r="BI3" s="111">
        <v>7</v>
      </c>
      <c r="BJ3" s="111">
        <v>7</v>
      </c>
      <c r="BK3" s="111">
        <v>7</v>
      </c>
      <c r="BL3" s="111">
        <v>7</v>
      </c>
      <c r="BM3" s="111">
        <v>7</v>
      </c>
      <c r="BN3" s="111">
        <v>7</v>
      </c>
      <c r="BO3" s="118">
        <v>6.4</v>
      </c>
      <c r="BP3" s="111" t="s">
        <v>20</v>
      </c>
      <c r="BQ3" s="63" t="s">
        <v>1356</v>
      </c>
      <c r="BR3" s="63" t="s">
        <v>1357</v>
      </c>
      <c r="BS3" s="163">
        <v>342358308</v>
      </c>
      <c r="BT3" s="63" t="s">
        <v>1358</v>
      </c>
      <c r="BU3" s="63" t="s">
        <v>1359</v>
      </c>
      <c r="BV3" s="63" t="s">
        <v>1360</v>
      </c>
    </row>
    <row r="4" spans="1:76" s="63" customFormat="1" ht="14.1" customHeight="1" x14ac:dyDescent="0.25">
      <c r="A4" s="63">
        <v>14387</v>
      </c>
      <c r="B4" s="110" t="s">
        <v>41</v>
      </c>
      <c r="C4" s="63" t="s">
        <v>1345</v>
      </c>
      <c r="D4" s="63">
        <v>2</v>
      </c>
      <c r="E4" s="63">
        <v>2025</v>
      </c>
      <c r="F4" s="111" t="s">
        <v>23</v>
      </c>
      <c r="G4" s="63" t="s">
        <v>1345</v>
      </c>
      <c r="H4" s="110" t="s">
        <v>41</v>
      </c>
      <c r="I4" s="63" t="s">
        <v>1346</v>
      </c>
      <c r="J4" s="63" t="s">
        <v>1347</v>
      </c>
      <c r="K4" s="63" t="s">
        <v>1199</v>
      </c>
      <c r="L4" t="s">
        <v>1200</v>
      </c>
      <c r="M4"/>
      <c r="N4" s="160" t="s">
        <v>21</v>
      </c>
      <c r="O4" s="63">
        <v>13</v>
      </c>
      <c r="Q4" s="63" t="s">
        <v>724</v>
      </c>
      <c r="R4" s="63" t="s">
        <v>1201</v>
      </c>
      <c r="S4" s="63" t="s">
        <v>339</v>
      </c>
      <c r="T4" s="63" t="s">
        <v>22</v>
      </c>
      <c r="U4" t="s">
        <v>348</v>
      </c>
      <c r="V4" s="111">
        <v>14</v>
      </c>
      <c r="W4" s="111">
        <v>240</v>
      </c>
      <c r="X4" s="111">
        <v>0</v>
      </c>
      <c r="Y4" s="111">
        <v>240</v>
      </c>
      <c r="Z4" s="111">
        <v>4</v>
      </c>
      <c r="AA4" s="111" t="s">
        <v>20</v>
      </c>
      <c r="AB4" s="111" t="s">
        <v>18</v>
      </c>
      <c r="AC4" s="111" t="s">
        <v>18</v>
      </c>
      <c r="AD4" s="110"/>
      <c r="AE4" s="110" t="s">
        <v>1202</v>
      </c>
      <c r="AF4" s="111" t="s">
        <v>20</v>
      </c>
      <c r="AG4" s="110" t="s">
        <v>1348</v>
      </c>
      <c r="AH4" s="111" t="s">
        <v>990</v>
      </c>
      <c r="AI4" s="63">
        <v>60</v>
      </c>
      <c r="AJ4" s="111">
        <v>3</v>
      </c>
      <c r="AK4" s="63" t="s">
        <v>175</v>
      </c>
      <c r="AL4" s="63" t="s">
        <v>1236</v>
      </c>
      <c r="AM4" s="111">
        <v>240</v>
      </c>
      <c r="AN4" s="111">
        <v>60</v>
      </c>
      <c r="AO4" s="115">
        <v>6373</v>
      </c>
      <c r="AP4" s="115">
        <v>0</v>
      </c>
      <c r="AQ4" s="115">
        <v>50000</v>
      </c>
      <c r="AR4" s="115">
        <v>21413280</v>
      </c>
      <c r="AS4" s="115">
        <v>3360000</v>
      </c>
      <c r="AT4" s="115">
        <v>0</v>
      </c>
      <c r="AU4" s="115">
        <v>0</v>
      </c>
      <c r="AV4" s="115">
        <v>700000</v>
      </c>
      <c r="AW4" s="115">
        <v>25473280</v>
      </c>
      <c r="AX4" s="111" t="s">
        <v>20</v>
      </c>
      <c r="AZ4" s="111">
        <v>1</v>
      </c>
      <c r="BA4" s="111">
        <v>7</v>
      </c>
      <c r="BB4" s="111">
        <v>0</v>
      </c>
      <c r="BC4" s="111">
        <v>0</v>
      </c>
      <c r="BD4" s="111">
        <v>0</v>
      </c>
      <c r="BE4" s="111">
        <v>0</v>
      </c>
      <c r="BF4" s="111">
        <v>0</v>
      </c>
      <c r="BG4" s="111">
        <v>0</v>
      </c>
      <c r="BH4" s="111">
        <v>0</v>
      </c>
      <c r="BI4" s="111">
        <v>7</v>
      </c>
      <c r="BJ4" s="111">
        <v>7</v>
      </c>
      <c r="BK4" s="111">
        <v>7</v>
      </c>
      <c r="BL4" s="111">
        <v>7</v>
      </c>
      <c r="BM4" s="111">
        <v>7</v>
      </c>
      <c r="BN4" s="111">
        <v>7</v>
      </c>
      <c r="BO4" s="118">
        <v>6.4</v>
      </c>
      <c r="BP4" s="111" t="s">
        <v>18</v>
      </c>
      <c r="BQ4" s="63" t="s">
        <v>1356</v>
      </c>
      <c r="BR4" s="63" t="s">
        <v>1357</v>
      </c>
      <c r="BS4" s="163">
        <v>342358308</v>
      </c>
      <c r="BT4" s="63" t="s">
        <v>1358</v>
      </c>
    </row>
    <row r="5" spans="1:76" s="63" customFormat="1" ht="14.1" customHeight="1" x14ac:dyDescent="0.25">
      <c r="A5" s="63">
        <v>14389</v>
      </c>
      <c r="B5" s="110" t="s">
        <v>41</v>
      </c>
      <c r="C5" s="63" t="s">
        <v>1345</v>
      </c>
      <c r="D5" s="63">
        <v>2</v>
      </c>
      <c r="E5" s="63">
        <v>2025</v>
      </c>
      <c r="F5" s="111" t="s">
        <v>23</v>
      </c>
      <c r="G5" s="63" t="s">
        <v>1345</v>
      </c>
      <c r="H5" s="110" t="s">
        <v>41</v>
      </c>
      <c r="I5" s="63" t="s">
        <v>1346</v>
      </c>
      <c r="J5" s="63" t="s">
        <v>1347</v>
      </c>
      <c r="K5" s="63" t="s">
        <v>745</v>
      </c>
      <c r="L5" s="110" t="s">
        <v>744</v>
      </c>
      <c r="M5" s="160" t="s">
        <v>345</v>
      </c>
      <c r="N5" s="160" t="s">
        <v>346</v>
      </c>
      <c r="O5" s="63">
        <v>13</v>
      </c>
      <c r="Q5" s="63" t="s">
        <v>724</v>
      </c>
      <c r="R5" s="160" t="s">
        <v>1178</v>
      </c>
      <c r="S5" s="63" t="s">
        <v>339</v>
      </c>
      <c r="T5" s="63" t="s">
        <v>19</v>
      </c>
      <c r="U5" t="s">
        <v>348</v>
      </c>
      <c r="V5" s="111">
        <v>14</v>
      </c>
      <c r="W5" s="111">
        <v>260</v>
      </c>
      <c r="X5" s="111">
        <v>12</v>
      </c>
      <c r="Y5" s="111">
        <v>272</v>
      </c>
      <c r="Z5" s="111">
        <v>4</v>
      </c>
      <c r="AA5" s="111" t="s">
        <v>20</v>
      </c>
      <c r="AB5" s="111" t="s">
        <v>18</v>
      </c>
      <c r="AC5" s="111" t="s">
        <v>20</v>
      </c>
      <c r="AD5" s="110"/>
      <c r="AE5" s="110" t="s">
        <v>1198</v>
      </c>
      <c r="AF5" s="111" t="s">
        <v>20</v>
      </c>
      <c r="AG5" s="110" t="s">
        <v>995</v>
      </c>
      <c r="AH5" s="111" t="s">
        <v>990</v>
      </c>
      <c r="AI5" s="63">
        <v>68</v>
      </c>
      <c r="AJ5" s="111">
        <v>2</v>
      </c>
      <c r="AK5" s="63" t="s">
        <v>638</v>
      </c>
      <c r="AL5" s="63" t="s">
        <v>1329</v>
      </c>
      <c r="AM5" s="111">
        <v>272</v>
      </c>
      <c r="AN5" s="111">
        <v>68</v>
      </c>
      <c r="AO5" s="115">
        <v>5075</v>
      </c>
      <c r="AP5" s="115">
        <v>250000</v>
      </c>
      <c r="AQ5" s="115">
        <v>250000</v>
      </c>
      <c r="AR5" s="115">
        <v>19325600</v>
      </c>
      <c r="AS5" s="115">
        <v>3808000</v>
      </c>
      <c r="AT5" s="115">
        <v>3500000</v>
      </c>
      <c r="AU5" s="115">
        <v>0</v>
      </c>
      <c r="AV5" s="115">
        <v>3500000</v>
      </c>
      <c r="AW5" s="115">
        <v>30133600</v>
      </c>
      <c r="AX5" s="111" t="s">
        <v>18</v>
      </c>
      <c r="AY5" s="63" t="s">
        <v>1447</v>
      </c>
      <c r="AZ5" s="111">
        <v>0</v>
      </c>
      <c r="BA5" s="111">
        <v>0</v>
      </c>
      <c r="BB5" s="111">
        <v>0</v>
      </c>
      <c r="BC5" s="111">
        <v>0</v>
      </c>
      <c r="BD5" s="111">
        <v>0</v>
      </c>
      <c r="BE5" s="111">
        <v>0</v>
      </c>
      <c r="BF5" s="111">
        <v>0</v>
      </c>
      <c r="BG5" s="111">
        <v>0</v>
      </c>
      <c r="BH5" s="111">
        <v>0</v>
      </c>
      <c r="BI5" s="111">
        <v>0</v>
      </c>
      <c r="BJ5" s="111">
        <v>0</v>
      </c>
      <c r="BK5" s="111">
        <v>0</v>
      </c>
      <c r="BL5" s="111">
        <v>0</v>
      </c>
      <c r="BM5" s="111">
        <v>0</v>
      </c>
      <c r="BN5" s="111">
        <v>0</v>
      </c>
      <c r="BO5" s="111">
        <v>0</v>
      </c>
      <c r="BP5" s="111" t="s">
        <v>18</v>
      </c>
      <c r="BQ5" s="63" t="s">
        <v>1448</v>
      </c>
      <c r="BR5" s="63" t="s">
        <v>1449</v>
      </c>
      <c r="BS5" s="163">
        <v>995011989</v>
      </c>
      <c r="BT5" s="63" t="s">
        <v>1450</v>
      </c>
    </row>
    <row r="6" spans="1:76" s="63" customFormat="1" ht="14.1" customHeight="1" x14ac:dyDescent="0.25">
      <c r="A6" s="63">
        <v>14385</v>
      </c>
      <c r="B6" s="110" t="s">
        <v>41</v>
      </c>
      <c r="C6" s="63" t="s">
        <v>1345</v>
      </c>
      <c r="D6" s="63">
        <v>2</v>
      </c>
      <c r="E6" s="63">
        <v>2025</v>
      </c>
      <c r="F6" s="111" t="s">
        <v>23</v>
      </c>
      <c r="G6" s="63" t="s">
        <v>1345</v>
      </c>
      <c r="H6" s="110" t="s">
        <v>41</v>
      </c>
      <c r="I6" s="63" t="s">
        <v>1346</v>
      </c>
      <c r="J6" s="63" t="s">
        <v>1347</v>
      </c>
      <c r="K6" s="63" t="s">
        <v>1176</v>
      </c>
      <c r="L6" s="160" t="s">
        <v>1177</v>
      </c>
      <c r="M6" s="160" t="s">
        <v>21</v>
      </c>
      <c r="N6" s="160" t="s">
        <v>21</v>
      </c>
      <c r="O6" s="63">
        <v>13</v>
      </c>
      <c r="Q6" s="63" t="s">
        <v>724</v>
      </c>
      <c r="R6" s="160" t="s">
        <v>1178</v>
      </c>
      <c r="S6" s="63" t="s">
        <v>339</v>
      </c>
      <c r="T6" s="63" t="s">
        <v>22</v>
      </c>
      <c r="U6" t="s">
        <v>348</v>
      </c>
      <c r="V6" s="111">
        <v>16</v>
      </c>
      <c r="W6" s="111">
        <v>110</v>
      </c>
      <c r="X6" s="111">
        <v>0</v>
      </c>
      <c r="Y6" s="111">
        <v>110</v>
      </c>
      <c r="Z6" s="111">
        <v>4</v>
      </c>
      <c r="AA6" s="111" t="s">
        <v>20</v>
      </c>
      <c r="AB6" s="111" t="s">
        <v>18</v>
      </c>
      <c r="AC6" s="111" t="s">
        <v>18</v>
      </c>
      <c r="AD6" s="110"/>
      <c r="AE6" s="110" t="s">
        <v>1179</v>
      </c>
      <c r="AF6" s="111" t="s">
        <v>18</v>
      </c>
      <c r="AG6" s="110"/>
      <c r="AH6" s="111" t="s">
        <v>990</v>
      </c>
      <c r="AI6" s="63">
        <v>28</v>
      </c>
      <c r="AJ6" s="111">
        <v>2</v>
      </c>
      <c r="AK6" s="63" t="s">
        <v>228</v>
      </c>
      <c r="AL6" s="63" t="s">
        <v>1328</v>
      </c>
      <c r="AM6" s="111">
        <v>110</v>
      </c>
      <c r="AN6" s="111">
        <v>28</v>
      </c>
      <c r="AO6" s="115">
        <v>5075</v>
      </c>
      <c r="AP6" s="115">
        <v>0</v>
      </c>
      <c r="AQ6" s="115">
        <v>0</v>
      </c>
      <c r="AR6" s="115">
        <v>8932000</v>
      </c>
      <c r="AS6" s="115">
        <v>1792000</v>
      </c>
      <c r="AT6" s="115">
        <v>0</v>
      </c>
      <c r="AU6" s="115">
        <v>0</v>
      </c>
      <c r="AV6" s="115">
        <v>0</v>
      </c>
      <c r="AW6" s="115">
        <v>10724000</v>
      </c>
      <c r="AX6" s="111" t="s">
        <v>20</v>
      </c>
      <c r="AZ6" s="111">
        <v>3</v>
      </c>
      <c r="BA6" s="111">
        <v>5</v>
      </c>
      <c r="BB6" s="111">
        <v>0</v>
      </c>
      <c r="BC6" s="111">
        <v>0</v>
      </c>
      <c r="BD6" s="111">
        <v>0</v>
      </c>
      <c r="BE6" s="111">
        <v>0</v>
      </c>
      <c r="BF6" s="111">
        <v>0</v>
      </c>
      <c r="BG6" s="111">
        <v>0</v>
      </c>
      <c r="BH6" s="111">
        <v>0</v>
      </c>
      <c r="BI6" s="111">
        <v>7</v>
      </c>
      <c r="BJ6" s="111">
        <v>7</v>
      </c>
      <c r="BK6" s="111">
        <v>7</v>
      </c>
      <c r="BL6" s="111">
        <v>7</v>
      </c>
      <c r="BM6" s="111">
        <v>7</v>
      </c>
      <c r="BN6" s="111">
        <v>7</v>
      </c>
      <c r="BO6" s="118">
        <v>6.4</v>
      </c>
      <c r="BP6" s="111" t="s">
        <v>18</v>
      </c>
      <c r="BQ6" s="63" t="s">
        <v>1362</v>
      </c>
      <c r="BR6" s="63" t="s">
        <v>1363</v>
      </c>
      <c r="BS6" s="163">
        <v>722604254</v>
      </c>
      <c r="BT6" s="63" t="s">
        <v>1364</v>
      </c>
    </row>
    <row r="7" spans="1:76" s="113" customFormat="1" ht="14.1" customHeight="1" x14ac:dyDescent="0.25">
      <c r="A7" s="63">
        <v>14283</v>
      </c>
      <c r="B7" s="110" t="s">
        <v>41</v>
      </c>
      <c r="C7" s="63" t="s">
        <v>1345</v>
      </c>
      <c r="D7" s="63">
        <v>2</v>
      </c>
      <c r="E7" s="63">
        <v>2025</v>
      </c>
      <c r="F7" s="111" t="s">
        <v>23</v>
      </c>
      <c r="G7" s="63" t="s">
        <v>1345</v>
      </c>
      <c r="H7" s="110" t="s">
        <v>41</v>
      </c>
      <c r="I7" s="63" t="s">
        <v>1350</v>
      </c>
      <c r="J7" s="63" t="s">
        <v>1351</v>
      </c>
      <c r="K7" s="63" t="s">
        <v>1190</v>
      </c>
      <c r="L7" s="92" t="s">
        <v>992</v>
      </c>
      <c r="M7" s="160" t="s">
        <v>407</v>
      </c>
      <c r="N7" s="160" t="s">
        <v>408</v>
      </c>
      <c r="O7" s="63">
        <v>10</v>
      </c>
      <c r="P7" s="63"/>
      <c r="Q7" s="63" t="s">
        <v>1014</v>
      </c>
      <c r="R7" s="160" t="s">
        <v>1178</v>
      </c>
      <c r="S7" s="63" t="s">
        <v>339</v>
      </c>
      <c r="T7" s="63" t="s">
        <v>22</v>
      </c>
      <c r="U7" t="s">
        <v>1196</v>
      </c>
      <c r="V7" s="111">
        <v>20</v>
      </c>
      <c r="W7" s="111"/>
      <c r="X7" s="111"/>
      <c r="Y7" s="111">
        <v>224</v>
      </c>
      <c r="Z7" s="111">
        <v>8</v>
      </c>
      <c r="AA7" s="111" t="s">
        <v>20</v>
      </c>
      <c r="AB7" s="111" t="s">
        <v>18</v>
      </c>
      <c r="AC7" s="111" t="s">
        <v>18</v>
      </c>
      <c r="AD7" s="161" t="s">
        <v>1352</v>
      </c>
      <c r="AE7" s="161" t="s">
        <v>1354</v>
      </c>
      <c r="AF7" s="111" t="s">
        <v>18</v>
      </c>
      <c r="AG7" s="110"/>
      <c r="AH7" s="111" t="s">
        <v>990</v>
      </c>
      <c r="AI7" s="63">
        <v>28</v>
      </c>
      <c r="AJ7" s="111">
        <v>3</v>
      </c>
      <c r="AK7" s="63" t="s">
        <v>257</v>
      </c>
      <c r="AL7" s="63" t="s">
        <v>1255</v>
      </c>
      <c r="AM7" s="111">
        <v>224</v>
      </c>
      <c r="AN7" s="111">
        <v>28</v>
      </c>
      <c r="AO7" s="115">
        <v>6373</v>
      </c>
      <c r="AP7" s="115">
        <v>0</v>
      </c>
      <c r="AQ7" s="115">
        <v>0</v>
      </c>
      <c r="AR7" s="115">
        <v>28551040</v>
      </c>
      <c r="AS7" s="115">
        <v>2240000</v>
      </c>
      <c r="AT7" s="115">
        <v>0</v>
      </c>
      <c r="AU7" s="115">
        <v>0</v>
      </c>
      <c r="AV7" s="115">
        <v>0</v>
      </c>
      <c r="AW7" s="115">
        <v>30791040</v>
      </c>
      <c r="AX7" s="111" t="s">
        <v>18</v>
      </c>
      <c r="AY7" s="164" t="s">
        <v>2400</v>
      </c>
      <c r="AZ7" s="111">
        <v>0</v>
      </c>
      <c r="BA7" s="111">
        <v>0</v>
      </c>
      <c r="BB7" s="111">
        <v>0</v>
      </c>
      <c r="BC7" s="111">
        <v>0</v>
      </c>
      <c r="BD7" s="111">
        <v>0</v>
      </c>
      <c r="BE7" s="111">
        <v>0</v>
      </c>
      <c r="BF7" s="111">
        <v>0</v>
      </c>
      <c r="BG7" s="111">
        <v>0</v>
      </c>
      <c r="BH7" s="111">
        <v>0</v>
      </c>
      <c r="BI7" s="111">
        <v>0</v>
      </c>
      <c r="BJ7" s="111">
        <v>0</v>
      </c>
      <c r="BK7" s="111">
        <v>0</v>
      </c>
      <c r="BL7" s="111">
        <v>0</v>
      </c>
      <c r="BM7" s="111">
        <v>0</v>
      </c>
      <c r="BN7" s="111">
        <v>0</v>
      </c>
      <c r="BO7" s="111">
        <v>0</v>
      </c>
      <c r="BP7" s="111" t="s">
        <v>18</v>
      </c>
      <c r="BQ7" s="63" t="s">
        <v>1420</v>
      </c>
      <c r="BR7" s="63" t="s">
        <v>1421</v>
      </c>
      <c r="BS7" s="163">
        <v>989200476</v>
      </c>
      <c r="BT7" s="63" t="s">
        <v>1422</v>
      </c>
      <c r="BU7" s="63"/>
      <c r="BV7" s="63"/>
      <c r="BW7" s="63"/>
      <c r="BX7" s="63"/>
    </row>
    <row r="8" spans="1:76" s="63" customFormat="1" ht="14.1" customHeight="1" x14ac:dyDescent="0.25">
      <c r="A8" s="63">
        <v>14388</v>
      </c>
      <c r="B8" s="110" t="s">
        <v>41</v>
      </c>
      <c r="C8" s="63" t="s">
        <v>1345</v>
      </c>
      <c r="D8" s="63">
        <v>2</v>
      </c>
      <c r="E8" s="63">
        <v>2025</v>
      </c>
      <c r="F8" s="111" t="s">
        <v>23</v>
      </c>
      <c r="G8" s="63" t="s">
        <v>1345</v>
      </c>
      <c r="H8" s="110" t="s">
        <v>41</v>
      </c>
      <c r="I8" s="63" t="s">
        <v>1346</v>
      </c>
      <c r="J8" s="63" t="s">
        <v>1347</v>
      </c>
      <c r="K8" s="63" t="s">
        <v>1185</v>
      </c>
      <c r="L8" s="110" t="s">
        <v>1186</v>
      </c>
      <c r="M8" s="110"/>
      <c r="N8" s="160" t="s">
        <v>21</v>
      </c>
      <c r="O8" s="63">
        <v>13</v>
      </c>
      <c r="Q8" s="63" t="s">
        <v>724</v>
      </c>
      <c r="R8" s="160" t="s">
        <v>1178</v>
      </c>
      <c r="S8" s="63" t="s">
        <v>339</v>
      </c>
      <c r="T8" s="63" t="s">
        <v>22</v>
      </c>
      <c r="U8" t="s">
        <v>348</v>
      </c>
      <c r="V8" s="111">
        <v>16</v>
      </c>
      <c r="W8" s="111">
        <v>80</v>
      </c>
      <c r="X8" s="111">
        <v>0</v>
      </c>
      <c r="Y8" s="111">
        <v>80</v>
      </c>
      <c r="Z8" s="111">
        <v>4</v>
      </c>
      <c r="AA8" s="111" t="s">
        <v>20</v>
      </c>
      <c r="AB8" s="111" t="s">
        <v>18</v>
      </c>
      <c r="AC8" s="111" t="s">
        <v>18</v>
      </c>
      <c r="AD8" s="110"/>
      <c r="AE8" s="110" t="s">
        <v>1179</v>
      </c>
      <c r="AF8" s="111" t="s">
        <v>18</v>
      </c>
      <c r="AG8" s="110"/>
      <c r="AH8" s="111" t="s">
        <v>990</v>
      </c>
      <c r="AI8" s="63">
        <v>20</v>
      </c>
      <c r="AJ8" s="111">
        <v>3</v>
      </c>
      <c r="AK8" s="63" t="s">
        <v>228</v>
      </c>
      <c r="AL8" s="63" t="s">
        <v>1328</v>
      </c>
      <c r="AM8" s="111">
        <v>80</v>
      </c>
      <c r="AN8" s="111">
        <v>20</v>
      </c>
      <c r="AO8" s="115">
        <v>6373</v>
      </c>
      <c r="AP8" s="115">
        <v>0</v>
      </c>
      <c r="AQ8" s="115">
        <v>0</v>
      </c>
      <c r="AR8" s="115">
        <v>8157440</v>
      </c>
      <c r="AS8" s="115">
        <v>1280000</v>
      </c>
      <c r="AT8" s="115">
        <v>0</v>
      </c>
      <c r="AU8" s="115">
        <v>0</v>
      </c>
      <c r="AV8" s="115">
        <v>0</v>
      </c>
      <c r="AW8" s="115">
        <v>9437440</v>
      </c>
      <c r="AX8" s="111" t="s">
        <v>20</v>
      </c>
      <c r="AZ8" s="111">
        <v>3</v>
      </c>
      <c r="BA8" s="111">
        <v>5</v>
      </c>
      <c r="BB8" s="111">
        <v>0</v>
      </c>
      <c r="BC8" s="111">
        <v>0</v>
      </c>
      <c r="BD8" s="111">
        <v>0</v>
      </c>
      <c r="BE8" s="111">
        <v>0</v>
      </c>
      <c r="BF8" s="111">
        <v>0</v>
      </c>
      <c r="BG8" s="111">
        <v>0</v>
      </c>
      <c r="BH8" s="111">
        <v>0</v>
      </c>
      <c r="BI8" s="111">
        <v>7</v>
      </c>
      <c r="BJ8" s="111">
        <v>7</v>
      </c>
      <c r="BK8" s="111">
        <v>7</v>
      </c>
      <c r="BL8" s="111">
        <v>7</v>
      </c>
      <c r="BM8" s="111">
        <v>7</v>
      </c>
      <c r="BN8" s="111">
        <v>7</v>
      </c>
      <c r="BO8" s="118">
        <v>6.4</v>
      </c>
      <c r="BP8" s="111" t="s">
        <v>18</v>
      </c>
      <c r="BQ8" s="63" t="s">
        <v>1362</v>
      </c>
      <c r="BR8" s="63" t="s">
        <v>1363</v>
      </c>
      <c r="BS8" s="163">
        <v>722604254</v>
      </c>
      <c r="BT8" s="63" t="s">
        <v>1364</v>
      </c>
    </row>
    <row r="9" spans="1:76" s="63" customFormat="1" ht="14.1" customHeight="1" x14ac:dyDescent="0.25">
      <c r="A9" s="63">
        <v>14389</v>
      </c>
      <c r="B9" s="110" t="s">
        <v>41</v>
      </c>
      <c r="C9" s="63" t="s">
        <v>1345</v>
      </c>
      <c r="D9" s="63">
        <v>2</v>
      </c>
      <c r="E9" s="63">
        <v>2025</v>
      </c>
      <c r="F9" s="111" t="s">
        <v>23</v>
      </c>
      <c r="G9" s="63" t="s">
        <v>1345</v>
      </c>
      <c r="H9" s="110" t="s">
        <v>41</v>
      </c>
      <c r="I9" s="63" t="s">
        <v>1346</v>
      </c>
      <c r="J9" s="63" t="s">
        <v>1347</v>
      </c>
      <c r="K9" s="63" t="s">
        <v>745</v>
      </c>
      <c r="L9" s="175" t="s">
        <v>744</v>
      </c>
      <c r="M9" t="s">
        <v>345</v>
      </c>
      <c r="N9" t="s">
        <v>346</v>
      </c>
      <c r="O9" s="63">
        <v>13</v>
      </c>
      <c r="Q9" s="63" t="s">
        <v>724</v>
      </c>
      <c r="R9" s="160" t="s">
        <v>1178</v>
      </c>
      <c r="S9" s="63" t="s">
        <v>339</v>
      </c>
      <c r="T9" s="63" t="s">
        <v>19</v>
      </c>
      <c r="U9" t="s">
        <v>348</v>
      </c>
      <c r="V9" s="111">
        <v>14</v>
      </c>
      <c r="W9" s="111">
        <v>260</v>
      </c>
      <c r="X9" s="111">
        <v>12</v>
      </c>
      <c r="Y9" s="111">
        <v>272</v>
      </c>
      <c r="Z9" s="111">
        <v>4</v>
      </c>
      <c r="AA9" s="111" t="s">
        <v>20</v>
      </c>
      <c r="AB9" s="111" t="s">
        <v>18</v>
      </c>
      <c r="AC9" s="111" t="s">
        <v>20</v>
      </c>
      <c r="AD9" s="110"/>
      <c r="AE9" s="110" t="s">
        <v>1198</v>
      </c>
      <c r="AF9" s="111" t="s">
        <v>20</v>
      </c>
      <c r="AG9" s="110" t="s">
        <v>995</v>
      </c>
      <c r="AH9" s="111" t="s">
        <v>990</v>
      </c>
      <c r="AI9" s="63">
        <v>68</v>
      </c>
      <c r="AJ9" s="111">
        <v>2</v>
      </c>
      <c r="AK9" s="63" t="s">
        <v>228</v>
      </c>
      <c r="AL9" s="63" t="s">
        <v>1328</v>
      </c>
      <c r="AM9" s="111">
        <v>272</v>
      </c>
      <c r="AN9" s="111">
        <v>68</v>
      </c>
      <c r="AO9" s="115">
        <v>5075</v>
      </c>
      <c r="AP9" s="115">
        <v>250000</v>
      </c>
      <c r="AQ9" s="115">
        <v>250000</v>
      </c>
      <c r="AR9" s="115">
        <v>19325600</v>
      </c>
      <c r="AS9" s="115">
        <v>3808000</v>
      </c>
      <c r="AT9" s="115">
        <v>3500000</v>
      </c>
      <c r="AU9" s="115">
        <v>0</v>
      </c>
      <c r="AV9" s="115">
        <v>3500000</v>
      </c>
      <c r="AW9" s="115">
        <v>30133600</v>
      </c>
      <c r="AX9" s="111" t="s">
        <v>20</v>
      </c>
      <c r="AZ9" s="111">
        <v>3</v>
      </c>
      <c r="BA9" s="111">
        <v>5</v>
      </c>
      <c r="BB9" s="111">
        <v>0</v>
      </c>
      <c r="BC9" s="111">
        <v>0</v>
      </c>
      <c r="BD9" s="111">
        <v>0</v>
      </c>
      <c r="BE9" s="111">
        <v>0</v>
      </c>
      <c r="BF9" s="111">
        <v>0</v>
      </c>
      <c r="BG9" s="111">
        <v>0</v>
      </c>
      <c r="BH9" s="111">
        <v>0</v>
      </c>
      <c r="BI9" s="111">
        <v>7</v>
      </c>
      <c r="BJ9" s="111">
        <v>7</v>
      </c>
      <c r="BK9" s="111">
        <v>7</v>
      </c>
      <c r="BL9" s="111">
        <v>7</v>
      </c>
      <c r="BM9" s="111">
        <v>7</v>
      </c>
      <c r="BN9" s="111">
        <v>6.9</v>
      </c>
      <c r="BO9" s="118">
        <v>6.4</v>
      </c>
      <c r="BP9" s="111" t="s">
        <v>18</v>
      </c>
      <c r="BQ9" s="112" t="s">
        <v>1362</v>
      </c>
      <c r="BR9" s="63" t="s">
        <v>1363</v>
      </c>
      <c r="BS9" s="163">
        <v>722604254</v>
      </c>
      <c r="BT9" s="63" t="s">
        <v>1364</v>
      </c>
    </row>
    <row r="10" spans="1:76" s="63" customFormat="1" ht="14.1" customHeight="1" x14ac:dyDescent="0.25">
      <c r="A10" s="63">
        <v>14337</v>
      </c>
      <c r="B10" s="110" t="s">
        <v>41</v>
      </c>
      <c r="C10" s="63" t="s">
        <v>1345</v>
      </c>
      <c r="D10" s="63">
        <v>2</v>
      </c>
      <c r="E10" s="63">
        <v>2025</v>
      </c>
      <c r="F10" s="111" t="s">
        <v>23</v>
      </c>
      <c r="G10" s="63" t="s">
        <v>1345</v>
      </c>
      <c r="H10" s="110" t="s">
        <v>41</v>
      </c>
      <c r="I10" s="63" t="s">
        <v>98</v>
      </c>
      <c r="J10" s="63" t="s">
        <v>1349</v>
      </c>
      <c r="K10" s="63" t="s">
        <v>391</v>
      </c>
      <c r="L10" s="110" t="s">
        <v>987</v>
      </c>
      <c r="M10" s="110"/>
      <c r="N10" s="160" t="s">
        <v>21</v>
      </c>
      <c r="O10" s="63">
        <v>13</v>
      </c>
      <c r="Q10" s="63" t="s">
        <v>416</v>
      </c>
      <c r="R10" s="160" t="s">
        <v>1178</v>
      </c>
      <c r="S10" s="63" t="s">
        <v>339</v>
      </c>
      <c r="T10" s="63" t="s">
        <v>19</v>
      </c>
      <c r="U10" t="s">
        <v>347</v>
      </c>
      <c r="V10" s="111">
        <v>18</v>
      </c>
      <c r="W10" s="111">
        <v>24</v>
      </c>
      <c r="X10" s="111">
        <v>0</v>
      </c>
      <c r="Y10" s="111">
        <v>24</v>
      </c>
      <c r="Z10" s="111">
        <v>4</v>
      </c>
      <c r="AA10" s="111" t="s">
        <v>20</v>
      </c>
      <c r="AB10" s="111" t="s">
        <v>18</v>
      </c>
      <c r="AC10" s="111" t="s">
        <v>18</v>
      </c>
      <c r="AD10" s="110"/>
      <c r="AE10" s="110" t="s">
        <v>1180</v>
      </c>
      <c r="AF10" s="111" t="s">
        <v>20</v>
      </c>
      <c r="AG10" s="110" t="s">
        <v>988</v>
      </c>
      <c r="AH10" s="111" t="s">
        <v>990</v>
      </c>
      <c r="AI10" s="63">
        <v>15</v>
      </c>
      <c r="AJ10" s="111">
        <v>3</v>
      </c>
      <c r="AK10" s="63" t="s">
        <v>134</v>
      </c>
      <c r="AL10" s="63" t="s">
        <v>1203</v>
      </c>
      <c r="AM10" s="111">
        <v>24</v>
      </c>
      <c r="AN10" s="111">
        <v>15</v>
      </c>
      <c r="AO10" s="115">
        <v>6373</v>
      </c>
      <c r="AP10" s="115">
        <v>0</v>
      </c>
      <c r="AQ10" s="115">
        <v>50000</v>
      </c>
      <c r="AR10" s="115">
        <v>2753136</v>
      </c>
      <c r="AS10" s="115">
        <v>1080000</v>
      </c>
      <c r="AT10" s="115">
        <v>0</v>
      </c>
      <c r="AU10" s="115">
        <v>0</v>
      </c>
      <c r="AV10" s="115">
        <v>900000</v>
      </c>
      <c r="AW10" s="115">
        <v>4733136</v>
      </c>
      <c r="AX10" s="111" t="s">
        <v>20</v>
      </c>
      <c r="AZ10" s="111">
        <v>7</v>
      </c>
      <c r="BA10" s="111">
        <v>7</v>
      </c>
      <c r="BB10" s="111">
        <v>0</v>
      </c>
      <c r="BC10" s="111">
        <v>0</v>
      </c>
      <c r="BD10" s="111">
        <v>0</v>
      </c>
      <c r="BE10" s="111">
        <v>0</v>
      </c>
      <c r="BF10" s="111">
        <v>0</v>
      </c>
      <c r="BG10" s="111">
        <v>0</v>
      </c>
      <c r="BH10" s="111">
        <v>0</v>
      </c>
      <c r="BI10" s="111">
        <v>7</v>
      </c>
      <c r="BJ10" s="111">
        <v>7</v>
      </c>
      <c r="BK10" s="111">
        <v>7</v>
      </c>
      <c r="BL10" s="111">
        <v>7</v>
      </c>
      <c r="BM10" s="111">
        <v>7</v>
      </c>
      <c r="BN10" s="111">
        <v>7</v>
      </c>
      <c r="BO10" s="118">
        <v>7</v>
      </c>
      <c r="BP10" s="111" t="s">
        <v>20</v>
      </c>
      <c r="BQ10" s="112" t="s">
        <v>1366</v>
      </c>
      <c r="BR10" s="63" t="s">
        <v>1367</v>
      </c>
      <c r="BS10" s="163">
        <v>950110805</v>
      </c>
      <c r="BT10" s="63" t="s">
        <v>1368</v>
      </c>
      <c r="BU10" s="63" t="s">
        <v>1369</v>
      </c>
      <c r="BV10" s="63" t="s">
        <v>1370</v>
      </c>
    </row>
    <row r="11" spans="1:76" s="63" customFormat="1" ht="14.1" customHeight="1" x14ac:dyDescent="0.25">
      <c r="A11" s="63">
        <v>14339</v>
      </c>
      <c r="B11" s="110" t="s">
        <v>41</v>
      </c>
      <c r="C11" s="63" t="s">
        <v>1345</v>
      </c>
      <c r="D11" s="63">
        <v>2</v>
      </c>
      <c r="E11" s="63">
        <v>2025</v>
      </c>
      <c r="F11" s="111" t="s">
        <v>23</v>
      </c>
      <c r="G11" s="63" t="s">
        <v>1345</v>
      </c>
      <c r="H11" s="110" t="s">
        <v>41</v>
      </c>
      <c r="I11" s="63" t="s">
        <v>98</v>
      </c>
      <c r="J11" s="63" t="s">
        <v>1349</v>
      </c>
      <c r="K11" s="63" t="s">
        <v>391</v>
      </c>
      <c r="L11" s="110" t="s">
        <v>987</v>
      </c>
      <c r="M11" s="110"/>
      <c r="N11" s="160" t="s">
        <v>21</v>
      </c>
      <c r="O11" s="63">
        <v>13</v>
      </c>
      <c r="Q11" s="63" t="s">
        <v>416</v>
      </c>
      <c r="R11" s="160" t="s">
        <v>1178</v>
      </c>
      <c r="S11" s="63" t="s">
        <v>339</v>
      </c>
      <c r="T11" s="63" t="s">
        <v>19</v>
      </c>
      <c r="U11" t="s">
        <v>347</v>
      </c>
      <c r="V11" s="111">
        <v>18</v>
      </c>
      <c r="W11" s="111">
        <v>24</v>
      </c>
      <c r="X11" s="111">
        <v>0</v>
      </c>
      <c r="Y11" s="111">
        <v>24</v>
      </c>
      <c r="Z11" s="111">
        <v>4</v>
      </c>
      <c r="AA11" s="111" t="s">
        <v>20</v>
      </c>
      <c r="AB11" s="111" t="s">
        <v>18</v>
      </c>
      <c r="AC11" s="111" t="s">
        <v>18</v>
      </c>
      <c r="AD11" s="110"/>
      <c r="AE11" s="110" t="s">
        <v>1180</v>
      </c>
      <c r="AF11" s="111" t="s">
        <v>20</v>
      </c>
      <c r="AG11" s="110" t="s">
        <v>988</v>
      </c>
      <c r="AH11" s="111" t="s">
        <v>990</v>
      </c>
      <c r="AI11" s="63">
        <v>15</v>
      </c>
      <c r="AJ11" s="111">
        <v>3</v>
      </c>
      <c r="AK11" s="63" t="s">
        <v>134</v>
      </c>
      <c r="AL11" s="63" t="s">
        <v>1203</v>
      </c>
      <c r="AM11" s="111">
        <v>24</v>
      </c>
      <c r="AN11" s="111">
        <v>15</v>
      </c>
      <c r="AO11" s="115">
        <v>6373</v>
      </c>
      <c r="AP11" s="115">
        <v>0</v>
      </c>
      <c r="AQ11" s="115">
        <v>50000</v>
      </c>
      <c r="AR11" s="115">
        <v>2753136</v>
      </c>
      <c r="AS11" s="115">
        <v>1080000</v>
      </c>
      <c r="AT11" s="115">
        <v>0</v>
      </c>
      <c r="AU11" s="115">
        <v>0</v>
      </c>
      <c r="AV11" s="115">
        <v>900000</v>
      </c>
      <c r="AW11" s="115">
        <v>4733136</v>
      </c>
      <c r="AX11" s="111" t="s">
        <v>20</v>
      </c>
      <c r="AZ11" s="111">
        <v>7</v>
      </c>
      <c r="BA11" s="111">
        <v>7</v>
      </c>
      <c r="BB11" s="111">
        <v>0</v>
      </c>
      <c r="BC11" s="111">
        <v>0</v>
      </c>
      <c r="BD11" s="111">
        <v>0</v>
      </c>
      <c r="BE11" s="111">
        <v>0</v>
      </c>
      <c r="BF11" s="111">
        <v>0</v>
      </c>
      <c r="BG11" s="111">
        <v>0</v>
      </c>
      <c r="BH11" s="111">
        <v>0</v>
      </c>
      <c r="BI11" s="111">
        <v>7</v>
      </c>
      <c r="BJ11" s="111">
        <v>7</v>
      </c>
      <c r="BK11" s="111">
        <v>7</v>
      </c>
      <c r="BL11" s="111">
        <v>7</v>
      </c>
      <c r="BM11" s="111">
        <v>7</v>
      </c>
      <c r="BN11" s="111">
        <v>7</v>
      </c>
      <c r="BO11" s="118">
        <v>7</v>
      </c>
      <c r="BP11" s="111" t="s">
        <v>20</v>
      </c>
      <c r="BQ11" s="112" t="s">
        <v>1366</v>
      </c>
      <c r="BR11" s="63" t="s">
        <v>1367</v>
      </c>
      <c r="BS11" s="163">
        <v>950110805</v>
      </c>
      <c r="BT11" s="63" t="s">
        <v>1368</v>
      </c>
      <c r="BU11" s="63" t="s">
        <v>1369</v>
      </c>
      <c r="BV11" s="63" t="s">
        <v>1370</v>
      </c>
    </row>
    <row r="12" spans="1:76" s="63" customFormat="1" ht="14.1" customHeight="1" x14ac:dyDescent="0.25">
      <c r="A12" s="63">
        <v>14281</v>
      </c>
      <c r="B12" s="110" t="s">
        <v>41</v>
      </c>
      <c r="C12" s="63" t="s">
        <v>1345</v>
      </c>
      <c r="D12" s="63">
        <v>2</v>
      </c>
      <c r="E12" s="63">
        <v>2025</v>
      </c>
      <c r="F12" s="111" t="s">
        <v>23</v>
      </c>
      <c r="G12" s="63" t="s">
        <v>1345</v>
      </c>
      <c r="H12" s="110" t="s">
        <v>41</v>
      </c>
      <c r="I12" s="63" t="s">
        <v>1350</v>
      </c>
      <c r="J12" s="63" t="s">
        <v>1351</v>
      </c>
      <c r="K12" s="63" t="s">
        <v>1190</v>
      </c>
      <c r="L12" s="92" t="s">
        <v>992</v>
      </c>
      <c r="M12" t="s">
        <v>407</v>
      </c>
      <c r="N12" s="160" t="s">
        <v>408</v>
      </c>
      <c r="O12" s="63">
        <v>10</v>
      </c>
      <c r="Q12" s="63" t="s">
        <v>736</v>
      </c>
      <c r="R12" s="160" t="s">
        <v>1178</v>
      </c>
      <c r="S12" s="63" t="s">
        <v>339</v>
      </c>
      <c r="T12" s="63" t="s">
        <v>22</v>
      </c>
      <c r="U12" t="s">
        <v>1196</v>
      </c>
      <c r="V12" s="111">
        <v>20</v>
      </c>
      <c r="W12" s="111"/>
      <c r="X12" s="111"/>
      <c r="Y12" s="111">
        <v>224</v>
      </c>
      <c r="Z12" s="111">
        <v>8</v>
      </c>
      <c r="AA12" s="111" t="s">
        <v>20</v>
      </c>
      <c r="AB12" s="111" t="s">
        <v>18</v>
      </c>
      <c r="AC12" s="111" t="s">
        <v>18</v>
      </c>
      <c r="AD12" s="161" t="s">
        <v>1352</v>
      </c>
      <c r="AE12" s="161" t="s">
        <v>1197</v>
      </c>
      <c r="AF12" s="111" t="s">
        <v>18</v>
      </c>
      <c r="AG12" s="110"/>
      <c r="AH12" s="111" t="s">
        <v>990</v>
      </c>
      <c r="AI12" s="63">
        <v>28</v>
      </c>
      <c r="AJ12" s="111">
        <v>3</v>
      </c>
      <c r="AK12" s="63" t="s">
        <v>257</v>
      </c>
      <c r="AL12" s="63" t="s">
        <v>1255</v>
      </c>
      <c r="AM12" s="111">
        <v>224</v>
      </c>
      <c r="AN12" s="111">
        <v>28</v>
      </c>
      <c r="AO12" s="115">
        <v>6373</v>
      </c>
      <c r="AP12" s="115">
        <v>0</v>
      </c>
      <c r="AQ12" s="115">
        <v>0</v>
      </c>
      <c r="AR12" s="115">
        <v>28551040</v>
      </c>
      <c r="AS12" s="115">
        <v>2240000</v>
      </c>
      <c r="AT12" s="115">
        <v>0</v>
      </c>
      <c r="AU12" s="115">
        <v>0</v>
      </c>
      <c r="AV12" s="115">
        <v>0</v>
      </c>
      <c r="AW12" s="115">
        <v>30791040</v>
      </c>
      <c r="AX12" s="111" t="s">
        <v>18</v>
      </c>
      <c r="AY12" s="164" t="s">
        <v>2408</v>
      </c>
      <c r="AZ12" s="111">
        <v>0</v>
      </c>
      <c r="BA12" s="111">
        <v>0</v>
      </c>
      <c r="BB12" s="111">
        <v>0</v>
      </c>
      <c r="BC12" s="111">
        <v>0</v>
      </c>
      <c r="BD12" s="111">
        <v>0</v>
      </c>
      <c r="BE12" s="111">
        <v>0</v>
      </c>
      <c r="BF12" s="111">
        <v>0</v>
      </c>
      <c r="BG12" s="111">
        <v>0</v>
      </c>
      <c r="BH12" s="111">
        <v>0</v>
      </c>
      <c r="BI12" s="111">
        <v>0</v>
      </c>
      <c r="BJ12" s="111">
        <v>0</v>
      </c>
      <c r="BK12" s="111">
        <v>0</v>
      </c>
      <c r="BL12" s="111">
        <v>0</v>
      </c>
      <c r="BM12" s="111">
        <v>0</v>
      </c>
      <c r="BN12" s="111">
        <v>0</v>
      </c>
      <c r="BO12" s="111">
        <v>0</v>
      </c>
      <c r="BP12" s="111" t="s">
        <v>18</v>
      </c>
      <c r="BQ12" s="63" t="s">
        <v>1420</v>
      </c>
      <c r="BR12" s="63" t="s">
        <v>1421</v>
      </c>
      <c r="BS12" s="163">
        <v>989200476</v>
      </c>
      <c r="BT12" s="63" t="s">
        <v>1423</v>
      </c>
    </row>
    <row r="13" spans="1:76" s="63" customFormat="1" ht="14.1" customHeight="1" x14ac:dyDescent="0.25">
      <c r="A13" s="63">
        <v>14389</v>
      </c>
      <c r="B13" s="110" t="s">
        <v>41</v>
      </c>
      <c r="C13" s="63" t="s">
        <v>1345</v>
      </c>
      <c r="D13" s="63">
        <v>2</v>
      </c>
      <c r="E13" s="63">
        <v>2025</v>
      </c>
      <c r="F13" s="111" t="s">
        <v>23</v>
      </c>
      <c r="G13" s="63" t="s">
        <v>1345</v>
      </c>
      <c r="H13" s="110" t="s">
        <v>41</v>
      </c>
      <c r="I13" s="63" t="s">
        <v>1346</v>
      </c>
      <c r="J13" s="63" t="s">
        <v>1347</v>
      </c>
      <c r="K13" s="63" t="s">
        <v>745</v>
      </c>
      <c r="L13" s="92" t="s">
        <v>744</v>
      </c>
      <c r="M13" s="110" t="s">
        <v>345</v>
      </c>
      <c r="N13" s="160" t="s">
        <v>346</v>
      </c>
      <c r="O13" s="63">
        <v>13</v>
      </c>
      <c r="Q13" s="63" t="s">
        <v>724</v>
      </c>
      <c r="R13" s="160" t="s">
        <v>1178</v>
      </c>
      <c r="S13" s="63" t="s">
        <v>339</v>
      </c>
      <c r="T13" s="63" t="s">
        <v>19</v>
      </c>
      <c r="U13" s="63" t="s">
        <v>348</v>
      </c>
      <c r="V13" s="111">
        <v>14</v>
      </c>
      <c r="W13" s="111">
        <v>260</v>
      </c>
      <c r="X13" s="111">
        <v>12</v>
      </c>
      <c r="Y13" s="111">
        <v>272</v>
      </c>
      <c r="Z13" s="111">
        <v>4</v>
      </c>
      <c r="AA13" s="111" t="s">
        <v>20</v>
      </c>
      <c r="AB13" s="111" t="s">
        <v>18</v>
      </c>
      <c r="AC13" s="111" t="s">
        <v>20</v>
      </c>
      <c r="AD13" s="161"/>
      <c r="AE13" s="110" t="s">
        <v>1198</v>
      </c>
      <c r="AF13" s="111" t="s">
        <v>20</v>
      </c>
      <c r="AG13" s="110" t="s">
        <v>995</v>
      </c>
      <c r="AH13" s="111" t="s">
        <v>990</v>
      </c>
      <c r="AI13" s="63">
        <v>68</v>
      </c>
      <c r="AJ13" s="111">
        <v>2</v>
      </c>
      <c r="AK13" s="63" t="s">
        <v>1228</v>
      </c>
      <c r="AL13" s="63" t="s">
        <v>1227</v>
      </c>
      <c r="AM13" s="111">
        <v>272</v>
      </c>
      <c r="AN13" s="111">
        <v>68</v>
      </c>
      <c r="AO13" s="115">
        <v>5000</v>
      </c>
      <c r="AP13" s="115">
        <v>250000</v>
      </c>
      <c r="AQ13" s="115">
        <v>250000</v>
      </c>
      <c r="AR13" s="115">
        <v>19040000</v>
      </c>
      <c r="AS13" s="115">
        <v>3808000</v>
      </c>
      <c r="AT13" s="115">
        <v>3500000</v>
      </c>
      <c r="AU13" s="115">
        <v>0</v>
      </c>
      <c r="AV13" s="115">
        <v>3500000</v>
      </c>
      <c r="AW13" s="115">
        <v>29848000</v>
      </c>
      <c r="AX13" s="211" t="s">
        <v>18</v>
      </c>
      <c r="AY13" s="63" t="s">
        <v>2409</v>
      </c>
      <c r="AZ13" s="111">
        <v>0</v>
      </c>
      <c r="BA13" s="111">
        <v>0</v>
      </c>
      <c r="BB13" s="111">
        <v>0</v>
      </c>
      <c r="BC13" s="111">
        <v>0</v>
      </c>
      <c r="BD13" s="111">
        <v>0</v>
      </c>
      <c r="BE13" s="111">
        <v>0</v>
      </c>
      <c r="BF13" s="111">
        <v>0</v>
      </c>
      <c r="BG13" s="111">
        <v>0</v>
      </c>
      <c r="BH13" s="111">
        <v>0</v>
      </c>
      <c r="BI13" s="111">
        <v>0</v>
      </c>
      <c r="BJ13" s="111">
        <v>0</v>
      </c>
      <c r="BK13" s="111">
        <v>0</v>
      </c>
      <c r="BL13" s="111">
        <v>0</v>
      </c>
      <c r="BM13" s="111">
        <v>0</v>
      </c>
      <c r="BN13" s="111">
        <v>0</v>
      </c>
      <c r="BO13" s="111">
        <v>0</v>
      </c>
      <c r="BP13" s="111" t="s">
        <v>18</v>
      </c>
      <c r="BQ13" s="63" t="s">
        <v>1371</v>
      </c>
      <c r="BR13" s="63" t="s">
        <v>1372</v>
      </c>
      <c r="BS13" s="163">
        <v>984199668</v>
      </c>
      <c r="BT13" s="63" t="s">
        <v>1373</v>
      </c>
    </row>
    <row r="14" spans="1:76" s="63" customFormat="1" ht="14.1" customHeight="1" x14ac:dyDescent="0.25">
      <c r="A14" s="63">
        <v>14336</v>
      </c>
      <c r="B14" s="110" t="s">
        <v>41</v>
      </c>
      <c r="C14" s="63" t="s">
        <v>1345</v>
      </c>
      <c r="D14" s="63">
        <v>2</v>
      </c>
      <c r="E14" s="63">
        <v>2025</v>
      </c>
      <c r="F14" s="111" t="s">
        <v>23</v>
      </c>
      <c r="G14" s="63" t="s">
        <v>1345</v>
      </c>
      <c r="H14" s="110" t="s">
        <v>41</v>
      </c>
      <c r="I14" s="63" t="s">
        <v>98</v>
      </c>
      <c r="J14" s="63" t="s">
        <v>1349</v>
      </c>
      <c r="K14" s="63" t="s">
        <v>1187</v>
      </c>
      <c r="L14" s="110" t="s">
        <v>992</v>
      </c>
      <c r="M14" s="110"/>
      <c r="N14" s="160" t="s">
        <v>21</v>
      </c>
      <c r="O14" s="63">
        <v>13</v>
      </c>
      <c r="Q14" s="63" t="s">
        <v>416</v>
      </c>
      <c r="R14" s="63" t="s">
        <v>1178</v>
      </c>
      <c r="S14" s="63" t="s">
        <v>339</v>
      </c>
      <c r="T14" s="63" t="s">
        <v>22</v>
      </c>
      <c r="U14"/>
      <c r="V14" s="111">
        <v>15</v>
      </c>
      <c r="W14" s="111"/>
      <c r="X14" s="111"/>
      <c r="Y14" s="111">
        <v>160</v>
      </c>
      <c r="Z14" s="111">
        <v>5</v>
      </c>
      <c r="AA14" s="111" t="s">
        <v>20</v>
      </c>
      <c r="AB14" s="111" t="s">
        <v>18</v>
      </c>
      <c r="AC14" s="111" t="s">
        <v>18</v>
      </c>
      <c r="AD14" s="110" t="s">
        <v>1188</v>
      </c>
      <c r="AE14" s="110" t="s">
        <v>1189</v>
      </c>
      <c r="AF14" s="111" t="s">
        <v>18</v>
      </c>
      <c r="AG14" s="110"/>
      <c r="AH14" s="111" t="s">
        <v>990</v>
      </c>
      <c r="AI14" s="63">
        <v>32</v>
      </c>
      <c r="AJ14" s="111">
        <v>3</v>
      </c>
      <c r="AK14" s="63" t="s">
        <v>240</v>
      </c>
      <c r="AL14" s="63" t="s">
        <v>1268</v>
      </c>
      <c r="AM14" s="111">
        <v>160</v>
      </c>
      <c r="AN14" s="111">
        <v>32</v>
      </c>
      <c r="AO14" s="115">
        <v>6373</v>
      </c>
      <c r="AP14" s="115">
        <v>0</v>
      </c>
      <c r="AQ14" s="115">
        <v>0</v>
      </c>
      <c r="AR14" s="115">
        <v>15295200</v>
      </c>
      <c r="AS14" s="115">
        <v>1920000</v>
      </c>
      <c r="AT14" s="115">
        <v>0</v>
      </c>
      <c r="AU14" s="115">
        <v>0</v>
      </c>
      <c r="AV14" s="115">
        <v>0</v>
      </c>
      <c r="AW14" s="115">
        <v>17215200</v>
      </c>
      <c r="AX14" s="111" t="s">
        <v>20</v>
      </c>
      <c r="AZ14" s="111">
        <v>7</v>
      </c>
      <c r="BA14" s="111">
        <v>7</v>
      </c>
      <c r="BB14" s="111">
        <v>7</v>
      </c>
      <c r="BC14" s="111">
        <v>7</v>
      </c>
      <c r="BD14" s="111">
        <v>7</v>
      </c>
      <c r="BE14" s="111">
        <v>7</v>
      </c>
      <c r="BF14" s="111">
        <v>7</v>
      </c>
      <c r="BG14" s="111">
        <v>7</v>
      </c>
      <c r="BH14" s="111">
        <v>7</v>
      </c>
      <c r="BI14" s="111">
        <v>7</v>
      </c>
      <c r="BJ14" s="111">
        <v>7</v>
      </c>
      <c r="BK14" s="111">
        <v>7</v>
      </c>
      <c r="BL14" s="111">
        <v>7</v>
      </c>
      <c r="BM14" s="111">
        <v>7</v>
      </c>
      <c r="BN14" s="111">
        <v>7</v>
      </c>
      <c r="BO14" s="118">
        <v>7</v>
      </c>
      <c r="BP14" s="111" t="s">
        <v>18</v>
      </c>
      <c r="BQ14" s="63" t="s">
        <v>1374</v>
      </c>
      <c r="BR14" s="63" t="s">
        <v>1375</v>
      </c>
      <c r="BS14" s="163">
        <v>992196137</v>
      </c>
      <c r="BT14" s="63" t="s">
        <v>1376</v>
      </c>
      <c r="BW14" s="63" t="s">
        <v>2397</v>
      </c>
    </row>
    <row r="15" spans="1:76" s="63" customFormat="1" ht="14.1" customHeight="1" x14ac:dyDescent="0.25">
      <c r="A15" s="63">
        <v>14387</v>
      </c>
      <c r="B15" s="110" t="s">
        <v>41</v>
      </c>
      <c r="C15" s="63" t="s">
        <v>1345</v>
      </c>
      <c r="D15" s="63">
        <v>2</v>
      </c>
      <c r="E15" s="63">
        <v>2025</v>
      </c>
      <c r="F15" s="111" t="s">
        <v>23</v>
      </c>
      <c r="G15" s="63" t="s">
        <v>1345</v>
      </c>
      <c r="H15" s="110" t="s">
        <v>41</v>
      </c>
      <c r="I15" s="63" t="s">
        <v>1346</v>
      </c>
      <c r="J15" s="63" t="s">
        <v>1347</v>
      </c>
      <c r="K15" s="63" t="s">
        <v>1199</v>
      </c>
      <c r="L15" s="175" t="s">
        <v>1200</v>
      </c>
      <c r="M15"/>
      <c r="N15" t="s">
        <v>21</v>
      </c>
      <c r="O15" s="63">
        <v>13</v>
      </c>
      <c r="Q15" s="63" t="s">
        <v>724</v>
      </c>
      <c r="R15" s="160" t="s">
        <v>1201</v>
      </c>
      <c r="S15" s="63" t="s">
        <v>339</v>
      </c>
      <c r="T15" s="63" t="s">
        <v>22</v>
      </c>
      <c r="U15" t="s">
        <v>348</v>
      </c>
      <c r="V15" s="111">
        <v>14</v>
      </c>
      <c r="W15" s="111">
        <v>240</v>
      </c>
      <c r="X15" s="111">
        <v>0</v>
      </c>
      <c r="Y15" s="111">
        <v>240</v>
      </c>
      <c r="Z15" s="111">
        <v>4</v>
      </c>
      <c r="AA15" s="111" t="s">
        <v>20</v>
      </c>
      <c r="AB15" s="111" t="s">
        <v>18</v>
      </c>
      <c r="AC15" s="111" t="s">
        <v>18</v>
      </c>
      <c r="AD15" s="110"/>
      <c r="AE15" s="110" t="s">
        <v>1202</v>
      </c>
      <c r="AF15" s="111" t="s">
        <v>20</v>
      </c>
      <c r="AG15" s="110" t="s">
        <v>1348</v>
      </c>
      <c r="AH15" s="111" t="s">
        <v>990</v>
      </c>
      <c r="AI15" s="63">
        <v>60</v>
      </c>
      <c r="AJ15" s="111">
        <v>3</v>
      </c>
      <c r="AK15" s="63" t="s">
        <v>240</v>
      </c>
      <c r="AL15" s="63" t="s">
        <v>1268</v>
      </c>
      <c r="AM15" s="111">
        <v>240</v>
      </c>
      <c r="AN15" s="111">
        <v>60</v>
      </c>
      <c r="AO15" s="115">
        <v>6373</v>
      </c>
      <c r="AP15" s="115">
        <v>0</v>
      </c>
      <c r="AQ15" s="115">
        <v>50000</v>
      </c>
      <c r="AR15" s="115">
        <v>21413280</v>
      </c>
      <c r="AS15" s="115">
        <v>3360000</v>
      </c>
      <c r="AT15" s="115">
        <v>0</v>
      </c>
      <c r="AU15" s="115">
        <v>0</v>
      </c>
      <c r="AV15" s="115">
        <v>700000</v>
      </c>
      <c r="AW15" s="115">
        <v>25473280</v>
      </c>
      <c r="AX15" s="111" t="s">
        <v>20</v>
      </c>
      <c r="AZ15" s="111">
        <v>7</v>
      </c>
      <c r="BA15" s="111">
        <v>7</v>
      </c>
      <c r="BB15" s="111">
        <v>0</v>
      </c>
      <c r="BC15" s="111">
        <v>0</v>
      </c>
      <c r="BD15" s="111">
        <v>0</v>
      </c>
      <c r="BE15" s="111">
        <v>0</v>
      </c>
      <c r="BF15" s="111">
        <v>0</v>
      </c>
      <c r="BG15" s="111">
        <v>0</v>
      </c>
      <c r="BH15" s="111">
        <v>0</v>
      </c>
      <c r="BI15" s="111">
        <v>7</v>
      </c>
      <c r="BJ15" s="111">
        <v>7</v>
      </c>
      <c r="BK15" s="111">
        <v>7</v>
      </c>
      <c r="BL15" s="111">
        <v>7</v>
      </c>
      <c r="BM15" s="111">
        <v>7</v>
      </c>
      <c r="BN15" s="111">
        <v>7</v>
      </c>
      <c r="BO15" s="118">
        <v>7</v>
      </c>
      <c r="BP15" s="111" t="s">
        <v>20</v>
      </c>
      <c r="BQ15" s="63" t="s">
        <v>1374</v>
      </c>
      <c r="BR15" s="63" t="s">
        <v>1375</v>
      </c>
      <c r="BS15" s="163">
        <v>992196137</v>
      </c>
      <c r="BT15" s="63" t="s">
        <v>1377</v>
      </c>
      <c r="BU15" s="63" t="s">
        <v>1378</v>
      </c>
      <c r="BV15" s="63" t="s">
        <v>1379</v>
      </c>
    </row>
    <row r="16" spans="1:76" s="63" customFormat="1" ht="15" customHeight="1" x14ac:dyDescent="0.25">
      <c r="A16" s="63">
        <v>14389</v>
      </c>
      <c r="B16" s="110" t="s">
        <v>41</v>
      </c>
      <c r="C16" s="63" t="s">
        <v>1345</v>
      </c>
      <c r="D16" s="63">
        <v>2</v>
      </c>
      <c r="E16" s="63">
        <v>2025</v>
      </c>
      <c r="F16" s="111" t="s">
        <v>23</v>
      </c>
      <c r="G16" s="63" t="s">
        <v>1345</v>
      </c>
      <c r="H16" s="110" t="s">
        <v>41</v>
      </c>
      <c r="I16" s="63" t="s">
        <v>1346</v>
      </c>
      <c r="J16" s="63" t="s">
        <v>1347</v>
      </c>
      <c r="K16" s="63" t="s">
        <v>745</v>
      </c>
      <c r="L16" s="162" t="s">
        <v>744</v>
      </c>
      <c r="M16" s="162" t="s">
        <v>345</v>
      </c>
      <c r="N16" s="160" t="s">
        <v>346</v>
      </c>
      <c r="O16" s="63">
        <v>13</v>
      </c>
      <c r="Q16" s="63" t="s">
        <v>724</v>
      </c>
      <c r="R16" s="160" t="s">
        <v>1178</v>
      </c>
      <c r="S16" s="63" t="s">
        <v>339</v>
      </c>
      <c r="T16" s="63" t="s">
        <v>19</v>
      </c>
      <c r="U16" t="s">
        <v>348</v>
      </c>
      <c r="V16" s="111">
        <v>14</v>
      </c>
      <c r="W16" s="111">
        <v>260</v>
      </c>
      <c r="X16" s="111">
        <v>12</v>
      </c>
      <c r="Y16" s="111">
        <v>272</v>
      </c>
      <c r="Z16" s="111">
        <v>4</v>
      </c>
      <c r="AA16" s="111" t="s">
        <v>20</v>
      </c>
      <c r="AB16" s="111" t="s">
        <v>18</v>
      </c>
      <c r="AC16" s="111" t="s">
        <v>20</v>
      </c>
      <c r="AD16" s="110"/>
      <c r="AE16" s="110" t="s">
        <v>1198</v>
      </c>
      <c r="AF16" s="111" t="s">
        <v>20</v>
      </c>
      <c r="AG16" s="110" t="s">
        <v>995</v>
      </c>
      <c r="AH16" s="111" t="s">
        <v>990</v>
      </c>
      <c r="AI16" s="63">
        <v>68</v>
      </c>
      <c r="AJ16" s="111">
        <v>2</v>
      </c>
      <c r="AK16" s="63" t="s">
        <v>240</v>
      </c>
      <c r="AL16" s="63" t="s">
        <v>1268</v>
      </c>
      <c r="AM16" s="111">
        <v>272</v>
      </c>
      <c r="AN16" s="111">
        <v>68</v>
      </c>
      <c r="AO16" s="115">
        <v>5075</v>
      </c>
      <c r="AP16" s="115">
        <v>250000</v>
      </c>
      <c r="AQ16" s="115">
        <v>250000</v>
      </c>
      <c r="AR16" s="115">
        <v>19325600</v>
      </c>
      <c r="AS16" s="115">
        <v>3808000</v>
      </c>
      <c r="AT16" s="115">
        <v>3500000</v>
      </c>
      <c r="AU16" s="115">
        <v>0</v>
      </c>
      <c r="AV16" s="115">
        <v>3500000</v>
      </c>
      <c r="AW16" s="115">
        <v>30133600</v>
      </c>
      <c r="AX16" s="111" t="s">
        <v>20</v>
      </c>
      <c r="AZ16" s="111">
        <v>7</v>
      </c>
      <c r="BA16" s="111">
        <v>7</v>
      </c>
      <c r="BB16" s="111">
        <v>0</v>
      </c>
      <c r="BC16" s="111">
        <v>0</v>
      </c>
      <c r="BD16" s="111">
        <v>0</v>
      </c>
      <c r="BE16" s="111">
        <v>0</v>
      </c>
      <c r="BF16" s="111">
        <v>0</v>
      </c>
      <c r="BG16" s="111">
        <v>0</v>
      </c>
      <c r="BH16" s="111">
        <v>0</v>
      </c>
      <c r="BI16" s="111">
        <v>7</v>
      </c>
      <c r="BJ16" s="111">
        <v>7</v>
      </c>
      <c r="BK16" s="111">
        <v>7</v>
      </c>
      <c r="BL16" s="111">
        <v>7</v>
      </c>
      <c r="BM16" s="111">
        <v>7</v>
      </c>
      <c r="BN16" s="111">
        <v>6.9</v>
      </c>
      <c r="BO16" s="118">
        <v>7</v>
      </c>
      <c r="BP16" s="111" t="s">
        <v>18</v>
      </c>
      <c r="BQ16" s="63" t="s">
        <v>1374</v>
      </c>
      <c r="BR16" s="63" t="s">
        <v>1375</v>
      </c>
      <c r="BS16" s="163">
        <v>992196137</v>
      </c>
      <c r="BT16" s="63" t="s">
        <v>1380</v>
      </c>
      <c r="BW16" s="63" t="s">
        <v>2397</v>
      </c>
    </row>
    <row r="17" spans="1:75" s="63" customFormat="1" ht="15" customHeight="1" x14ac:dyDescent="0.25">
      <c r="A17" s="63">
        <v>14388</v>
      </c>
      <c r="B17" s="110" t="s">
        <v>41</v>
      </c>
      <c r="C17" s="63" t="s">
        <v>1345</v>
      </c>
      <c r="D17" s="63">
        <v>2</v>
      </c>
      <c r="E17" s="63">
        <v>2025</v>
      </c>
      <c r="F17" s="111" t="s">
        <v>23</v>
      </c>
      <c r="G17" s="63" t="s">
        <v>1345</v>
      </c>
      <c r="H17" s="110" t="s">
        <v>41</v>
      </c>
      <c r="I17" s="63" t="s">
        <v>1346</v>
      </c>
      <c r="J17" s="63" t="s">
        <v>1347</v>
      </c>
      <c r="K17" s="63" t="s">
        <v>1185</v>
      </c>
      <c r="L17" s="175" t="s">
        <v>1186</v>
      </c>
      <c r="M17"/>
      <c r="N17" t="s">
        <v>21</v>
      </c>
      <c r="O17" s="63">
        <v>13</v>
      </c>
      <c r="Q17" s="63" t="s">
        <v>724</v>
      </c>
      <c r="R17" s="160" t="s">
        <v>1178</v>
      </c>
      <c r="S17" s="63" t="s">
        <v>339</v>
      </c>
      <c r="T17" s="63" t="s">
        <v>22</v>
      </c>
      <c r="U17" t="s">
        <v>348</v>
      </c>
      <c r="V17" s="111">
        <v>16</v>
      </c>
      <c r="W17" s="111">
        <v>80</v>
      </c>
      <c r="X17" s="111">
        <v>0</v>
      </c>
      <c r="Y17" s="111">
        <v>80</v>
      </c>
      <c r="Z17" s="111">
        <v>4</v>
      </c>
      <c r="AA17" s="111" t="s">
        <v>20</v>
      </c>
      <c r="AB17" s="111" t="s">
        <v>18</v>
      </c>
      <c r="AC17" s="111" t="s">
        <v>18</v>
      </c>
      <c r="AD17" s="110"/>
      <c r="AE17" s="110" t="s">
        <v>1179</v>
      </c>
      <c r="AF17" s="111" t="s">
        <v>18</v>
      </c>
      <c r="AG17" s="110"/>
      <c r="AH17" s="111" t="s">
        <v>990</v>
      </c>
      <c r="AI17" s="63">
        <v>20</v>
      </c>
      <c r="AJ17" s="111">
        <v>3</v>
      </c>
      <c r="AK17" s="63" t="s">
        <v>204</v>
      </c>
      <c r="AL17" s="63" t="s">
        <v>1330</v>
      </c>
      <c r="AM17" s="111">
        <v>80</v>
      </c>
      <c r="AN17" s="111">
        <v>20</v>
      </c>
      <c r="AO17" s="115">
        <v>6373</v>
      </c>
      <c r="AP17" s="115">
        <v>0</v>
      </c>
      <c r="AQ17" s="115">
        <v>0</v>
      </c>
      <c r="AR17" s="115">
        <v>8157440</v>
      </c>
      <c r="AS17" s="115">
        <v>1280000</v>
      </c>
      <c r="AT17" s="115">
        <v>0</v>
      </c>
      <c r="AU17" s="115">
        <v>0</v>
      </c>
      <c r="AV17" s="115">
        <v>0</v>
      </c>
      <c r="AW17" s="115">
        <v>9437440</v>
      </c>
      <c r="AX17" s="111" t="s">
        <v>20</v>
      </c>
      <c r="AZ17" s="111">
        <v>3</v>
      </c>
      <c r="BA17" s="111">
        <v>7</v>
      </c>
      <c r="BB17" s="111">
        <v>0</v>
      </c>
      <c r="BC17" s="111">
        <v>0</v>
      </c>
      <c r="BD17" s="111">
        <v>0</v>
      </c>
      <c r="BE17" s="111">
        <v>0</v>
      </c>
      <c r="BF17" s="111">
        <v>0</v>
      </c>
      <c r="BG17" s="111">
        <v>0</v>
      </c>
      <c r="BH17" s="111">
        <v>0</v>
      </c>
      <c r="BI17" s="111">
        <v>7</v>
      </c>
      <c r="BJ17" s="111">
        <v>7</v>
      </c>
      <c r="BK17" s="111">
        <v>7</v>
      </c>
      <c r="BL17" s="111">
        <v>7</v>
      </c>
      <c r="BM17" s="111">
        <v>7</v>
      </c>
      <c r="BN17" s="111">
        <v>7</v>
      </c>
      <c r="BO17" s="118">
        <v>6.6</v>
      </c>
      <c r="BP17" s="111" t="s">
        <v>18</v>
      </c>
      <c r="BQ17" s="63" t="s">
        <v>1381</v>
      </c>
      <c r="BR17" s="63" t="s">
        <v>1382</v>
      </c>
      <c r="BS17" s="163">
        <v>973778527</v>
      </c>
      <c r="BT17" s="63" t="s">
        <v>1383</v>
      </c>
    </row>
    <row r="18" spans="1:75" s="63" customFormat="1" ht="15" customHeight="1" x14ac:dyDescent="0.25">
      <c r="A18" s="63">
        <v>14389</v>
      </c>
      <c r="B18" s="110" t="s">
        <v>41</v>
      </c>
      <c r="C18" s="63" t="s">
        <v>1345</v>
      </c>
      <c r="D18" s="63">
        <v>2</v>
      </c>
      <c r="E18" s="63">
        <v>2025</v>
      </c>
      <c r="F18" s="111" t="s">
        <v>23</v>
      </c>
      <c r="G18" s="63" t="s">
        <v>1345</v>
      </c>
      <c r="H18" s="110" t="s">
        <v>41</v>
      </c>
      <c r="I18" s="63" t="s">
        <v>1346</v>
      </c>
      <c r="J18" s="63" t="s">
        <v>1347</v>
      </c>
      <c r="K18" s="63" t="s">
        <v>745</v>
      </c>
      <c r="L18" s="92" t="s">
        <v>744</v>
      </c>
      <c r="M18" t="s">
        <v>345</v>
      </c>
      <c r="N18" t="s">
        <v>346</v>
      </c>
      <c r="O18" s="63">
        <v>13</v>
      </c>
      <c r="Q18" s="63" t="s">
        <v>724</v>
      </c>
      <c r="R18" s="160" t="s">
        <v>1178</v>
      </c>
      <c r="S18" s="63" t="s">
        <v>339</v>
      </c>
      <c r="T18" s="63" t="s">
        <v>19</v>
      </c>
      <c r="U18" t="s">
        <v>348</v>
      </c>
      <c r="V18" s="111">
        <v>14</v>
      </c>
      <c r="W18" s="12">
        <v>260</v>
      </c>
      <c r="X18" s="12">
        <v>12</v>
      </c>
      <c r="Y18" s="111">
        <v>272</v>
      </c>
      <c r="Z18" s="111">
        <v>4</v>
      </c>
      <c r="AA18" s="111" t="s">
        <v>20</v>
      </c>
      <c r="AB18" s="111" t="s">
        <v>18</v>
      </c>
      <c r="AC18" s="111" t="s">
        <v>20</v>
      </c>
      <c r="AD18" s="161"/>
      <c r="AE18" s="161" t="s">
        <v>1198</v>
      </c>
      <c r="AF18" s="111" t="s">
        <v>20</v>
      </c>
      <c r="AG18" s="110" t="s">
        <v>995</v>
      </c>
      <c r="AH18" s="111" t="s">
        <v>990</v>
      </c>
      <c r="AI18" s="63">
        <v>68</v>
      </c>
      <c r="AJ18" s="111">
        <v>2</v>
      </c>
      <c r="AK18" s="63" t="s">
        <v>163</v>
      </c>
      <c r="AL18" s="63" t="s">
        <v>1242</v>
      </c>
      <c r="AM18" s="111">
        <v>272</v>
      </c>
      <c r="AN18" s="111">
        <v>68</v>
      </c>
      <c r="AO18" s="115">
        <v>5075</v>
      </c>
      <c r="AP18" s="115">
        <v>250000</v>
      </c>
      <c r="AQ18" s="115">
        <v>250000</v>
      </c>
      <c r="AR18" s="115">
        <v>19325600</v>
      </c>
      <c r="AS18" s="115">
        <v>3808000</v>
      </c>
      <c r="AT18" s="115">
        <v>3500000</v>
      </c>
      <c r="AU18" s="115">
        <v>0</v>
      </c>
      <c r="AV18" s="115">
        <v>3500000</v>
      </c>
      <c r="AW18" s="115">
        <v>30133600</v>
      </c>
      <c r="AX18" s="111" t="s">
        <v>20</v>
      </c>
      <c r="AZ18" s="111">
        <v>7</v>
      </c>
      <c r="BA18" s="111">
        <v>7</v>
      </c>
      <c r="BB18" s="111">
        <v>0</v>
      </c>
      <c r="BC18" s="111">
        <v>0</v>
      </c>
      <c r="BD18" s="111">
        <v>0</v>
      </c>
      <c r="BE18" s="111">
        <v>0</v>
      </c>
      <c r="BF18" s="111">
        <v>0</v>
      </c>
      <c r="BG18" s="111">
        <v>0</v>
      </c>
      <c r="BH18" s="111">
        <v>0</v>
      </c>
      <c r="BI18" s="111">
        <v>7</v>
      </c>
      <c r="BJ18" s="111">
        <v>7</v>
      </c>
      <c r="BK18" s="111">
        <v>7</v>
      </c>
      <c r="BL18" s="111">
        <v>7</v>
      </c>
      <c r="BM18" s="111">
        <v>7</v>
      </c>
      <c r="BN18" s="111">
        <v>6.9</v>
      </c>
      <c r="BO18" s="118">
        <v>7</v>
      </c>
      <c r="BP18" s="111" t="s">
        <v>18</v>
      </c>
      <c r="BQ18" s="63" t="s">
        <v>1384</v>
      </c>
      <c r="BR18" s="63" t="s">
        <v>1385</v>
      </c>
      <c r="BS18" s="163">
        <v>995163347</v>
      </c>
      <c r="BT18" s="63" t="s">
        <v>1386</v>
      </c>
      <c r="BW18" s="63" t="s">
        <v>2397</v>
      </c>
    </row>
    <row r="19" spans="1:75" s="63" customFormat="1" ht="15" customHeight="1" x14ac:dyDescent="0.25">
      <c r="A19" s="63">
        <v>14280</v>
      </c>
      <c r="B19" s="110" t="s">
        <v>41</v>
      </c>
      <c r="C19" s="63" t="s">
        <v>1345</v>
      </c>
      <c r="D19" s="63">
        <v>2</v>
      </c>
      <c r="E19" s="63">
        <v>2025</v>
      </c>
      <c r="F19" s="111" t="s">
        <v>23</v>
      </c>
      <c r="G19" s="63" t="s">
        <v>1345</v>
      </c>
      <c r="H19" s="110" t="s">
        <v>41</v>
      </c>
      <c r="I19" s="63" t="s">
        <v>1350</v>
      </c>
      <c r="J19" s="63" t="s">
        <v>1351</v>
      </c>
      <c r="K19" s="63" t="s">
        <v>1190</v>
      </c>
      <c r="L19" s="92" t="s">
        <v>992</v>
      </c>
      <c r="M19" s="160" t="s">
        <v>407</v>
      </c>
      <c r="N19" s="160" t="s">
        <v>408</v>
      </c>
      <c r="O19" s="63">
        <v>10</v>
      </c>
      <c r="Q19" s="63" t="s">
        <v>1194</v>
      </c>
      <c r="R19" s="160" t="s">
        <v>1178</v>
      </c>
      <c r="S19" s="63" t="s">
        <v>339</v>
      </c>
      <c r="T19" s="63" t="s">
        <v>22</v>
      </c>
      <c r="U19" s="63" t="s">
        <v>1195</v>
      </c>
      <c r="V19" s="111">
        <v>20</v>
      </c>
      <c r="W19" s="12">
        <v>212</v>
      </c>
      <c r="X19" s="12">
        <v>12</v>
      </c>
      <c r="Y19" s="111">
        <v>224</v>
      </c>
      <c r="Z19" s="111">
        <v>8</v>
      </c>
      <c r="AA19" s="111" t="s">
        <v>20</v>
      </c>
      <c r="AB19" s="111" t="s">
        <v>18</v>
      </c>
      <c r="AC19" s="111" t="s">
        <v>18</v>
      </c>
      <c r="AD19" s="161" t="s">
        <v>1352</v>
      </c>
      <c r="AE19" s="161" t="s">
        <v>1353</v>
      </c>
      <c r="AF19" s="111" t="s">
        <v>18</v>
      </c>
      <c r="AG19" s="110"/>
      <c r="AH19" s="111" t="s">
        <v>990</v>
      </c>
      <c r="AI19" s="63">
        <v>28</v>
      </c>
      <c r="AJ19" s="111">
        <v>3</v>
      </c>
      <c r="AK19" s="63" t="s">
        <v>1270</v>
      </c>
      <c r="AL19" s="63" t="s">
        <v>1269</v>
      </c>
      <c r="AM19" s="111">
        <v>224</v>
      </c>
      <c r="AN19" s="111">
        <v>28</v>
      </c>
      <c r="AO19" s="115">
        <v>7434</v>
      </c>
      <c r="AP19" s="115">
        <v>0</v>
      </c>
      <c r="AQ19" s="115">
        <v>0</v>
      </c>
      <c r="AR19" s="115">
        <v>33304320</v>
      </c>
      <c r="AS19" s="115">
        <v>2240000</v>
      </c>
      <c r="AT19" s="115">
        <v>0</v>
      </c>
      <c r="AU19" s="115">
        <v>0</v>
      </c>
      <c r="AV19" s="115">
        <v>0</v>
      </c>
      <c r="AW19" s="115">
        <v>35544320</v>
      </c>
      <c r="AX19" s="111" t="s">
        <v>20</v>
      </c>
      <c r="AZ19" s="111">
        <v>1</v>
      </c>
      <c r="BA19" s="111">
        <v>7</v>
      </c>
      <c r="BB19" s="111">
        <v>7</v>
      </c>
      <c r="BC19" s="111">
        <v>7</v>
      </c>
      <c r="BD19" s="111">
        <v>7</v>
      </c>
      <c r="BE19" s="111">
        <v>7</v>
      </c>
      <c r="BF19" s="111">
        <v>7</v>
      </c>
      <c r="BG19" s="111">
        <v>7</v>
      </c>
      <c r="BH19" s="111">
        <v>7</v>
      </c>
      <c r="BI19" s="111">
        <v>7</v>
      </c>
      <c r="BJ19" s="111">
        <v>7</v>
      </c>
      <c r="BK19" s="111">
        <v>7</v>
      </c>
      <c r="BL19" s="111">
        <v>7</v>
      </c>
      <c r="BM19" s="111">
        <v>7</v>
      </c>
      <c r="BN19" s="111">
        <v>7</v>
      </c>
      <c r="BO19" s="118">
        <v>6.4</v>
      </c>
      <c r="BP19" s="111" t="s">
        <v>20</v>
      </c>
      <c r="BQ19" s="63" t="s">
        <v>1387</v>
      </c>
      <c r="BR19" s="63" t="s">
        <v>1388</v>
      </c>
      <c r="BS19" s="163">
        <v>941070603</v>
      </c>
      <c r="BT19" s="63" t="s">
        <v>1389</v>
      </c>
      <c r="BU19" s="63" t="s">
        <v>1390</v>
      </c>
      <c r="BV19" s="63" t="s">
        <v>1391</v>
      </c>
    </row>
    <row r="20" spans="1:75" s="63" customFormat="1" ht="15" customHeight="1" x14ac:dyDescent="0.25">
      <c r="A20" s="63">
        <v>14283</v>
      </c>
      <c r="B20" s="110" t="s">
        <v>41</v>
      </c>
      <c r="C20" s="63" t="s">
        <v>1345</v>
      </c>
      <c r="D20" s="63">
        <v>2</v>
      </c>
      <c r="E20" s="63">
        <v>2025</v>
      </c>
      <c r="F20" s="111" t="s">
        <v>23</v>
      </c>
      <c r="G20" s="63" t="s">
        <v>1345</v>
      </c>
      <c r="H20" s="110" t="s">
        <v>41</v>
      </c>
      <c r="I20" s="63" t="s">
        <v>1350</v>
      </c>
      <c r="J20" s="63" t="s">
        <v>1351</v>
      </c>
      <c r="K20" s="63" t="s">
        <v>1190</v>
      </c>
      <c r="L20" s="92" t="s">
        <v>992</v>
      </c>
      <c r="M20" s="160" t="s">
        <v>407</v>
      </c>
      <c r="N20" s="160" t="s">
        <v>408</v>
      </c>
      <c r="O20" s="63">
        <v>10</v>
      </c>
      <c r="Q20" s="63" t="s">
        <v>1014</v>
      </c>
      <c r="R20" s="160" t="s">
        <v>1178</v>
      </c>
      <c r="S20" s="63" t="s">
        <v>339</v>
      </c>
      <c r="T20" s="63" t="s">
        <v>22</v>
      </c>
      <c r="U20"/>
      <c r="V20" s="111">
        <v>20</v>
      </c>
      <c r="W20" s="12">
        <v>212</v>
      </c>
      <c r="X20" s="12">
        <v>12</v>
      </c>
      <c r="Y20" s="111">
        <v>224</v>
      </c>
      <c r="Z20" s="111">
        <v>8</v>
      </c>
      <c r="AA20" s="111" t="s">
        <v>20</v>
      </c>
      <c r="AB20" s="111" t="s">
        <v>18</v>
      </c>
      <c r="AC20" s="111" t="s">
        <v>18</v>
      </c>
      <c r="AD20" s="161" t="s">
        <v>1352</v>
      </c>
      <c r="AE20" s="161" t="s">
        <v>1354</v>
      </c>
      <c r="AF20" s="111" t="s">
        <v>18</v>
      </c>
      <c r="AG20" s="110"/>
      <c r="AH20" s="111" t="s">
        <v>990</v>
      </c>
      <c r="AI20" s="63">
        <v>28</v>
      </c>
      <c r="AJ20" s="111">
        <v>3</v>
      </c>
      <c r="AK20" s="63" t="s">
        <v>1270</v>
      </c>
      <c r="AL20" s="63" t="s">
        <v>1269</v>
      </c>
      <c r="AM20" s="111">
        <v>224</v>
      </c>
      <c r="AN20" s="111">
        <v>28</v>
      </c>
      <c r="AO20" s="115">
        <v>7434</v>
      </c>
      <c r="AP20" s="115">
        <v>0</v>
      </c>
      <c r="AQ20" s="115">
        <v>0</v>
      </c>
      <c r="AR20" s="115">
        <v>33304320</v>
      </c>
      <c r="AS20" s="115">
        <v>2240000</v>
      </c>
      <c r="AT20" s="115">
        <v>0</v>
      </c>
      <c r="AU20" s="115">
        <v>0</v>
      </c>
      <c r="AV20" s="115">
        <v>0</v>
      </c>
      <c r="AW20" s="115">
        <v>35544320</v>
      </c>
      <c r="AX20" s="111" t="s">
        <v>20</v>
      </c>
      <c r="AZ20" s="111">
        <v>1</v>
      </c>
      <c r="BA20" s="111">
        <v>7</v>
      </c>
      <c r="BB20" s="111">
        <v>7</v>
      </c>
      <c r="BC20" s="111">
        <v>7</v>
      </c>
      <c r="BD20" s="111">
        <v>7</v>
      </c>
      <c r="BE20" s="111">
        <v>7</v>
      </c>
      <c r="BF20" s="111">
        <v>7</v>
      </c>
      <c r="BG20" s="111">
        <v>7</v>
      </c>
      <c r="BH20" s="111">
        <v>7</v>
      </c>
      <c r="BI20" s="111">
        <v>7</v>
      </c>
      <c r="BJ20" s="111">
        <v>7</v>
      </c>
      <c r="BK20" s="111">
        <v>7</v>
      </c>
      <c r="BL20" s="111">
        <v>7</v>
      </c>
      <c r="BM20" s="111">
        <v>7</v>
      </c>
      <c r="BN20" s="111">
        <v>7</v>
      </c>
      <c r="BO20" s="118">
        <v>6.4</v>
      </c>
      <c r="BP20" s="111" t="s">
        <v>20</v>
      </c>
      <c r="BQ20" s="63" t="s">
        <v>1387</v>
      </c>
      <c r="BR20" s="63" t="s">
        <v>1388</v>
      </c>
      <c r="BS20" s="163">
        <v>941070603</v>
      </c>
      <c r="BT20" s="63" t="s">
        <v>1392</v>
      </c>
      <c r="BU20" s="63" t="s">
        <v>1390</v>
      </c>
      <c r="BV20" s="63" t="s">
        <v>1391</v>
      </c>
    </row>
    <row r="21" spans="1:75" s="63" customFormat="1" ht="15" customHeight="1" x14ac:dyDescent="0.25">
      <c r="A21" s="63">
        <v>14281</v>
      </c>
      <c r="B21" s="110" t="s">
        <v>41</v>
      </c>
      <c r="C21" s="63" t="s">
        <v>1345</v>
      </c>
      <c r="D21" s="63">
        <v>2</v>
      </c>
      <c r="E21" s="63">
        <v>2025</v>
      </c>
      <c r="F21" s="111" t="s">
        <v>23</v>
      </c>
      <c r="G21" s="63" t="s">
        <v>1345</v>
      </c>
      <c r="H21" s="110" t="s">
        <v>41</v>
      </c>
      <c r="I21" s="63" t="s">
        <v>1350</v>
      </c>
      <c r="J21" s="63" t="s">
        <v>1351</v>
      </c>
      <c r="K21" s="63" t="s">
        <v>1190</v>
      </c>
      <c r="L21" s="92" t="s">
        <v>992</v>
      </c>
      <c r="M21" t="s">
        <v>407</v>
      </c>
      <c r="N21" s="160" t="s">
        <v>408</v>
      </c>
      <c r="O21" s="63">
        <v>10</v>
      </c>
      <c r="Q21" s="63" t="s">
        <v>736</v>
      </c>
      <c r="R21" s="160" t="s">
        <v>1178</v>
      </c>
      <c r="S21" s="63" t="s">
        <v>339</v>
      </c>
      <c r="T21" s="63" t="s">
        <v>22</v>
      </c>
      <c r="U21" t="s">
        <v>1196</v>
      </c>
      <c r="V21" s="111">
        <v>20</v>
      </c>
      <c r="W21" s="12">
        <v>212</v>
      </c>
      <c r="X21" s="12">
        <v>12</v>
      </c>
      <c r="Y21" s="111">
        <v>224</v>
      </c>
      <c r="Z21" s="111">
        <v>8</v>
      </c>
      <c r="AA21" s="111" t="s">
        <v>20</v>
      </c>
      <c r="AB21" s="111" t="s">
        <v>18</v>
      </c>
      <c r="AC21" s="111" t="s">
        <v>18</v>
      </c>
      <c r="AD21" s="161" t="s">
        <v>1352</v>
      </c>
      <c r="AE21" s="161" t="s">
        <v>1197</v>
      </c>
      <c r="AF21" s="111" t="s">
        <v>18</v>
      </c>
      <c r="AG21" s="110"/>
      <c r="AH21" s="111" t="s">
        <v>990</v>
      </c>
      <c r="AI21" s="63">
        <v>28</v>
      </c>
      <c r="AJ21" s="111">
        <v>3</v>
      </c>
      <c r="AK21" s="63" t="s">
        <v>1270</v>
      </c>
      <c r="AL21" s="63" t="s">
        <v>1269</v>
      </c>
      <c r="AM21" s="111">
        <v>224</v>
      </c>
      <c r="AN21" s="111">
        <v>28</v>
      </c>
      <c r="AO21" s="115">
        <v>7434</v>
      </c>
      <c r="AP21" s="115">
        <v>0</v>
      </c>
      <c r="AQ21" s="115">
        <v>0</v>
      </c>
      <c r="AR21" s="115">
        <v>33304320</v>
      </c>
      <c r="AS21" s="115">
        <v>2240000</v>
      </c>
      <c r="AT21" s="115">
        <v>0</v>
      </c>
      <c r="AU21" s="115">
        <v>0</v>
      </c>
      <c r="AV21" s="115">
        <v>0</v>
      </c>
      <c r="AW21" s="115">
        <v>35544320</v>
      </c>
      <c r="AX21" s="111" t="s">
        <v>20</v>
      </c>
      <c r="AZ21" s="111">
        <v>1</v>
      </c>
      <c r="BA21" s="111">
        <v>7</v>
      </c>
      <c r="BB21" s="111">
        <v>7</v>
      </c>
      <c r="BC21" s="111">
        <v>7</v>
      </c>
      <c r="BD21" s="111">
        <v>7</v>
      </c>
      <c r="BE21" s="111">
        <v>7</v>
      </c>
      <c r="BF21" s="111">
        <v>7</v>
      </c>
      <c r="BG21" s="111">
        <v>7</v>
      </c>
      <c r="BH21" s="111">
        <v>7</v>
      </c>
      <c r="BI21" s="111">
        <v>7</v>
      </c>
      <c r="BJ21" s="111">
        <v>7</v>
      </c>
      <c r="BK21" s="111">
        <v>7</v>
      </c>
      <c r="BL21" s="111">
        <v>7</v>
      </c>
      <c r="BM21" s="111">
        <v>7</v>
      </c>
      <c r="BN21" s="111">
        <v>7</v>
      </c>
      <c r="BO21" s="118">
        <v>6.4</v>
      </c>
      <c r="BP21" s="111" t="s">
        <v>20</v>
      </c>
      <c r="BQ21" s="63" t="s">
        <v>1387</v>
      </c>
      <c r="BR21" s="63" t="s">
        <v>1388</v>
      </c>
      <c r="BS21" s="163">
        <v>941070603</v>
      </c>
      <c r="BT21" s="63" t="s">
        <v>1393</v>
      </c>
      <c r="BU21" s="63" t="s">
        <v>1390</v>
      </c>
      <c r="BV21" s="63" t="s">
        <v>1391</v>
      </c>
    </row>
    <row r="22" spans="1:75" s="63" customFormat="1" ht="15" customHeight="1" x14ac:dyDescent="0.25">
      <c r="A22" s="63">
        <v>14279</v>
      </c>
      <c r="B22" s="110" t="s">
        <v>41</v>
      </c>
      <c r="C22" s="63" t="s">
        <v>1345</v>
      </c>
      <c r="D22" s="63">
        <v>2</v>
      </c>
      <c r="E22" s="63">
        <v>2025</v>
      </c>
      <c r="F22" s="111" t="s">
        <v>23</v>
      </c>
      <c r="G22" s="63" t="s">
        <v>1345</v>
      </c>
      <c r="H22" s="110" t="s">
        <v>41</v>
      </c>
      <c r="I22" s="63" t="s">
        <v>1350</v>
      </c>
      <c r="J22" s="63" t="s">
        <v>1351</v>
      </c>
      <c r="K22" s="63" t="s">
        <v>1190</v>
      </c>
      <c r="L22" s="110" t="s">
        <v>992</v>
      </c>
      <c r="M22" s="160" t="s">
        <v>407</v>
      </c>
      <c r="N22" s="160" t="s">
        <v>408</v>
      </c>
      <c r="O22" s="63">
        <v>10</v>
      </c>
      <c r="Q22" s="63" t="s">
        <v>1191</v>
      </c>
      <c r="R22" s="160" t="s">
        <v>1178</v>
      </c>
      <c r="S22" s="63" t="s">
        <v>339</v>
      </c>
      <c r="T22" s="63" t="s">
        <v>22</v>
      </c>
      <c r="U22" t="s">
        <v>1192</v>
      </c>
      <c r="V22" s="111">
        <v>20</v>
      </c>
      <c r="W22" s="111">
        <v>212</v>
      </c>
      <c r="X22" s="111">
        <v>12</v>
      </c>
      <c r="Y22" s="111">
        <v>224</v>
      </c>
      <c r="Z22" s="111">
        <v>8</v>
      </c>
      <c r="AA22" s="111" t="s">
        <v>20</v>
      </c>
      <c r="AB22" s="111" t="s">
        <v>18</v>
      </c>
      <c r="AC22" s="111" t="s">
        <v>18</v>
      </c>
      <c r="AD22" s="110" t="s">
        <v>1352</v>
      </c>
      <c r="AE22" s="110" t="s">
        <v>1355</v>
      </c>
      <c r="AF22" s="111" t="s">
        <v>18</v>
      </c>
      <c r="AG22" s="110"/>
      <c r="AH22" s="111" t="s">
        <v>990</v>
      </c>
      <c r="AI22" s="63">
        <v>28</v>
      </c>
      <c r="AJ22" s="111">
        <v>3</v>
      </c>
      <c r="AK22" s="63" t="s">
        <v>1270</v>
      </c>
      <c r="AL22" s="63" t="s">
        <v>1269</v>
      </c>
      <c r="AM22" s="111">
        <v>224</v>
      </c>
      <c r="AN22" s="111">
        <v>28</v>
      </c>
      <c r="AO22" s="115">
        <v>7434</v>
      </c>
      <c r="AP22" s="115">
        <v>0</v>
      </c>
      <c r="AQ22" s="115">
        <v>0</v>
      </c>
      <c r="AR22" s="115">
        <v>33304320</v>
      </c>
      <c r="AS22" s="115">
        <v>2240000</v>
      </c>
      <c r="AT22" s="115">
        <v>0</v>
      </c>
      <c r="AU22" s="115">
        <v>0</v>
      </c>
      <c r="AV22" s="115">
        <v>0</v>
      </c>
      <c r="AW22" s="115">
        <v>35544320</v>
      </c>
      <c r="AX22" s="111" t="s">
        <v>20</v>
      </c>
      <c r="AZ22" s="111">
        <v>1</v>
      </c>
      <c r="BA22" s="111">
        <v>7</v>
      </c>
      <c r="BB22" s="111">
        <v>7</v>
      </c>
      <c r="BC22" s="111">
        <v>7</v>
      </c>
      <c r="BD22" s="111">
        <v>7</v>
      </c>
      <c r="BE22" s="111">
        <v>7</v>
      </c>
      <c r="BF22" s="111">
        <v>7</v>
      </c>
      <c r="BG22" s="111">
        <v>7</v>
      </c>
      <c r="BH22" s="111">
        <v>7</v>
      </c>
      <c r="BI22" s="111">
        <v>7</v>
      </c>
      <c r="BJ22" s="111">
        <v>7</v>
      </c>
      <c r="BK22" s="111">
        <v>7</v>
      </c>
      <c r="BL22" s="111">
        <v>7</v>
      </c>
      <c r="BM22" s="111">
        <v>7</v>
      </c>
      <c r="BN22" s="111">
        <v>7</v>
      </c>
      <c r="BO22" s="118">
        <v>6.4</v>
      </c>
      <c r="BP22" s="111" t="s">
        <v>20</v>
      </c>
      <c r="BQ22" s="63" t="s">
        <v>1387</v>
      </c>
      <c r="BR22" s="63" t="s">
        <v>1388</v>
      </c>
      <c r="BS22" s="163">
        <v>941070603</v>
      </c>
      <c r="BT22" s="63" t="s">
        <v>1394</v>
      </c>
      <c r="BU22" s="63" t="s">
        <v>1390</v>
      </c>
      <c r="BV22" s="63" t="s">
        <v>1391</v>
      </c>
    </row>
    <row r="23" spans="1:75" s="63" customFormat="1" ht="15" customHeight="1" x14ac:dyDescent="0.25">
      <c r="A23" s="63">
        <v>14385</v>
      </c>
      <c r="B23" s="110" t="s">
        <v>41</v>
      </c>
      <c r="C23" s="63" t="s">
        <v>1345</v>
      </c>
      <c r="D23" s="63">
        <v>2</v>
      </c>
      <c r="E23" s="63">
        <v>2025</v>
      </c>
      <c r="F23" s="111" t="s">
        <v>23</v>
      </c>
      <c r="G23" s="63" t="s">
        <v>1345</v>
      </c>
      <c r="H23" s="110" t="s">
        <v>41</v>
      </c>
      <c r="I23" s="63" t="s">
        <v>1346</v>
      </c>
      <c r="J23" s="63" t="s">
        <v>1347</v>
      </c>
      <c r="K23" s="63" t="s">
        <v>1176</v>
      </c>
      <c r="L23" s="37" t="s">
        <v>1177</v>
      </c>
      <c r="M23" s="37" t="s">
        <v>21</v>
      </c>
      <c r="N23" s="160" t="s">
        <v>21</v>
      </c>
      <c r="O23" s="63">
        <v>13</v>
      </c>
      <c r="Q23" s="63" t="s">
        <v>724</v>
      </c>
      <c r="R23" s="160" t="s">
        <v>1178</v>
      </c>
      <c r="S23" s="63" t="s">
        <v>339</v>
      </c>
      <c r="T23" s="63" t="s">
        <v>22</v>
      </c>
      <c r="U23" t="s">
        <v>348</v>
      </c>
      <c r="V23" s="111">
        <v>16</v>
      </c>
      <c r="W23" s="111">
        <v>110</v>
      </c>
      <c r="X23" s="111">
        <v>0</v>
      </c>
      <c r="Y23" s="111">
        <v>110</v>
      </c>
      <c r="Z23" s="111">
        <v>4</v>
      </c>
      <c r="AA23" s="111" t="s">
        <v>20</v>
      </c>
      <c r="AB23" s="111" t="s">
        <v>18</v>
      </c>
      <c r="AC23" s="111" t="s">
        <v>18</v>
      </c>
      <c r="AD23" s="110"/>
      <c r="AE23" s="110" t="s">
        <v>1179</v>
      </c>
      <c r="AF23" s="111" t="s">
        <v>18</v>
      </c>
      <c r="AG23" s="110"/>
      <c r="AH23" s="111" t="s">
        <v>990</v>
      </c>
      <c r="AI23" s="63">
        <v>28</v>
      </c>
      <c r="AJ23" s="111">
        <v>2</v>
      </c>
      <c r="AK23" s="63" t="s">
        <v>276</v>
      </c>
      <c r="AL23" s="63" t="s">
        <v>1276</v>
      </c>
      <c r="AM23" s="111">
        <v>110</v>
      </c>
      <c r="AN23" s="111">
        <v>28</v>
      </c>
      <c r="AO23" s="115">
        <v>5075</v>
      </c>
      <c r="AP23" s="115">
        <v>0</v>
      </c>
      <c r="AQ23" s="115">
        <v>0</v>
      </c>
      <c r="AR23" s="115">
        <v>8932000</v>
      </c>
      <c r="AS23" s="115">
        <v>1792000</v>
      </c>
      <c r="AT23" s="115">
        <v>0</v>
      </c>
      <c r="AU23" s="115">
        <v>0</v>
      </c>
      <c r="AV23" s="115">
        <v>0</v>
      </c>
      <c r="AW23" s="115">
        <v>10724000</v>
      </c>
      <c r="AX23" s="111" t="s">
        <v>20</v>
      </c>
      <c r="AZ23" s="111">
        <v>3</v>
      </c>
      <c r="BA23" s="111">
        <v>7</v>
      </c>
      <c r="BB23" s="111">
        <v>0</v>
      </c>
      <c r="BC23" s="111">
        <v>0</v>
      </c>
      <c r="BD23" s="111">
        <v>0</v>
      </c>
      <c r="BE23" s="111">
        <v>0</v>
      </c>
      <c r="BF23" s="111">
        <v>0</v>
      </c>
      <c r="BG23" s="111">
        <v>0</v>
      </c>
      <c r="BH23" s="111">
        <v>0</v>
      </c>
      <c r="BI23" s="111">
        <v>7</v>
      </c>
      <c r="BJ23" s="111">
        <v>7</v>
      </c>
      <c r="BK23" s="111">
        <v>7</v>
      </c>
      <c r="BL23" s="111">
        <v>7</v>
      </c>
      <c r="BM23" s="111">
        <v>7</v>
      </c>
      <c r="BN23" s="111">
        <v>7</v>
      </c>
      <c r="BO23" s="118">
        <v>6.6</v>
      </c>
      <c r="BP23" s="111" t="s">
        <v>20</v>
      </c>
      <c r="BQ23" s="63" t="s">
        <v>1395</v>
      </c>
      <c r="BR23" s="63" t="s">
        <v>1396</v>
      </c>
      <c r="BS23" s="163">
        <v>225962361</v>
      </c>
      <c r="BT23" s="63" t="s">
        <v>1397</v>
      </c>
      <c r="BU23" s="63" t="s">
        <v>1398</v>
      </c>
      <c r="BV23" s="63" t="s">
        <v>1399</v>
      </c>
    </row>
    <row r="24" spans="1:75" s="63" customFormat="1" ht="15" customHeight="1" x14ac:dyDescent="0.25">
      <c r="A24" s="63">
        <v>14384</v>
      </c>
      <c r="B24" s="110" t="s">
        <v>41</v>
      </c>
      <c r="C24" s="63" t="s">
        <v>1345</v>
      </c>
      <c r="D24" s="63">
        <v>2</v>
      </c>
      <c r="E24" s="63">
        <v>2025</v>
      </c>
      <c r="F24" s="111" t="s">
        <v>23</v>
      </c>
      <c r="G24" s="63" t="s">
        <v>1345</v>
      </c>
      <c r="H24" s="110" t="s">
        <v>41</v>
      </c>
      <c r="I24" s="63" t="s">
        <v>1346</v>
      </c>
      <c r="J24" s="63" t="s">
        <v>1347</v>
      </c>
      <c r="K24" s="63" t="s">
        <v>1181</v>
      </c>
      <c r="L24" s="110" t="s">
        <v>1182</v>
      </c>
      <c r="M24" s="110"/>
      <c r="N24" s="160" t="s">
        <v>21</v>
      </c>
      <c r="O24" s="63">
        <v>13</v>
      </c>
      <c r="Q24" s="63" t="s">
        <v>724</v>
      </c>
      <c r="R24" s="63" t="s">
        <v>1178</v>
      </c>
      <c r="S24" s="63" t="s">
        <v>339</v>
      </c>
      <c r="T24" s="63" t="s">
        <v>22</v>
      </c>
      <c r="U24" t="s">
        <v>348</v>
      </c>
      <c r="V24" s="111">
        <v>15</v>
      </c>
      <c r="W24" s="111">
        <v>120</v>
      </c>
      <c r="X24" s="111">
        <v>0</v>
      </c>
      <c r="Y24" s="111">
        <v>120</v>
      </c>
      <c r="Z24" s="111">
        <v>4</v>
      </c>
      <c r="AA24" s="111" t="s">
        <v>20</v>
      </c>
      <c r="AB24" s="111" t="s">
        <v>18</v>
      </c>
      <c r="AC24" s="111" t="s">
        <v>18</v>
      </c>
      <c r="AD24" s="110"/>
      <c r="AE24" s="110" t="s">
        <v>1179</v>
      </c>
      <c r="AF24" s="111" t="s">
        <v>18</v>
      </c>
      <c r="AG24" s="110"/>
      <c r="AH24" s="111" t="s">
        <v>990</v>
      </c>
      <c r="AI24" s="63">
        <v>30</v>
      </c>
      <c r="AJ24" s="111">
        <v>2</v>
      </c>
      <c r="AK24" s="63" t="s">
        <v>276</v>
      </c>
      <c r="AL24" s="63" t="s">
        <v>1276</v>
      </c>
      <c r="AM24" s="111">
        <v>120</v>
      </c>
      <c r="AN24" s="111">
        <v>30</v>
      </c>
      <c r="AO24" s="115">
        <v>5075</v>
      </c>
      <c r="AP24" s="115">
        <v>0</v>
      </c>
      <c r="AQ24" s="115">
        <v>0</v>
      </c>
      <c r="AR24" s="115">
        <v>9135000</v>
      </c>
      <c r="AS24" s="115">
        <v>1800000</v>
      </c>
      <c r="AT24" s="115">
        <v>0</v>
      </c>
      <c r="AU24" s="115">
        <v>0</v>
      </c>
      <c r="AV24" s="115">
        <v>0</v>
      </c>
      <c r="AW24" s="115">
        <v>10935000</v>
      </c>
      <c r="AX24" s="111" t="s">
        <v>20</v>
      </c>
      <c r="AZ24" s="111">
        <v>3</v>
      </c>
      <c r="BA24" s="111">
        <v>7</v>
      </c>
      <c r="BB24" s="111">
        <v>0</v>
      </c>
      <c r="BC24" s="111">
        <v>0</v>
      </c>
      <c r="BD24" s="111">
        <v>0</v>
      </c>
      <c r="BE24" s="111">
        <v>0</v>
      </c>
      <c r="BF24" s="111">
        <v>0</v>
      </c>
      <c r="BG24" s="111">
        <v>0</v>
      </c>
      <c r="BH24" s="111">
        <v>0</v>
      </c>
      <c r="BI24" s="111">
        <v>7</v>
      </c>
      <c r="BJ24" s="111">
        <v>7</v>
      </c>
      <c r="BK24" s="111">
        <v>7</v>
      </c>
      <c r="BL24" s="111">
        <v>7</v>
      </c>
      <c r="BM24" s="111">
        <v>7</v>
      </c>
      <c r="BN24" s="111">
        <v>7</v>
      </c>
      <c r="BO24" s="118">
        <v>6.6</v>
      </c>
      <c r="BP24" s="111" t="s">
        <v>20</v>
      </c>
      <c r="BQ24" s="63" t="s">
        <v>1395</v>
      </c>
      <c r="BR24" s="63" t="s">
        <v>1396</v>
      </c>
      <c r="BS24" s="163">
        <v>225962361</v>
      </c>
      <c r="BT24" s="63" t="s">
        <v>1397</v>
      </c>
      <c r="BU24" s="63" t="s">
        <v>1400</v>
      </c>
      <c r="BV24" s="63" t="s">
        <v>1401</v>
      </c>
    </row>
    <row r="25" spans="1:75" s="63" customFormat="1" ht="15" customHeight="1" x14ac:dyDescent="0.25">
      <c r="A25" s="63">
        <v>14387</v>
      </c>
      <c r="B25" s="110" t="s">
        <v>41</v>
      </c>
      <c r="C25" s="63" t="s">
        <v>1345</v>
      </c>
      <c r="D25" s="63">
        <v>2</v>
      </c>
      <c r="E25" s="63">
        <v>2025</v>
      </c>
      <c r="F25" s="111" t="s">
        <v>23</v>
      </c>
      <c r="G25" s="63" t="s">
        <v>1345</v>
      </c>
      <c r="H25" s="110" t="s">
        <v>41</v>
      </c>
      <c r="I25" s="63" t="s">
        <v>1346</v>
      </c>
      <c r="J25" s="63" t="s">
        <v>1347</v>
      </c>
      <c r="K25" s="63" t="s">
        <v>1199</v>
      </c>
      <c r="L25" s="110" t="s">
        <v>1200</v>
      </c>
      <c r="M25" s="110"/>
      <c r="N25" s="160" t="s">
        <v>21</v>
      </c>
      <c r="O25" s="63">
        <v>13</v>
      </c>
      <c r="Q25" s="63" t="s">
        <v>724</v>
      </c>
      <c r="R25" s="160" t="s">
        <v>1201</v>
      </c>
      <c r="S25" s="63" t="s">
        <v>339</v>
      </c>
      <c r="T25" s="63" t="s">
        <v>22</v>
      </c>
      <c r="U25" t="s">
        <v>348</v>
      </c>
      <c r="V25" s="111">
        <v>14</v>
      </c>
      <c r="W25" s="111">
        <v>240</v>
      </c>
      <c r="X25" s="111">
        <v>0</v>
      </c>
      <c r="Y25" s="111">
        <v>240</v>
      </c>
      <c r="Z25" s="111">
        <v>4</v>
      </c>
      <c r="AA25" s="111" t="s">
        <v>20</v>
      </c>
      <c r="AB25" s="111" t="s">
        <v>18</v>
      </c>
      <c r="AC25" s="111" t="s">
        <v>18</v>
      </c>
      <c r="AD25" s="110"/>
      <c r="AE25" s="110" t="s">
        <v>1202</v>
      </c>
      <c r="AF25" s="111" t="s">
        <v>20</v>
      </c>
      <c r="AG25" s="110" t="s">
        <v>1348</v>
      </c>
      <c r="AH25" s="111" t="s">
        <v>990</v>
      </c>
      <c r="AI25" s="63">
        <v>60</v>
      </c>
      <c r="AJ25" s="111">
        <v>3</v>
      </c>
      <c r="AK25" s="63" t="s">
        <v>276</v>
      </c>
      <c r="AL25" s="63" t="s">
        <v>1276</v>
      </c>
      <c r="AM25" s="111">
        <v>240</v>
      </c>
      <c r="AN25" s="111">
        <v>60</v>
      </c>
      <c r="AO25" s="115">
        <v>6373</v>
      </c>
      <c r="AP25" s="115">
        <v>0</v>
      </c>
      <c r="AQ25" s="115">
        <v>50000</v>
      </c>
      <c r="AR25" s="115">
        <v>21413280</v>
      </c>
      <c r="AS25" s="115">
        <v>3360000</v>
      </c>
      <c r="AT25" s="115">
        <v>0</v>
      </c>
      <c r="AU25" s="115">
        <v>0</v>
      </c>
      <c r="AV25" s="115">
        <v>700000</v>
      </c>
      <c r="AW25" s="115">
        <v>25473280</v>
      </c>
      <c r="AX25" s="111" t="s">
        <v>20</v>
      </c>
      <c r="AZ25" s="111">
        <v>3</v>
      </c>
      <c r="BA25" s="111">
        <v>7</v>
      </c>
      <c r="BB25" s="111">
        <v>0</v>
      </c>
      <c r="BC25" s="111">
        <v>0</v>
      </c>
      <c r="BD25" s="111">
        <v>0</v>
      </c>
      <c r="BE25" s="111">
        <v>0</v>
      </c>
      <c r="BF25" s="111">
        <v>0</v>
      </c>
      <c r="BG25" s="111">
        <v>0</v>
      </c>
      <c r="BH25" s="111">
        <v>0</v>
      </c>
      <c r="BI25" s="111">
        <v>7</v>
      </c>
      <c r="BJ25" s="111">
        <v>7</v>
      </c>
      <c r="BK25" s="111">
        <v>7</v>
      </c>
      <c r="BL25" s="111">
        <v>7</v>
      </c>
      <c r="BM25" s="111">
        <v>7</v>
      </c>
      <c r="BN25" s="111">
        <v>7</v>
      </c>
      <c r="BO25" s="118">
        <v>6.6</v>
      </c>
      <c r="BP25" s="111" t="s">
        <v>18</v>
      </c>
      <c r="BQ25" s="63" t="s">
        <v>1395</v>
      </c>
      <c r="BR25" s="63" t="s">
        <v>1396</v>
      </c>
      <c r="BS25" s="163">
        <v>225962361</v>
      </c>
      <c r="BT25" s="63" t="s">
        <v>1397</v>
      </c>
    </row>
    <row r="26" spans="1:75" s="63" customFormat="1" ht="15" customHeight="1" x14ac:dyDescent="0.25">
      <c r="A26" s="63">
        <v>14388</v>
      </c>
      <c r="B26" s="110" t="s">
        <v>41</v>
      </c>
      <c r="C26" s="63" t="s">
        <v>1345</v>
      </c>
      <c r="D26" s="63">
        <v>2</v>
      </c>
      <c r="E26" s="63">
        <v>2025</v>
      </c>
      <c r="F26" s="111" t="s">
        <v>23</v>
      </c>
      <c r="G26" s="63" t="s">
        <v>1345</v>
      </c>
      <c r="H26" s="110" t="s">
        <v>41</v>
      </c>
      <c r="I26" s="63" t="s">
        <v>1346</v>
      </c>
      <c r="J26" s="63" t="s">
        <v>1347</v>
      </c>
      <c r="K26" s="63" t="s">
        <v>1185</v>
      </c>
      <c r="L26" s="92" t="s">
        <v>1186</v>
      </c>
      <c r="M26" s="110"/>
      <c r="N26" s="160" t="s">
        <v>21</v>
      </c>
      <c r="O26" s="63">
        <v>13</v>
      </c>
      <c r="Q26" s="63" t="s">
        <v>724</v>
      </c>
      <c r="R26" s="160" t="s">
        <v>1178</v>
      </c>
      <c r="S26" s="63" t="s">
        <v>339</v>
      </c>
      <c r="T26" s="63" t="s">
        <v>22</v>
      </c>
      <c r="U26" t="s">
        <v>348</v>
      </c>
      <c r="V26" s="111">
        <v>16</v>
      </c>
      <c r="W26" s="111">
        <v>80</v>
      </c>
      <c r="X26" s="111">
        <v>0</v>
      </c>
      <c r="Y26" s="111">
        <v>80</v>
      </c>
      <c r="Z26" s="111">
        <v>4</v>
      </c>
      <c r="AA26" s="111" t="s">
        <v>20</v>
      </c>
      <c r="AB26" s="111" t="s">
        <v>18</v>
      </c>
      <c r="AC26" s="111" t="s">
        <v>18</v>
      </c>
      <c r="AD26" s="161"/>
      <c r="AE26" s="110" t="s">
        <v>1179</v>
      </c>
      <c r="AF26" s="111" t="s">
        <v>18</v>
      </c>
      <c r="AG26" s="110"/>
      <c r="AH26" s="111" t="s">
        <v>990</v>
      </c>
      <c r="AI26" s="63">
        <v>20</v>
      </c>
      <c r="AJ26" s="111">
        <v>3</v>
      </c>
      <c r="AK26" s="63" t="s">
        <v>360</v>
      </c>
      <c r="AL26" s="63" t="s">
        <v>1267</v>
      </c>
      <c r="AM26" s="111">
        <v>80</v>
      </c>
      <c r="AN26" s="111">
        <v>20</v>
      </c>
      <c r="AO26" s="115">
        <v>6373</v>
      </c>
      <c r="AP26" s="115">
        <v>0</v>
      </c>
      <c r="AQ26" s="115">
        <v>0</v>
      </c>
      <c r="AR26" s="115">
        <v>8157440</v>
      </c>
      <c r="AS26" s="115">
        <v>1280000</v>
      </c>
      <c r="AT26" s="115">
        <v>0</v>
      </c>
      <c r="AU26" s="115">
        <v>0</v>
      </c>
      <c r="AV26" s="115">
        <v>0</v>
      </c>
      <c r="AW26" s="115">
        <v>9437440</v>
      </c>
      <c r="AX26" s="111" t="s">
        <v>20</v>
      </c>
      <c r="AZ26" s="111">
        <v>5</v>
      </c>
      <c r="BA26" s="111">
        <v>7</v>
      </c>
      <c r="BB26" s="111">
        <v>0</v>
      </c>
      <c r="BC26" s="111">
        <v>0</v>
      </c>
      <c r="BD26" s="111">
        <v>0</v>
      </c>
      <c r="BE26" s="111">
        <v>0</v>
      </c>
      <c r="BF26" s="111">
        <v>0</v>
      </c>
      <c r="BG26" s="111">
        <v>0</v>
      </c>
      <c r="BH26" s="111">
        <v>0</v>
      </c>
      <c r="BI26" s="111">
        <v>7</v>
      </c>
      <c r="BJ26" s="111">
        <v>7</v>
      </c>
      <c r="BK26" s="111">
        <v>7</v>
      </c>
      <c r="BL26" s="111">
        <v>7</v>
      </c>
      <c r="BM26" s="111">
        <v>7</v>
      </c>
      <c r="BN26" s="111">
        <v>7</v>
      </c>
      <c r="BO26" s="118">
        <v>6.8</v>
      </c>
      <c r="BP26" s="111" t="s">
        <v>18</v>
      </c>
      <c r="BQ26" s="63" t="s">
        <v>1402</v>
      </c>
      <c r="BR26" s="63" t="s">
        <v>1403</v>
      </c>
      <c r="BS26" s="163">
        <v>986851817</v>
      </c>
      <c r="BT26" s="63" t="s">
        <v>1404</v>
      </c>
    </row>
    <row r="27" spans="1:75" s="63" customFormat="1" ht="15" customHeight="1" x14ac:dyDescent="0.25">
      <c r="A27" s="63">
        <v>14336</v>
      </c>
      <c r="B27" s="110" t="s">
        <v>41</v>
      </c>
      <c r="C27" s="63" t="s">
        <v>1345</v>
      </c>
      <c r="D27" s="63">
        <v>2</v>
      </c>
      <c r="E27" s="63">
        <v>2025</v>
      </c>
      <c r="F27" s="111" t="s">
        <v>23</v>
      </c>
      <c r="G27" s="63" t="s">
        <v>1345</v>
      </c>
      <c r="H27" s="110" t="s">
        <v>41</v>
      </c>
      <c r="I27" s="63" t="s">
        <v>98</v>
      </c>
      <c r="J27" s="63" t="s">
        <v>1349</v>
      </c>
      <c r="K27" s="63" t="s">
        <v>1187</v>
      </c>
      <c r="L27" s="110" t="s">
        <v>992</v>
      </c>
      <c r="M27" s="110"/>
      <c r="N27" s="160" t="s">
        <v>21</v>
      </c>
      <c r="O27" s="63">
        <v>13</v>
      </c>
      <c r="Q27" s="63" t="s">
        <v>416</v>
      </c>
      <c r="R27" s="160" t="s">
        <v>1178</v>
      </c>
      <c r="S27" s="63" t="s">
        <v>339</v>
      </c>
      <c r="T27" s="63" t="s">
        <v>22</v>
      </c>
      <c r="U27" t="s">
        <v>347</v>
      </c>
      <c r="V27" s="111">
        <v>15</v>
      </c>
      <c r="W27" s="111"/>
      <c r="X27" s="111"/>
      <c r="Y27" s="111">
        <v>160</v>
      </c>
      <c r="Z27" s="111">
        <v>5</v>
      </c>
      <c r="AA27" s="111" t="s">
        <v>20</v>
      </c>
      <c r="AB27" s="111" t="s">
        <v>18</v>
      </c>
      <c r="AC27" s="111" t="s">
        <v>18</v>
      </c>
      <c r="AD27" s="110" t="s">
        <v>1188</v>
      </c>
      <c r="AE27" s="110" t="s">
        <v>1189</v>
      </c>
      <c r="AF27" s="111" t="s">
        <v>18</v>
      </c>
      <c r="AG27" s="110"/>
      <c r="AH27" s="111" t="s">
        <v>990</v>
      </c>
      <c r="AI27" s="63">
        <v>32</v>
      </c>
      <c r="AJ27" s="111">
        <v>3</v>
      </c>
      <c r="AK27" s="63" t="s">
        <v>546</v>
      </c>
      <c r="AL27" s="63" t="s">
        <v>1277</v>
      </c>
      <c r="AM27" s="111">
        <v>160</v>
      </c>
      <c r="AN27" s="111">
        <v>32</v>
      </c>
      <c r="AO27" s="115">
        <v>6373</v>
      </c>
      <c r="AP27" s="115">
        <v>0</v>
      </c>
      <c r="AQ27" s="115">
        <v>0</v>
      </c>
      <c r="AR27" s="115">
        <v>15295200</v>
      </c>
      <c r="AS27" s="115">
        <v>1920000</v>
      </c>
      <c r="AT27" s="115">
        <v>0</v>
      </c>
      <c r="AU27" s="115">
        <v>0</v>
      </c>
      <c r="AV27" s="115">
        <v>0</v>
      </c>
      <c r="AW27" s="115">
        <v>17215200</v>
      </c>
      <c r="AX27" s="111" t="s">
        <v>20</v>
      </c>
      <c r="AZ27" s="111">
        <v>7</v>
      </c>
      <c r="BA27" s="111">
        <v>7</v>
      </c>
      <c r="BB27" s="111">
        <v>7</v>
      </c>
      <c r="BC27" s="111">
        <v>7</v>
      </c>
      <c r="BD27" s="111">
        <v>7</v>
      </c>
      <c r="BE27" s="111">
        <v>7</v>
      </c>
      <c r="BF27" s="111">
        <v>7</v>
      </c>
      <c r="BG27" s="111">
        <v>7</v>
      </c>
      <c r="BH27" s="111">
        <v>7</v>
      </c>
      <c r="BI27" s="111">
        <v>7</v>
      </c>
      <c r="BJ27" s="111">
        <v>7</v>
      </c>
      <c r="BK27" s="111">
        <v>7</v>
      </c>
      <c r="BL27" s="111">
        <v>7</v>
      </c>
      <c r="BM27" s="111">
        <v>7</v>
      </c>
      <c r="BN27" s="111">
        <v>7</v>
      </c>
      <c r="BO27" s="118">
        <v>7</v>
      </c>
      <c r="BP27" s="111" t="s">
        <v>20</v>
      </c>
      <c r="BQ27" s="63" t="s">
        <v>1405</v>
      </c>
      <c r="BR27" s="63" t="s">
        <v>1406</v>
      </c>
      <c r="BS27" s="163">
        <v>228347804</v>
      </c>
      <c r="BT27" s="63" t="s">
        <v>1407</v>
      </c>
      <c r="BU27" s="63" t="s">
        <v>1408</v>
      </c>
      <c r="BV27" s="63" t="s">
        <v>1409</v>
      </c>
    </row>
    <row r="28" spans="1:75" s="63" customFormat="1" ht="15" customHeight="1" x14ac:dyDescent="0.25">
      <c r="A28" s="63">
        <v>14388</v>
      </c>
      <c r="B28" s="110" t="s">
        <v>41</v>
      </c>
      <c r="C28" s="63" t="s">
        <v>1345</v>
      </c>
      <c r="D28" s="63">
        <v>2</v>
      </c>
      <c r="E28" s="63">
        <v>2025</v>
      </c>
      <c r="F28" s="111" t="s">
        <v>23</v>
      </c>
      <c r="G28" s="63" t="s">
        <v>1345</v>
      </c>
      <c r="H28" s="110" t="s">
        <v>41</v>
      </c>
      <c r="I28" s="63" t="s">
        <v>1346</v>
      </c>
      <c r="J28" s="63" t="s">
        <v>1347</v>
      </c>
      <c r="K28" s="63" t="s">
        <v>1185</v>
      </c>
      <c r="L28" s="175" t="s">
        <v>1186</v>
      </c>
      <c r="M28"/>
      <c r="N28" t="s">
        <v>21</v>
      </c>
      <c r="O28" s="63">
        <v>13</v>
      </c>
      <c r="Q28" s="63" t="s">
        <v>724</v>
      </c>
      <c r="R28" s="160" t="s">
        <v>1178</v>
      </c>
      <c r="S28" s="63" t="s">
        <v>339</v>
      </c>
      <c r="T28" s="63" t="s">
        <v>22</v>
      </c>
      <c r="U28" t="s">
        <v>348</v>
      </c>
      <c r="V28" s="111">
        <v>16</v>
      </c>
      <c r="W28" s="111">
        <v>80</v>
      </c>
      <c r="X28" s="111">
        <v>0</v>
      </c>
      <c r="Y28" s="111">
        <v>80</v>
      </c>
      <c r="Z28" s="111">
        <v>4</v>
      </c>
      <c r="AA28" s="111" t="s">
        <v>20</v>
      </c>
      <c r="AB28" s="111" t="s">
        <v>18</v>
      </c>
      <c r="AC28" s="111" t="s">
        <v>18</v>
      </c>
      <c r="AD28" s="110"/>
      <c r="AE28" s="110" t="s">
        <v>1179</v>
      </c>
      <c r="AF28" s="111" t="s">
        <v>18</v>
      </c>
      <c r="AG28" s="110"/>
      <c r="AH28" s="111" t="s">
        <v>990</v>
      </c>
      <c r="AI28" s="63">
        <v>20</v>
      </c>
      <c r="AJ28" s="111">
        <v>3</v>
      </c>
      <c r="AK28" s="63" t="s">
        <v>546</v>
      </c>
      <c r="AL28" s="63" t="s">
        <v>1277</v>
      </c>
      <c r="AM28" s="111">
        <v>80</v>
      </c>
      <c r="AN28" s="111">
        <v>20</v>
      </c>
      <c r="AO28" s="115">
        <v>6373</v>
      </c>
      <c r="AP28" s="115">
        <v>0</v>
      </c>
      <c r="AQ28" s="115">
        <v>0</v>
      </c>
      <c r="AR28" s="115">
        <v>8157440</v>
      </c>
      <c r="AS28" s="115">
        <v>1280000</v>
      </c>
      <c r="AT28" s="115">
        <v>0</v>
      </c>
      <c r="AU28" s="115">
        <v>0</v>
      </c>
      <c r="AV28" s="115">
        <v>0</v>
      </c>
      <c r="AW28" s="115">
        <v>9437440</v>
      </c>
      <c r="AX28" s="111" t="s">
        <v>20</v>
      </c>
      <c r="AZ28" s="111">
        <v>7</v>
      </c>
      <c r="BA28" s="111">
        <v>7</v>
      </c>
      <c r="BB28" s="111">
        <v>0</v>
      </c>
      <c r="BC28" s="111">
        <v>0</v>
      </c>
      <c r="BD28" s="111">
        <v>0</v>
      </c>
      <c r="BE28" s="111">
        <v>0</v>
      </c>
      <c r="BF28" s="111">
        <v>0</v>
      </c>
      <c r="BG28" s="111">
        <v>0</v>
      </c>
      <c r="BH28" s="111">
        <v>0</v>
      </c>
      <c r="BI28" s="111">
        <v>7</v>
      </c>
      <c r="BJ28" s="111">
        <v>7</v>
      </c>
      <c r="BK28" s="111">
        <v>7</v>
      </c>
      <c r="BL28" s="111">
        <v>7</v>
      </c>
      <c r="BM28" s="111">
        <v>7</v>
      </c>
      <c r="BN28" s="111">
        <v>7</v>
      </c>
      <c r="BO28" s="118">
        <v>7</v>
      </c>
      <c r="BP28" s="111" t="s">
        <v>20</v>
      </c>
      <c r="BQ28" s="63" t="s">
        <v>1405</v>
      </c>
      <c r="BR28" s="63" t="s">
        <v>1406</v>
      </c>
      <c r="BS28" s="163">
        <v>228347804</v>
      </c>
      <c r="BT28" s="63" t="s">
        <v>1410</v>
      </c>
      <c r="BU28" s="63" t="s">
        <v>1411</v>
      </c>
      <c r="BV28" s="63" t="s">
        <v>1412</v>
      </c>
    </row>
    <row r="29" spans="1:75" s="63" customFormat="1" ht="15" customHeight="1" x14ac:dyDescent="0.25">
      <c r="A29" s="63">
        <v>14389</v>
      </c>
      <c r="B29" s="110" t="s">
        <v>41</v>
      </c>
      <c r="C29" s="63" t="s">
        <v>1345</v>
      </c>
      <c r="D29" s="63">
        <v>2</v>
      </c>
      <c r="E29" s="63">
        <v>2025</v>
      </c>
      <c r="F29" s="111" t="s">
        <v>23</v>
      </c>
      <c r="G29" s="63" t="s">
        <v>1345</v>
      </c>
      <c r="H29" s="110" t="s">
        <v>41</v>
      </c>
      <c r="I29" s="63" t="s">
        <v>1346</v>
      </c>
      <c r="J29" s="63" t="s">
        <v>1347</v>
      </c>
      <c r="K29" s="63" t="s">
        <v>745</v>
      </c>
      <c r="L29" s="37" t="s">
        <v>744</v>
      </c>
      <c r="M29" s="37" t="s">
        <v>345</v>
      </c>
      <c r="N29" s="160" t="s">
        <v>346</v>
      </c>
      <c r="O29" s="63">
        <v>13</v>
      </c>
      <c r="Q29" s="63" t="s">
        <v>724</v>
      </c>
      <c r="R29" s="160" t="s">
        <v>1178</v>
      </c>
      <c r="S29" s="63" t="s">
        <v>339</v>
      </c>
      <c r="T29" s="63" t="s">
        <v>19</v>
      </c>
      <c r="U29" t="s">
        <v>348</v>
      </c>
      <c r="V29" s="111">
        <v>14</v>
      </c>
      <c r="W29" s="111">
        <v>260</v>
      </c>
      <c r="X29" s="111">
        <v>12</v>
      </c>
      <c r="Y29" s="111">
        <v>272</v>
      </c>
      <c r="Z29" s="111">
        <v>4</v>
      </c>
      <c r="AA29" s="111" t="s">
        <v>20</v>
      </c>
      <c r="AB29" s="111" t="s">
        <v>18</v>
      </c>
      <c r="AC29" s="111" t="s">
        <v>20</v>
      </c>
      <c r="AD29" s="110"/>
      <c r="AE29" s="110" t="s">
        <v>1198</v>
      </c>
      <c r="AF29" s="111" t="s">
        <v>20</v>
      </c>
      <c r="AG29" s="110" t="s">
        <v>995</v>
      </c>
      <c r="AH29" s="111" t="s">
        <v>990</v>
      </c>
      <c r="AI29" s="63">
        <v>68</v>
      </c>
      <c r="AJ29" s="111">
        <v>2</v>
      </c>
      <c r="AK29" s="63" t="s">
        <v>546</v>
      </c>
      <c r="AL29" s="63" t="s">
        <v>1277</v>
      </c>
      <c r="AM29" s="111">
        <v>272</v>
      </c>
      <c r="AN29" s="111">
        <v>68</v>
      </c>
      <c r="AO29" s="115">
        <v>5075</v>
      </c>
      <c r="AP29" s="115">
        <v>250000</v>
      </c>
      <c r="AQ29" s="115">
        <v>250000</v>
      </c>
      <c r="AR29" s="115">
        <v>19325600</v>
      </c>
      <c r="AS29" s="115">
        <v>3808000</v>
      </c>
      <c r="AT29" s="115">
        <v>3500000</v>
      </c>
      <c r="AU29" s="115">
        <v>0</v>
      </c>
      <c r="AV29" s="115">
        <v>3500000</v>
      </c>
      <c r="AW29" s="115">
        <v>30133600</v>
      </c>
      <c r="AX29" s="111" t="s">
        <v>20</v>
      </c>
      <c r="AZ29" s="111">
        <v>7</v>
      </c>
      <c r="BA29" s="111">
        <v>7</v>
      </c>
      <c r="BB29" s="111">
        <v>0</v>
      </c>
      <c r="BC29" s="111">
        <v>0</v>
      </c>
      <c r="BD29" s="111">
        <v>0</v>
      </c>
      <c r="BE29" s="111">
        <v>0</v>
      </c>
      <c r="BF29" s="111">
        <v>0</v>
      </c>
      <c r="BG29" s="111">
        <v>0</v>
      </c>
      <c r="BH29" s="111">
        <v>0</v>
      </c>
      <c r="BI29" s="111">
        <v>7</v>
      </c>
      <c r="BJ29" s="111">
        <v>7</v>
      </c>
      <c r="BK29" s="111">
        <v>7</v>
      </c>
      <c r="BL29" s="111">
        <v>7</v>
      </c>
      <c r="BM29" s="111">
        <v>7</v>
      </c>
      <c r="BN29" s="111">
        <v>6.9</v>
      </c>
      <c r="BO29" s="118">
        <v>7</v>
      </c>
      <c r="BP29" s="111" t="s">
        <v>20</v>
      </c>
      <c r="BQ29" s="63" t="s">
        <v>1405</v>
      </c>
      <c r="BR29" s="63" t="s">
        <v>1406</v>
      </c>
      <c r="BS29" s="163">
        <v>228347804</v>
      </c>
      <c r="BT29" s="63" t="s">
        <v>1410</v>
      </c>
      <c r="BU29" s="63" t="s">
        <v>1413</v>
      </c>
      <c r="BV29" s="63" t="s">
        <v>1414</v>
      </c>
    </row>
    <row r="30" spans="1:75" s="63" customFormat="1" ht="15" customHeight="1" x14ac:dyDescent="0.25">
      <c r="A30" s="63">
        <v>14384</v>
      </c>
      <c r="B30" s="110" t="s">
        <v>41</v>
      </c>
      <c r="C30" s="63" t="s">
        <v>1345</v>
      </c>
      <c r="D30" s="63">
        <v>2</v>
      </c>
      <c r="E30" s="63">
        <v>2025</v>
      </c>
      <c r="F30" s="111" t="s">
        <v>23</v>
      </c>
      <c r="G30" s="63" t="s">
        <v>1345</v>
      </c>
      <c r="H30" s="110" t="s">
        <v>41</v>
      </c>
      <c r="I30" s="63" t="s">
        <v>1346</v>
      </c>
      <c r="J30" s="63" t="s">
        <v>1347</v>
      </c>
      <c r="K30" s="63" t="s">
        <v>1181</v>
      </c>
      <c r="L30" s="110" t="s">
        <v>1182</v>
      </c>
      <c r="M30" s="110"/>
      <c r="N30" s="160" t="s">
        <v>21</v>
      </c>
      <c r="O30" s="63">
        <v>13</v>
      </c>
      <c r="Q30" s="63" t="s">
        <v>724</v>
      </c>
      <c r="R30" s="160" t="s">
        <v>1178</v>
      </c>
      <c r="S30" s="63" t="s">
        <v>339</v>
      </c>
      <c r="T30" s="63" t="s">
        <v>22</v>
      </c>
      <c r="U30" t="s">
        <v>348</v>
      </c>
      <c r="V30" s="111">
        <v>15</v>
      </c>
      <c r="W30" s="111">
        <v>120</v>
      </c>
      <c r="X30" s="111">
        <v>0</v>
      </c>
      <c r="Y30" s="111">
        <v>120</v>
      </c>
      <c r="Z30" s="111">
        <v>4</v>
      </c>
      <c r="AA30" s="111" t="s">
        <v>20</v>
      </c>
      <c r="AB30" s="111" t="s">
        <v>18</v>
      </c>
      <c r="AC30" s="111" t="s">
        <v>18</v>
      </c>
      <c r="AD30" s="110"/>
      <c r="AE30" s="110" t="s">
        <v>1179</v>
      </c>
      <c r="AF30" s="111" t="s">
        <v>18</v>
      </c>
      <c r="AG30" s="110"/>
      <c r="AH30" s="111" t="s">
        <v>990</v>
      </c>
      <c r="AI30" s="63">
        <v>30</v>
      </c>
      <c r="AJ30" s="111">
        <v>2</v>
      </c>
      <c r="AK30" s="63" t="s">
        <v>260</v>
      </c>
      <c r="AL30" s="63" t="s">
        <v>1226</v>
      </c>
      <c r="AM30" s="111">
        <v>120</v>
      </c>
      <c r="AN30" s="111">
        <v>30</v>
      </c>
      <c r="AO30" s="115">
        <v>5075</v>
      </c>
      <c r="AP30" s="115">
        <v>0</v>
      </c>
      <c r="AQ30" s="115">
        <v>0</v>
      </c>
      <c r="AR30" s="115">
        <v>9135000</v>
      </c>
      <c r="AS30" s="115">
        <v>1800000</v>
      </c>
      <c r="AT30" s="115">
        <v>0</v>
      </c>
      <c r="AU30" s="115">
        <v>0</v>
      </c>
      <c r="AV30" s="115">
        <v>0</v>
      </c>
      <c r="AW30" s="115">
        <v>10935000</v>
      </c>
      <c r="AX30" s="111" t="s">
        <v>20</v>
      </c>
      <c r="AZ30" s="111">
        <v>3</v>
      </c>
      <c r="BA30" s="111">
        <v>7</v>
      </c>
      <c r="BB30" s="111">
        <v>0</v>
      </c>
      <c r="BC30" s="111">
        <v>0</v>
      </c>
      <c r="BD30" s="111">
        <v>0</v>
      </c>
      <c r="BE30" s="111">
        <v>0</v>
      </c>
      <c r="BF30" s="111">
        <v>0</v>
      </c>
      <c r="BG30" s="111">
        <v>0</v>
      </c>
      <c r="BH30" s="111">
        <v>0</v>
      </c>
      <c r="BI30" s="111">
        <v>7</v>
      </c>
      <c r="BJ30" s="111">
        <v>7</v>
      </c>
      <c r="BK30" s="111">
        <v>7</v>
      </c>
      <c r="BL30" s="111">
        <v>7</v>
      </c>
      <c r="BM30" s="111">
        <v>7</v>
      </c>
      <c r="BN30" s="111">
        <v>7</v>
      </c>
      <c r="BO30" s="118">
        <v>6.6</v>
      </c>
      <c r="BP30" s="111" t="s">
        <v>18</v>
      </c>
      <c r="BQ30" s="63" t="s">
        <v>1415</v>
      </c>
      <c r="BR30" s="63" t="s">
        <v>1416</v>
      </c>
      <c r="BS30" s="163">
        <v>228507710</v>
      </c>
      <c r="BT30" s="63" t="s">
        <v>1417</v>
      </c>
      <c r="BW30" s="63" t="s">
        <v>2397</v>
      </c>
    </row>
    <row r="31" spans="1:75" s="63" customFormat="1" ht="15" customHeight="1" x14ac:dyDescent="0.25">
      <c r="A31" s="63">
        <v>14388</v>
      </c>
      <c r="B31" s="110" t="s">
        <v>41</v>
      </c>
      <c r="C31" s="63" t="s">
        <v>1345</v>
      </c>
      <c r="D31" s="63">
        <v>2</v>
      </c>
      <c r="E31" s="63">
        <v>2025</v>
      </c>
      <c r="F31" s="111" t="s">
        <v>23</v>
      </c>
      <c r="G31" s="63" t="s">
        <v>1345</v>
      </c>
      <c r="H31" s="110" t="s">
        <v>41</v>
      </c>
      <c r="I31" s="63" t="s">
        <v>1346</v>
      </c>
      <c r="J31" s="63" t="s">
        <v>1347</v>
      </c>
      <c r="K31" s="63" t="s">
        <v>1185</v>
      </c>
      <c r="L31" s="92" t="s">
        <v>1186</v>
      </c>
      <c r="M31" s="110"/>
      <c r="N31" s="160" t="s">
        <v>21</v>
      </c>
      <c r="O31" s="63">
        <v>13</v>
      </c>
      <c r="Q31" s="63" t="s">
        <v>724</v>
      </c>
      <c r="R31" s="160" t="s">
        <v>1178</v>
      </c>
      <c r="S31" s="63" t="s">
        <v>339</v>
      </c>
      <c r="T31" s="63" t="s">
        <v>22</v>
      </c>
      <c r="U31" t="s">
        <v>348</v>
      </c>
      <c r="V31" s="111">
        <v>16</v>
      </c>
      <c r="W31" s="111">
        <v>80</v>
      </c>
      <c r="X31" s="111">
        <v>0</v>
      </c>
      <c r="Y31" s="111">
        <v>80</v>
      </c>
      <c r="Z31" s="111">
        <v>4</v>
      </c>
      <c r="AA31" s="111" t="s">
        <v>20</v>
      </c>
      <c r="AB31" s="111" t="s">
        <v>18</v>
      </c>
      <c r="AC31" s="111" t="s">
        <v>18</v>
      </c>
      <c r="AD31" s="161"/>
      <c r="AE31" s="110" t="s">
        <v>1179</v>
      </c>
      <c r="AF31" s="111" t="s">
        <v>18</v>
      </c>
      <c r="AG31" s="110"/>
      <c r="AH31" s="111" t="s">
        <v>990</v>
      </c>
      <c r="AI31" s="63">
        <v>20</v>
      </c>
      <c r="AJ31" s="111">
        <v>3</v>
      </c>
      <c r="AK31" s="63" t="s">
        <v>260</v>
      </c>
      <c r="AL31" s="63" t="s">
        <v>1226</v>
      </c>
      <c r="AM31" s="111">
        <v>80</v>
      </c>
      <c r="AN31" s="111">
        <v>20</v>
      </c>
      <c r="AO31" s="115">
        <v>6373</v>
      </c>
      <c r="AP31" s="115">
        <v>0</v>
      </c>
      <c r="AQ31" s="115">
        <v>0</v>
      </c>
      <c r="AR31" s="115">
        <v>8157440</v>
      </c>
      <c r="AS31" s="115">
        <v>1280000</v>
      </c>
      <c r="AT31" s="115">
        <v>0</v>
      </c>
      <c r="AU31" s="115">
        <v>0</v>
      </c>
      <c r="AV31" s="115">
        <v>0</v>
      </c>
      <c r="AW31" s="115">
        <v>9437440</v>
      </c>
      <c r="AX31" s="111" t="s">
        <v>20</v>
      </c>
      <c r="AZ31" s="111">
        <v>3</v>
      </c>
      <c r="BA31" s="111">
        <v>7</v>
      </c>
      <c r="BB31" s="111">
        <v>0</v>
      </c>
      <c r="BC31" s="111">
        <v>0</v>
      </c>
      <c r="BD31" s="111">
        <v>0</v>
      </c>
      <c r="BE31" s="111">
        <v>0</v>
      </c>
      <c r="BF31" s="111">
        <v>0</v>
      </c>
      <c r="BG31" s="111">
        <v>0</v>
      </c>
      <c r="BH31" s="111">
        <v>0</v>
      </c>
      <c r="BI31" s="111">
        <v>7</v>
      </c>
      <c r="BJ31" s="111">
        <v>7</v>
      </c>
      <c r="BK31" s="111">
        <v>7</v>
      </c>
      <c r="BL31" s="111">
        <v>7</v>
      </c>
      <c r="BM31" s="111">
        <v>7</v>
      </c>
      <c r="BN31" s="111">
        <v>7</v>
      </c>
      <c r="BO31" s="118">
        <v>6.6</v>
      </c>
      <c r="BP31" s="111" t="s">
        <v>18</v>
      </c>
      <c r="BQ31" s="63" t="s">
        <v>1415</v>
      </c>
      <c r="BR31" s="63" t="s">
        <v>1416</v>
      </c>
      <c r="BS31" s="163">
        <v>228507710</v>
      </c>
      <c r="BT31" s="63" t="s">
        <v>1417</v>
      </c>
    </row>
    <row r="32" spans="1:75" s="63" customFormat="1" ht="15" customHeight="1" x14ac:dyDescent="0.25">
      <c r="A32" s="63">
        <v>14336</v>
      </c>
      <c r="B32" s="110" t="s">
        <v>41</v>
      </c>
      <c r="C32" s="63" t="s">
        <v>1345</v>
      </c>
      <c r="D32" s="63">
        <v>2</v>
      </c>
      <c r="E32" s="63">
        <v>2025</v>
      </c>
      <c r="F32" s="111" t="s">
        <v>23</v>
      </c>
      <c r="G32" s="63" t="s">
        <v>1345</v>
      </c>
      <c r="H32" s="110" t="s">
        <v>41</v>
      </c>
      <c r="I32" s="63" t="s">
        <v>98</v>
      </c>
      <c r="J32" s="63" t="s">
        <v>1349</v>
      </c>
      <c r="K32" s="63" t="s">
        <v>1187</v>
      </c>
      <c r="L32" s="175" t="s">
        <v>992</v>
      </c>
      <c r="M32"/>
      <c r="N32" t="s">
        <v>21</v>
      </c>
      <c r="O32" s="63">
        <v>13</v>
      </c>
      <c r="Q32" s="63" t="s">
        <v>416</v>
      </c>
      <c r="R32" s="160" t="s">
        <v>1178</v>
      </c>
      <c r="S32" s="63" t="s">
        <v>339</v>
      </c>
      <c r="T32" s="63" t="s">
        <v>22</v>
      </c>
      <c r="U32" t="s">
        <v>347</v>
      </c>
      <c r="V32" s="111">
        <v>15</v>
      </c>
      <c r="W32" s="111"/>
      <c r="X32" s="111"/>
      <c r="Y32" s="111">
        <v>160</v>
      </c>
      <c r="Z32" s="111">
        <v>5</v>
      </c>
      <c r="AA32" s="111" t="s">
        <v>20</v>
      </c>
      <c r="AB32" s="111" t="s">
        <v>18</v>
      </c>
      <c r="AC32" s="111" t="s">
        <v>18</v>
      </c>
      <c r="AD32" s="110" t="s">
        <v>1188</v>
      </c>
      <c r="AE32" s="110" t="s">
        <v>1189</v>
      </c>
      <c r="AF32" s="111" t="s">
        <v>18</v>
      </c>
      <c r="AG32" s="110"/>
      <c r="AH32" s="111" t="s">
        <v>990</v>
      </c>
      <c r="AI32" s="63">
        <v>32</v>
      </c>
      <c r="AJ32" s="111">
        <v>3</v>
      </c>
      <c r="AK32" s="63" t="s">
        <v>260</v>
      </c>
      <c r="AL32" s="63" t="s">
        <v>1226</v>
      </c>
      <c r="AM32" s="111">
        <v>160</v>
      </c>
      <c r="AN32" s="111">
        <v>32</v>
      </c>
      <c r="AO32" s="115">
        <v>6373</v>
      </c>
      <c r="AP32" s="115">
        <v>0</v>
      </c>
      <c r="AQ32" s="115">
        <v>0</v>
      </c>
      <c r="AR32" s="115">
        <v>15295200</v>
      </c>
      <c r="AS32" s="115">
        <v>1920000</v>
      </c>
      <c r="AT32" s="115">
        <v>0</v>
      </c>
      <c r="AU32" s="115">
        <v>0</v>
      </c>
      <c r="AV32" s="115">
        <v>0</v>
      </c>
      <c r="AW32" s="115">
        <v>17215200</v>
      </c>
      <c r="AX32" s="111" t="s">
        <v>20</v>
      </c>
      <c r="AZ32" s="111">
        <v>3</v>
      </c>
      <c r="BA32" s="111">
        <v>7</v>
      </c>
      <c r="BB32" s="111">
        <v>7</v>
      </c>
      <c r="BC32" s="111">
        <v>7</v>
      </c>
      <c r="BD32" s="111">
        <v>7</v>
      </c>
      <c r="BE32" s="111">
        <v>7</v>
      </c>
      <c r="BF32" s="111">
        <v>7</v>
      </c>
      <c r="BG32" s="111">
        <v>7</v>
      </c>
      <c r="BH32" s="111">
        <v>7</v>
      </c>
      <c r="BI32" s="111">
        <v>7</v>
      </c>
      <c r="BJ32" s="111">
        <v>7</v>
      </c>
      <c r="BK32" s="111">
        <v>7</v>
      </c>
      <c r="BL32" s="111">
        <v>7</v>
      </c>
      <c r="BM32" s="111">
        <v>7</v>
      </c>
      <c r="BN32" s="111">
        <v>7</v>
      </c>
      <c r="BO32" s="111">
        <v>6.6</v>
      </c>
      <c r="BP32" s="111" t="s">
        <v>18</v>
      </c>
      <c r="BQ32" s="63" t="s">
        <v>1415</v>
      </c>
      <c r="BR32" s="63" t="s">
        <v>1416</v>
      </c>
      <c r="BS32" s="163">
        <v>228507710</v>
      </c>
      <c r="BT32" s="63" t="s">
        <v>1418</v>
      </c>
    </row>
    <row r="33" spans="1:75" s="63" customFormat="1" ht="15" customHeight="1" x14ac:dyDescent="0.25">
      <c r="A33" s="63">
        <v>14279</v>
      </c>
      <c r="B33" s="110" t="s">
        <v>41</v>
      </c>
      <c r="C33" s="63" t="s">
        <v>1345</v>
      </c>
      <c r="D33" s="63">
        <v>2</v>
      </c>
      <c r="E33" s="63">
        <v>2025</v>
      </c>
      <c r="F33" s="111" t="s">
        <v>23</v>
      </c>
      <c r="G33" s="63" t="s">
        <v>1345</v>
      </c>
      <c r="H33" s="110" t="s">
        <v>41</v>
      </c>
      <c r="I33" s="63" t="s">
        <v>1350</v>
      </c>
      <c r="J33" s="63" t="s">
        <v>1351</v>
      </c>
      <c r="K33" s="63" t="s">
        <v>1190</v>
      </c>
      <c r="L33" s="175" t="s">
        <v>992</v>
      </c>
      <c r="M33" t="s">
        <v>407</v>
      </c>
      <c r="N33" t="s">
        <v>408</v>
      </c>
      <c r="O33" s="63">
        <v>10</v>
      </c>
      <c r="Q33" s="63" t="s">
        <v>1191</v>
      </c>
      <c r="R33" s="160" t="s">
        <v>1178</v>
      </c>
      <c r="S33" s="63" t="s">
        <v>339</v>
      </c>
      <c r="T33" s="63" t="s">
        <v>22</v>
      </c>
      <c r="U33" t="s">
        <v>1192</v>
      </c>
      <c r="V33" s="111">
        <v>20</v>
      </c>
      <c r="W33" s="111"/>
      <c r="X33" s="111"/>
      <c r="Y33" s="111">
        <v>224</v>
      </c>
      <c r="Z33" s="111">
        <v>8</v>
      </c>
      <c r="AA33" s="111" t="s">
        <v>20</v>
      </c>
      <c r="AB33" s="111" t="s">
        <v>18</v>
      </c>
      <c r="AC33" s="111" t="s">
        <v>18</v>
      </c>
      <c r="AD33" s="110" t="s">
        <v>1352</v>
      </c>
      <c r="AE33" s="110" t="s">
        <v>1355</v>
      </c>
      <c r="AF33" s="111" t="s">
        <v>18</v>
      </c>
      <c r="AG33" s="110"/>
      <c r="AH33" s="111" t="s">
        <v>990</v>
      </c>
      <c r="AI33" s="63">
        <v>28</v>
      </c>
      <c r="AJ33" s="111">
        <v>3</v>
      </c>
      <c r="AK33" s="63" t="s">
        <v>257</v>
      </c>
      <c r="AL33" s="63" t="s">
        <v>1255</v>
      </c>
      <c r="AM33" s="111">
        <v>224</v>
      </c>
      <c r="AN33" s="111">
        <v>28</v>
      </c>
      <c r="AO33" s="115">
        <v>6373</v>
      </c>
      <c r="AP33" s="115">
        <v>0</v>
      </c>
      <c r="AQ33" s="115">
        <v>0</v>
      </c>
      <c r="AR33" s="115">
        <v>28551040</v>
      </c>
      <c r="AS33" s="115">
        <v>2240000</v>
      </c>
      <c r="AT33" s="115">
        <v>0</v>
      </c>
      <c r="AU33" s="115">
        <v>0</v>
      </c>
      <c r="AV33" s="115">
        <v>0</v>
      </c>
      <c r="AW33" s="115">
        <v>30791040</v>
      </c>
      <c r="AX33" s="111" t="s">
        <v>18</v>
      </c>
      <c r="AY33" s="164" t="s">
        <v>2408</v>
      </c>
      <c r="AZ33" s="111">
        <v>0</v>
      </c>
      <c r="BA33" s="111">
        <v>0</v>
      </c>
      <c r="BB33" s="111">
        <v>0</v>
      </c>
      <c r="BC33" s="111">
        <v>0</v>
      </c>
      <c r="BD33" s="111">
        <v>0</v>
      </c>
      <c r="BE33" s="111">
        <v>0</v>
      </c>
      <c r="BF33" s="111">
        <v>0</v>
      </c>
      <c r="BG33" s="111">
        <v>0</v>
      </c>
      <c r="BH33" s="111">
        <v>0</v>
      </c>
      <c r="BI33" s="111">
        <v>0</v>
      </c>
      <c r="BJ33" s="111">
        <v>0</v>
      </c>
      <c r="BK33" s="111">
        <v>0</v>
      </c>
      <c r="BL33" s="111">
        <v>0</v>
      </c>
      <c r="BM33" s="111">
        <v>0</v>
      </c>
      <c r="BN33" s="111">
        <v>0</v>
      </c>
      <c r="BO33" s="118">
        <v>0</v>
      </c>
      <c r="BP33" s="111" t="s">
        <v>18</v>
      </c>
      <c r="BQ33" s="63" t="s">
        <v>1420</v>
      </c>
      <c r="BR33" s="63" t="s">
        <v>1421</v>
      </c>
      <c r="BS33" s="163">
        <v>989200476</v>
      </c>
      <c r="BT33" s="63" t="s">
        <v>1424</v>
      </c>
    </row>
    <row r="34" spans="1:75" s="63" customFormat="1" ht="15" customHeight="1" x14ac:dyDescent="0.25">
      <c r="A34" s="63">
        <v>14279</v>
      </c>
      <c r="B34" s="110" t="s">
        <v>41</v>
      </c>
      <c r="C34" s="63" t="s">
        <v>1345</v>
      </c>
      <c r="D34" s="63">
        <v>2</v>
      </c>
      <c r="E34" s="63">
        <v>2025</v>
      </c>
      <c r="F34" s="111" t="s">
        <v>23</v>
      </c>
      <c r="G34" s="63" t="s">
        <v>1345</v>
      </c>
      <c r="H34" s="110" t="s">
        <v>41</v>
      </c>
      <c r="I34" s="63" t="s">
        <v>1350</v>
      </c>
      <c r="J34" s="63" t="s">
        <v>1351</v>
      </c>
      <c r="K34" s="63" t="s">
        <v>1190</v>
      </c>
      <c r="L34" s="92" t="s">
        <v>992</v>
      </c>
      <c r="M34" s="160" t="s">
        <v>407</v>
      </c>
      <c r="N34" s="160" t="s">
        <v>408</v>
      </c>
      <c r="O34" s="63">
        <v>10</v>
      </c>
      <c r="Q34" s="63" t="s">
        <v>1191</v>
      </c>
      <c r="R34" s="160" t="s">
        <v>1178</v>
      </c>
      <c r="S34" s="63" t="s">
        <v>339</v>
      </c>
      <c r="T34" s="63" t="s">
        <v>22</v>
      </c>
      <c r="U34" t="s">
        <v>1192</v>
      </c>
      <c r="V34" s="111">
        <v>20</v>
      </c>
      <c r="W34" s="111"/>
      <c r="X34" s="111"/>
      <c r="Y34" s="111">
        <v>224</v>
      </c>
      <c r="Z34" s="111">
        <v>8</v>
      </c>
      <c r="AA34" s="111" t="s">
        <v>20</v>
      </c>
      <c r="AB34" s="111" t="s">
        <v>18</v>
      </c>
      <c r="AC34" s="111" t="s">
        <v>18</v>
      </c>
      <c r="AD34" s="161" t="s">
        <v>1352</v>
      </c>
      <c r="AE34" s="161" t="s">
        <v>1355</v>
      </c>
      <c r="AF34" s="111" t="s">
        <v>18</v>
      </c>
      <c r="AG34" s="110"/>
      <c r="AH34" s="111" t="s">
        <v>990</v>
      </c>
      <c r="AI34" s="63">
        <v>28</v>
      </c>
      <c r="AJ34" s="111">
        <v>3</v>
      </c>
      <c r="AK34" s="63" t="s">
        <v>1233</v>
      </c>
      <c r="AL34" s="63" t="s">
        <v>1232</v>
      </c>
      <c r="AM34" s="111">
        <v>224</v>
      </c>
      <c r="AN34" s="111">
        <v>28</v>
      </c>
      <c r="AO34" s="115">
        <v>6373</v>
      </c>
      <c r="AP34" s="115">
        <v>0</v>
      </c>
      <c r="AQ34" s="115">
        <v>0</v>
      </c>
      <c r="AR34" s="115">
        <v>28551040</v>
      </c>
      <c r="AS34" s="115">
        <v>2240000</v>
      </c>
      <c r="AT34" s="115">
        <v>0</v>
      </c>
      <c r="AU34" s="115">
        <v>0</v>
      </c>
      <c r="AV34" s="115">
        <v>0</v>
      </c>
      <c r="AW34" s="115">
        <v>30791040</v>
      </c>
      <c r="AX34" s="111" t="s">
        <v>18</v>
      </c>
      <c r="AY34" s="210" t="s">
        <v>2389</v>
      </c>
      <c r="AZ34" s="111">
        <v>0</v>
      </c>
      <c r="BA34" s="111">
        <v>0</v>
      </c>
      <c r="BB34" s="111">
        <v>0</v>
      </c>
      <c r="BC34" s="111">
        <v>0</v>
      </c>
      <c r="BD34" s="111">
        <v>0</v>
      </c>
      <c r="BE34" s="111">
        <v>0</v>
      </c>
      <c r="BF34" s="111">
        <v>0</v>
      </c>
      <c r="BG34" s="111">
        <v>0</v>
      </c>
      <c r="BH34" s="111">
        <v>0</v>
      </c>
      <c r="BI34" s="111">
        <v>0</v>
      </c>
      <c r="BJ34" s="111">
        <v>0</v>
      </c>
      <c r="BK34" s="111">
        <v>0</v>
      </c>
      <c r="BL34" s="111">
        <v>0</v>
      </c>
      <c r="BM34" s="111">
        <v>0</v>
      </c>
      <c r="BN34" s="111">
        <v>0</v>
      </c>
      <c r="BO34" s="111">
        <v>0</v>
      </c>
      <c r="BP34" s="111" t="s">
        <v>18</v>
      </c>
      <c r="BQ34" s="63" t="s">
        <v>1434</v>
      </c>
      <c r="BR34" s="63" t="s">
        <v>1435</v>
      </c>
      <c r="BS34" s="163">
        <v>992269593</v>
      </c>
      <c r="BT34" s="63" t="s">
        <v>1436</v>
      </c>
    </row>
    <row r="35" spans="1:75" s="63" customFormat="1" ht="15" customHeight="1" x14ac:dyDescent="0.25">
      <c r="A35" s="63">
        <v>14281</v>
      </c>
      <c r="B35" s="110" t="s">
        <v>41</v>
      </c>
      <c r="C35" s="63" t="s">
        <v>1345</v>
      </c>
      <c r="D35" s="63">
        <v>2</v>
      </c>
      <c r="E35" s="63">
        <v>2025</v>
      </c>
      <c r="F35" s="111" t="s">
        <v>23</v>
      </c>
      <c r="G35" s="63" t="s">
        <v>1345</v>
      </c>
      <c r="H35" s="110" t="s">
        <v>41</v>
      </c>
      <c r="I35" s="63" t="s">
        <v>1350</v>
      </c>
      <c r="J35" s="63" t="s">
        <v>1351</v>
      </c>
      <c r="K35" s="63" t="s">
        <v>1190</v>
      </c>
      <c r="L35" s="92" t="s">
        <v>992</v>
      </c>
      <c r="M35" s="160" t="s">
        <v>407</v>
      </c>
      <c r="N35" s="160" t="s">
        <v>408</v>
      </c>
      <c r="O35" s="63">
        <v>10</v>
      </c>
      <c r="Q35" s="63" t="s">
        <v>736</v>
      </c>
      <c r="R35" s="160" t="s">
        <v>1178</v>
      </c>
      <c r="S35" s="63" t="s">
        <v>339</v>
      </c>
      <c r="T35" s="63" t="s">
        <v>22</v>
      </c>
      <c r="U35" t="s">
        <v>1196</v>
      </c>
      <c r="V35" s="111">
        <v>20</v>
      </c>
      <c r="W35" s="111"/>
      <c r="X35" s="111"/>
      <c r="Y35" s="111">
        <v>224</v>
      </c>
      <c r="Z35" s="111">
        <v>8</v>
      </c>
      <c r="AA35" s="111" t="s">
        <v>20</v>
      </c>
      <c r="AB35" s="111" t="s">
        <v>18</v>
      </c>
      <c r="AC35" s="111" t="s">
        <v>18</v>
      </c>
      <c r="AD35" s="161" t="s">
        <v>1352</v>
      </c>
      <c r="AE35" s="161" t="s">
        <v>1197</v>
      </c>
      <c r="AF35" s="111" t="s">
        <v>18</v>
      </c>
      <c r="AG35" s="110"/>
      <c r="AH35" s="111" t="s">
        <v>990</v>
      </c>
      <c r="AI35" s="63">
        <v>28</v>
      </c>
      <c r="AJ35" s="111">
        <v>3</v>
      </c>
      <c r="AK35" s="63" t="s">
        <v>1233</v>
      </c>
      <c r="AL35" s="63" t="s">
        <v>1232</v>
      </c>
      <c r="AM35" s="111">
        <v>224</v>
      </c>
      <c r="AN35" s="111">
        <v>28</v>
      </c>
      <c r="AO35" s="115">
        <v>6373</v>
      </c>
      <c r="AP35" s="115">
        <v>0</v>
      </c>
      <c r="AQ35" s="115">
        <v>0</v>
      </c>
      <c r="AR35" s="115">
        <v>28551040</v>
      </c>
      <c r="AS35" s="115">
        <v>2240000</v>
      </c>
      <c r="AT35" s="115">
        <v>0</v>
      </c>
      <c r="AU35" s="115">
        <v>0</v>
      </c>
      <c r="AV35" s="115">
        <v>0</v>
      </c>
      <c r="AW35" s="115">
        <v>30791040</v>
      </c>
      <c r="AX35" s="111" t="s">
        <v>18</v>
      </c>
      <c r="AY35" s="210" t="s">
        <v>2389</v>
      </c>
      <c r="AZ35" s="111">
        <v>0</v>
      </c>
      <c r="BA35" s="111">
        <v>0</v>
      </c>
      <c r="BB35" s="111">
        <v>0</v>
      </c>
      <c r="BC35" s="111">
        <v>0</v>
      </c>
      <c r="BD35" s="111">
        <v>0</v>
      </c>
      <c r="BE35" s="111">
        <v>0</v>
      </c>
      <c r="BF35" s="111">
        <v>0</v>
      </c>
      <c r="BG35" s="111">
        <v>0</v>
      </c>
      <c r="BH35" s="111">
        <v>0</v>
      </c>
      <c r="BI35" s="111">
        <v>0</v>
      </c>
      <c r="BJ35" s="111">
        <v>0</v>
      </c>
      <c r="BK35" s="111">
        <v>0</v>
      </c>
      <c r="BL35" s="111">
        <v>0</v>
      </c>
      <c r="BM35" s="111">
        <v>0</v>
      </c>
      <c r="BN35" s="111">
        <v>0</v>
      </c>
      <c r="BO35" s="111">
        <v>0</v>
      </c>
      <c r="BP35" s="111" t="s">
        <v>18</v>
      </c>
      <c r="BQ35" s="63" t="s">
        <v>1434</v>
      </c>
      <c r="BR35" s="63" t="s">
        <v>1435</v>
      </c>
      <c r="BS35" s="163">
        <v>992269593</v>
      </c>
      <c r="BT35" s="63" t="s">
        <v>1437</v>
      </c>
    </row>
    <row r="36" spans="1:75" s="63" customFormat="1" ht="15" customHeight="1" x14ac:dyDescent="0.25">
      <c r="A36" s="63">
        <v>14283</v>
      </c>
      <c r="B36" s="110" t="s">
        <v>41</v>
      </c>
      <c r="C36" s="63" t="s">
        <v>1345</v>
      </c>
      <c r="D36" s="63">
        <v>2</v>
      </c>
      <c r="E36" s="63">
        <v>2025</v>
      </c>
      <c r="F36" s="111" t="s">
        <v>23</v>
      </c>
      <c r="G36" s="63" t="s">
        <v>1345</v>
      </c>
      <c r="H36" s="110" t="s">
        <v>41</v>
      </c>
      <c r="I36" s="63" t="s">
        <v>1350</v>
      </c>
      <c r="J36" s="63" t="s">
        <v>1351</v>
      </c>
      <c r="K36" s="63" t="s">
        <v>1190</v>
      </c>
      <c r="L36" s="92" t="s">
        <v>992</v>
      </c>
      <c r="M36" s="110" t="s">
        <v>407</v>
      </c>
      <c r="N36" s="160" t="s">
        <v>408</v>
      </c>
      <c r="O36" s="63">
        <v>10</v>
      </c>
      <c r="Q36" s="63" t="s">
        <v>1014</v>
      </c>
      <c r="R36" s="160" t="s">
        <v>1178</v>
      </c>
      <c r="S36" s="63" t="s">
        <v>339</v>
      </c>
      <c r="T36" s="63" t="s">
        <v>22</v>
      </c>
      <c r="U36" t="s">
        <v>1196</v>
      </c>
      <c r="V36" s="111">
        <v>20</v>
      </c>
      <c r="W36" s="111"/>
      <c r="X36" s="111"/>
      <c r="Y36" s="111">
        <v>224</v>
      </c>
      <c r="Z36" s="111">
        <v>8</v>
      </c>
      <c r="AA36" s="111" t="s">
        <v>20</v>
      </c>
      <c r="AB36" s="111" t="s">
        <v>18</v>
      </c>
      <c r="AC36" s="111" t="s">
        <v>18</v>
      </c>
      <c r="AD36" s="161" t="s">
        <v>1352</v>
      </c>
      <c r="AE36" s="110" t="s">
        <v>1354</v>
      </c>
      <c r="AF36" s="111" t="s">
        <v>18</v>
      </c>
      <c r="AG36" s="110"/>
      <c r="AH36" s="111" t="s">
        <v>990</v>
      </c>
      <c r="AI36" s="63">
        <v>28</v>
      </c>
      <c r="AJ36" s="111">
        <v>3</v>
      </c>
      <c r="AK36" s="63" t="s">
        <v>1233</v>
      </c>
      <c r="AL36" s="63" t="s">
        <v>1232</v>
      </c>
      <c r="AM36" s="111">
        <v>224</v>
      </c>
      <c r="AN36" s="111">
        <v>28</v>
      </c>
      <c r="AO36" s="115">
        <v>6373</v>
      </c>
      <c r="AP36" s="115">
        <v>0</v>
      </c>
      <c r="AQ36" s="115">
        <v>0</v>
      </c>
      <c r="AR36" s="115">
        <v>28551040</v>
      </c>
      <c r="AS36" s="115">
        <v>2240000</v>
      </c>
      <c r="AT36" s="115">
        <v>0</v>
      </c>
      <c r="AU36" s="115">
        <v>0</v>
      </c>
      <c r="AV36" s="115">
        <v>0</v>
      </c>
      <c r="AW36" s="115">
        <v>30791040</v>
      </c>
      <c r="AX36" s="111" t="s">
        <v>18</v>
      </c>
      <c r="AY36" s="210" t="s">
        <v>2389</v>
      </c>
      <c r="AZ36" s="111">
        <v>0</v>
      </c>
      <c r="BA36" s="111">
        <v>0</v>
      </c>
      <c r="BB36" s="111">
        <v>0</v>
      </c>
      <c r="BC36" s="111">
        <v>0</v>
      </c>
      <c r="BD36" s="111">
        <v>0</v>
      </c>
      <c r="BE36" s="111">
        <v>0</v>
      </c>
      <c r="BF36" s="111">
        <v>0</v>
      </c>
      <c r="BG36" s="111">
        <v>0</v>
      </c>
      <c r="BH36" s="111">
        <v>0</v>
      </c>
      <c r="BI36" s="111">
        <v>0</v>
      </c>
      <c r="BJ36" s="111">
        <v>0</v>
      </c>
      <c r="BK36" s="111">
        <v>0</v>
      </c>
      <c r="BL36" s="111">
        <v>0</v>
      </c>
      <c r="BM36" s="111">
        <v>0</v>
      </c>
      <c r="BN36" s="111">
        <v>0</v>
      </c>
      <c r="BO36" s="118">
        <v>0</v>
      </c>
      <c r="BP36" s="111" t="s">
        <v>18</v>
      </c>
      <c r="BQ36" s="63" t="s">
        <v>1434</v>
      </c>
      <c r="BR36" s="63" t="s">
        <v>1435</v>
      </c>
      <c r="BS36" s="163">
        <v>992269593</v>
      </c>
      <c r="BT36" s="63" t="s">
        <v>1438</v>
      </c>
    </row>
    <row r="37" spans="1:75" s="63" customFormat="1" ht="15" customHeight="1" x14ac:dyDescent="0.25">
      <c r="A37" s="63">
        <v>14389</v>
      </c>
      <c r="B37" s="110" t="s">
        <v>41</v>
      </c>
      <c r="C37" s="63" t="s">
        <v>1345</v>
      </c>
      <c r="D37" s="63">
        <v>2</v>
      </c>
      <c r="E37" s="63">
        <v>2025</v>
      </c>
      <c r="F37" s="111" t="s">
        <v>23</v>
      </c>
      <c r="G37" s="63" t="s">
        <v>1345</v>
      </c>
      <c r="H37" s="110" t="s">
        <v>41</v>
      </c>
      <c r="I37" s="63" t="s">
        <v>1346</v>
      </c>
      <c r="J37" s="63" t="s">
        <v>1347</v>
      </c>
      <c r="K37" s="63" t="s">
        <v>745</v>
      </c>
      <c r="L37" s="37" t="s">
        <v>744</v>
      </c>
      <c r="M37" s="37" t="s">
        <v>345</v>
      </c>
      <c r="N37" s="160" t="s">
        <v>346</v>
      </c>
      <c r="O37" s="63">
        <v>13</v>
      </c>
      <c r="Q37" s="63" t="s">
        <v>724</v>
      </c>
      <c r="R37" s="160" t="s">
        <v>1178</v>
      </c>
      <c r="S37" s="63" t="s">
        <v>339</v>
      </c>
      <c r="T37" s="63" t="s">
        <v>19</v>
      </c>
      <c r="U37" t="s">
        <v>348</v>
      </c>
      <c r="V37" s="111">
        <v>14</v>
      </c>
      <c r="W37" s="111">
        <v>260</v>
      </c>
      <c r="X37" s="111">
        <v>12</v>
      </c>
      <c r="Y37" s="111">
        <v>272</v>
      </c>
      <c r="Z37" s="111">
        <v>4</v>
      </c>
      <c r="AA37" s="111" t="s">
        <v>20</v>
      </c>
      <c r="AB37" s="111" t="s">
        <v>18</v>
      </c>
      <c r="AC37" s="111" t="s">
        <v>20</v>
      </c>
      <c r="AD37" s="110"/>
      <c r="AE37" s="110" t="s">
        <v>1198</v>
      </c>
      <c r="AF37" s="111" t="s">
        <v>20</v>
      </c>
      <c r="AG37" s="110" t="s">
        <v>995</v>
      </c>
      <c r="AH37" s="111" t="s">
        <v>990</v>
      </c>
      <c r="AI37" s="63">
        <v>68</v>
      </c>
      <c r="AJ37" s="111">
        <v>2</v>
      </c>
      <c r="AK37" s="63" t="s">
        <v>265</v>
      </c>
      <c r="AL37" s="63" t="s">
        <v>1214</v>
      </c>
      <c r="AM37" s="111">
        <v>272</v>
      </c>
      <c r="AN37" s="111">
        <v>68</v>
      </c>
      <c r="AO37" s="115">
        <v>5000</v>
      </c>
      <c r="AP37" s="115">
        <v>250000</v>
      </c>
      <c r="AQ37" s="115">
        <v>250000</v>
      </c>
      <c r="AR37" s="115">
        <v>19040000</v>
      </c>
      <c r="AS37" s="115">
        <v>3808000</v>
      </c>
      <c r="AT37" s="115">
        <v>3500000</v>
      </c>
      <c r="AU37" s="115">
        <v>0</v>
      </c>
      <c r="AV37" s="115">
        <v>3500000</v>
      </c>
      <c r="AW37" s="115">
        <v>29848000</v>
      </c>
      <c r="AX37" s="211" t="s">
        <v>18</v>
      </c>
      <c r="AY37" s="63" t="s">
        <v>2409</v>
      </c>
      <c r="AZ37" s="111">
        <v>0</v>
      </c>
      <c r="BA37" s="111">
        <v>0</v>
      </c>
      <c r="BB37" s="111">
        <v>0</v>
      </c>
      <c r="BC37" s="111">
        <v>0</v>
      </c>
      <c r="BD37" s="111">
        <v>0</v>
      </c>
      <c r="BE37" s="111">
        <v>0</v>
      </c>
      <c r="BF37" s="111">
        <v>0</v>
      </c>
      <c r="BG37" s="111">
        <v>0</v>
      </c>
      <c r="BH37" s="111">
        <v>0</v>
      </c>
      <c r="BI37" s="111">
        <v>0</v>
      </c>
      <c r="BJ37" s="111">
        <v>0</v>
      </c>
      <c r="BK37" s="111">
        <v>0</v>
      </c>
      <c r="BL37" s="111">
        <v>0</v>
      </c>
      <c r="BM37" s="111">
        <v>0</v>
      </c>
      <c r="BN37" s="111">
        <v>0</v>
      </c>
      <c r="BO37" s="111">
        <v>0</v>
      </c>
      <c r="BP37" s="111" t="s">
        <v>18</v>
      </c>
      <c r="BQ37" s="63" t="s">
        <v>1425</v>
      </c>
      <c r="BR37" s="63" t="s">
        <v>1426</v>
      </c>
      <c r="BS37" s="163">
        <v>988394610</v>
      </c>
      <c r="BT37" s="63" t="s">
        <v>1427</v>
      </c>
    </row>
    <row r="38" spans="1:75" s="63" customFormat="1" ht="15" customHeight="1" x14ac:dyDescent="0.25">
      <c r="A38" s="63">
        <v>14384</v>
      </c>
      <c r="B38" s="110" t="s">
        <v>41</v>
      </c>
      <c r="C38" s="63" t="s">
        <v>1345</v>
      </c>
      <c r="D38" s="63">
        <v>2</v>
      </c>
      <c r="E38" s="63">
        <v>2025</v>
      </c>
      <c r="F38" s="111" t="s">
        <v>23</v>
      </c>
      <c r="G38" s="63" t="s">
        <v>1345</v>
      </c>
      <c r="H38" s="110" t="s">
        <v>41</v>
      </c>
      <c r="I38" s="63" t="s">
        <v>1346</v>
      </c>
      <c r="J38" s="63" t="s">
        <v>1347</v>
      </c>
      <c r="K38" s="63" t="s">
        <v>1181</v>
      </c>
      <c r="L38" s="110" t="s">
        <v>1182</v>
      </c>
      <c r="M38" s="110"/>
      <c r="N38" s="160" t="s">
        <v>21</v>
      </c>
      <c r="O38" s="63">
        <v>13</v>
      </c>
      <c r="Q38" s="63" t="s">
        <v>724</v>
      </c>
      <c r="R38" s="160" t="s">
        <v>1178</v>
      </c>
      <c r="S38" s="63" t="s">
        <v>339</v>
      </c>
      <c r="T38" s="63" t="s">
        <v>22</v>
      </c>
      <c r="U38" t="s">
        <v>348</v>
      </c>
      <c r="V38" s="111">
        <v>15</v>
      </c>
      <c r="W38" s="111">
        <v>120</v>
      </c>
      <c r="X38" s="111">
        <v>0</v>
      </c>
      <c r="Y38" s="111">
        <v>120</v>
      </c>
      <c r="Z38" s="111">
        <v>4</v>
      </c>
      <c r="AA38" s="111" t="s">
        <v>20</v>
      </c>
      <c r="AB38" s="111" t="s">
        <v>18</v>
      </c>
      <c r="AC38" s="111" t="s">
        <v>18</v>
      </c>
      <c r="AD38" s="110"/>
      <c r="AE38" s="110" t="s">
        <v>1179</v>
      </c>
      <c r="AF38" s="111" t="s">
        <v>18</v>
      </c>
      <c r="AG38" s="110"/>
      <c r="AH38" s="111" t="s">
        <v>990</v>
      </c>
      <c r="AI38" s="63">
        <v>30</v>
      </c>
      <c r="AJ38" s="111">
        <v>2</v>
      </c>
      <c r="AK38" s="63" t="s">
        <v>601</v>
      </c>
      <c r="AL38" s="63" t="s">
        <v>1212</v>
      </c>
      <c r="AM38" s="111">
        <v>120</v>
      </c>
      <c r="AN38" s="111">
        <v>30</v>
      </c>
      <c r="AO38" s="115">
        <v>5600</v>
      </c>
      <c r="AP38" s="115">
        <v>0</v>
      </c>
      <c r="AQ38" s="115">
        <v>0</v>
      </c>
      <c r="AR38" s="115">
        <v>10080000</v>
      </c>
      <c r="AS38" s="115">
        <v>1800000</v>
      </c>
      <c r="AT38" s="115">
        <v>0</v>
      </c>
      <c r="AU38" s="115">
        <v>0</v>
      </c>
      <c r="AV38" s="115">
        <v>0</v>
      </c>
      <c r="AW38" s="115">
        <v>11880000</v>
      </c>
      <c r="AX38" s="111" t="s">
        <v>20</v>
      </c>
      <c r="AZ38" s="111">
        <v>1</v>
      </c>
      <c r="BA38" s="111">
        <v>7</v>
      </c>
      <c r="BB38" s="111">
        <v>0</v>
      </c>
      <c r="BC38" s="111">
        <v>0</v>
      </c>
      <c r="BD38" s="111">
        <v>0</v>
      </c>
      <c r="BE38" s="111">
        <v>0</v>
      </c>
      <c r="BF38" s="111">
        <v>0</v>
      </c>
      <c r="BG38" s="111">
        <v>0</v>
      </c>
      <c r="BH38" s="111">
        <v>0</v>
      </c>
      <c r="BI38" s="111">
        <v>7</v>
      </c>
      <c r="BJ38" s="111">
        <v>7</v>
      </c>
      <c r="BK38" s="111">
        <v>7</v>
      </c>
      <c r="BL38" s="111">
        <v>7</v>
      </c>
      <c r="BM38" s="111">
        <v>7</v>
      </c>
      <c r="BN38" s="111">
        <v>6.3</v>
      </c>
      <c r="BO38" s="118">
        <v>6.4</v>
      </c>
      <c r="BP38" s="111" t="s">
        <v>18</v>
      </c>
      <c r="BQ38" s="63" t="s">
        <v>1428</v>
      </c>
      <c r="BR38" s="63" t="s">
        <v>1429</v>
      </c>
      <c r="BS38" s="163">
        <v>946133009</v>
      </c>
      <c r="BT38" s="63" t="s">
        <v>1430</v>
      </c>
    </row>
    <row r="39" spans="1:75" s="63" customFormat="1" ht="15" customHeight="1" x14ac:dyDescent="0.25">
      <c r="A39" s="63">
        <v>14388</v>
      </c>
      <c r="B39" s="110" t="s">
        <v>41</v>
      </c>
      <c r="C39" s="63" t="s">
        <v>1345</v>
      </c>
      <c r="D39" s="63">
        <v>2</v>
      </c>
      <c r="E39" s="63">
        <v>2025</v>
      </c>
      <c r="F39" s="111" t="s">
        <v>23</v>
      </c>
      <c r="G39" s="63" t="s">
        <v>1345</v>
      </c>
      <c r="H39" s="110" t="s">
        <v>41</v>
      </c>
      <c r="I39" s="63" t="s">
        <v>1346</v>
      </c>
      <c r="J39" s="63" t="s">
        <v>1347</v>
      </c>
      <c r="K39" s="63" t="s">
        <v>1185</v>
      </c>
      <c r="L39" s="175" t="s">
        <v>1186</v>
      </c>
      <c r="M39"/>
      <c r="N39" t="s">
        <v>21</v>
      </c>
      <c r="O39" s="63">
        <v>13</v>
      </c>
      <c r="Q39" s="63" t="s">
        <v>724</v>
      </c>
      <c r="R39" s="160" t="s">
        <v>1178</v>
      </c>
      <c r="S39" s="63" t="s">
        <v>339</v>
      </c>
      <c r="T39" s="63" t="s">
        <v>22</v>
      </c>
      <c r="U39" t="s">
        <v>348</v>
      </c>
      <c r="V39" s="111">
        <v>16</v>
      </c>
      <c r="W39" s="111">
        <v>80</v>
      </c>
      <c r="X39" s="111">
        <v>0</v>
      </c>
      <c r="Y39" s="111">
        <v>80</v>
      </c>
      <c r="Z39" s="111">
        <v>4</v>
      </c>
      <c r="AA39" s="111" t="s">
        <v>20</v>
      </c>
      <c r="AB39" s="111" t="s">
        <v>18</v>
      </c>
      <c r="AC39" s="111" t="s">
        <v>18</v>
      </c>
      <c r="AD39" s="110"/>
      <c r="AE39" s="110" t="s">
        <v>1179</v>
      </c>
      <c r="AF39" s="111" t="s">
        <v>18</v>
      </c>
      <c r="AG39" s="110"/>
      <c r="AH39" s="111" t="s">
        <v>990</v>
      </c>
      <c r="AI39" s="63">
        <v>20</v>
      </c>
      <c r="AJ39" s="111">
        <v>3</v>
      </c>
      <c r="AK39" s="63" t="s">
        <v>601</v>
      </c>
      <c r="AL39" s="63" t="s">
        <v>1212</v>
      </c>
      <c r="AM39" s="111">
        <v>80</v>
      </c>
      <c r="AN39" s="111">
        <v>20</v>
      </c>
      <c r="AO39" s="115">
        <v>6700</v>
      </c>
      <c r="AP39" s="115">
        <v>0</v>
      </c>
      <c r="AQ39" s="115">
        <v>0</v>
      </c>
      <c r="AR39" s="115">
        <v>8576000</v>
      </c>
      <c r="AS39" s="115">
        <v>1280000</v>
      </c>
      <c r="AT39" s="115">
        <v>0</v>
      </c>
      <c r="AU39" s="115">
        <v>0</v>
      </c>
      <c r="AV39" s="115">
        <v>0</v>
      </c>
      <c r="AW39" s="115">
        <v>9856000</v>
      </c>
      <c r="AX39" s="111" t="s">
        <v>20</v>
      </c>
      <c r="AY39" s="164"/>
      <c r="AZ39" s="111">
        <v>1</v>
      </c>
      <c r="BA39" s="111">
        <v>7</v>
      </c>
      <c r="BB39" s="111">
        <v>0</v>
      </c>
      <c r="BC39" s="111">
        <v>0</v>
      </c>
      <c r="BD39" s="111">
        <v>0</v>
      </c>
      <c r="BE39" s="111">
        <v>0</v>
      </c>
      <c r="BF39" s="111">
        <v>0</v>
      </c>
      <c r="BG39" s="111">
        <v>0</v>
      </c>
      <c r="BH39" s="111">
        <v>0</v>
      </c>
      <c r="BI39" s="111">
        <v>7</v>
      </c>
      <c r="BJ39" s="111">
        <v>7</v>
      </c>
      <c r="BK39" s="111">
        <v>7</v>
      </c>
      <c r="BL39" s="111">
        <v>7</v>
      </c>
      <c r="BM39" s="111">
        <v>7</v>
      </c>
      <c r="BN39" s="111">
        <v>6.7</v>
      </c>
      <c r="BO39" s="111">
        <v>6.4</v>
      </c>
      <c r="BP39" s="111" t="s">
        <v>18</v>
      </c>
      <c r="BQ39" s="63" t="s">
        <v>1428</v>
      </c>
      <c r="BR39" s="63" t="s">
        <v>1429</v>
      </c>
      <c r="BS39" s="163">
        <v>946133009</v>
      </c>
      <c r="BT39" s="63" t="s">
        <v>1430</v>
      </c>
    </row>
    <row r="40" spans="1:75" s="63" customFormat="1" ht="15" customHeight="1" x14ac:dyDescent="0.25">
      <c r="A40" s="63">
        <v>14279</v>
      </c>
      <c r="B40" s="110" t="s">
        <v>41</v>
      </c>
      <c r="C40" s="63" t="s">
        <v>1345</v>
      </c>
      <c r="D40" s="63">
        <v>2</v>
      </c>
      <c r="E40" s="63">
        <v>2025</v>
      </c>
      <c r="F40" s="111" t="s">
        <v>23</v>
      </c>
      <c r="G40" s="63" t="s">
        <v>1345</v>
      </c>
      <c r="H40" s="110" t="s">
        <v>41</v>
      </c>
      <c r="I40" s="63" t="s">
        <v>1350</v>
      </c>
      <c r="J40" s="63" t="s">
        <v>1351</v>
      </c>
      <c r="K40" s="63" t="s">
        <v>1190</v>
      </c>
      <c r="L40" s="92" t="s">
        <v>992</v>
      </c>
      <c r="M40" s="160" t="s">
        <v>407</v>
      </c>
      <c r="N40" s="160" t="s">
        <v>408</v>
      </c>
      <c r="O40" s="63">
        <v>10</v>
      </c>
      <c r="Q40" s="63" t="s">
        <v>1191</v>
      </c>
      <c r="R40" s="160" t="s">
        <v>1178</v>
      </c>
      <c r="S40" s="63" t="s">
        <v>339</v>
      </c>
      <c r="T40" s="63" t="s">
        <v>22</v>
      </c>
      <c r="U40" t="s">
        <v>1192</v>
      </c>
      <c r="V40" s="111">
        <v>20</v>
      </c>
      <c r="W40" s="111"/>
      <c r="X40" s="111"/>
      <c r="Y40" s="111">
        <v>224</v>
      </c>
      <c r="Z40" s="111">
        <v>8</v>
      </c>
      <c r="AA40" s="111" t="s">
        <v>20</v>
      </c>
      <c r="AB40" s="111" t="s">
        <v>18</v>
      </c>
      <c r="AC40" s="111" t="s">
        <v>18</v>
      </c>
      <c r="AD40" s="161" t="s">
        <v>1352</v>
      </c>
      <c r="AE40" s="161" t="s">
        <v>1355</v>
      </c>
      <c r="AF40" s="111" t="s">
        <v>18</v>
      </c>
      <c r="AG40" s="110"/>
      <c r="AH40" s="111" t="s">
        <v>990</v>
      </c>
      <c r="AI40" s="63">
        <v>28</v>
      </c>
      <c r="AJ40" s="111">
        <v>3</v>
      </c>
      <c r="AK40" s="63" t="s">
        <v>1311</v>
      </c>
      <c r="AL40" s="63" t="s">
        <v>1310</v>
      </c>
      <c r="AM40" s="111">
        <v>224</v>
      </c>
      <c r="AN40" s="111">
        <v>28</v>
      </c>
      <c r="AO40" s="115">
        <v>6373</v>
      </c>
      <c r="AP40" s="115">
        <v>0</v>
      </c>
      <c r="AQ40" s="115">
        <v>0</v>
      </c>
      <c r="AR40" s="115">
        <v>28551040</v>
      </c>
      <c r="AS40" s="115">
        <v>2240000</v>
      </c>
      <c r="AT40" s="115">
        <v>0</v>
      </c>
      <c r="AU40" s="115">
        <v>0</v>
      </c>
      <c r="AV40" s="115">
        <v>0</v>
      </c>
      <c r="AW40" s="115">
        <v>30791040</v>
      </c>
      <c r="AX40" s="111" t="s">
        <v>18</v>
      </c>
      <c r="AY40" s="210" t="s">
        <v>2389</v>
      </c>
      <c r="AZ40" s="111">
        <v>0</v>
      </c>
      <c r="BA40" s="111">
        <v>0</v>
      </c>
      <c r="BB40" s="111">
        <v>0</v>
      </c>
      <c r="BC40" s="111">
        <v>0</v>
      </c>
      <c r="BD40" s="111">
        <v>0</v>
      </c>
      <c r="BE40" s="111">
        <v>0</v>
      </c>
      <c r="BF40" s="111">
        <v>0</v>
      </c>
      <c r="BG40" s="111">
        <v>0</v>
      </c>
      <c r="BH40" s="111">
        <v>0</v>
      </c>
      <c r="BI40" s="111">
        <v>0</v>
      </c>
      <c r="BJ40" s="111">
        <v>0</v>
      </c>
      <c r="BK40" s="111">
        <v>0</v>
      </c>
      <c r="BL40" s="111">
        <v>0</v>
      </c>
      <c r="BM40" s="111">
        <v>0</v>
      </c>
      <c r="BN40" s="111">
        <v>0</v>
      </c>
      <c r="BO40" s="111">
        <v>0</v>
      </c>
      <c r="BP40" s="111" t="s">
        <v>18</v>
      </c>
      <c r="BQ40" s="63" t="s">
        <v>1442</v>
      </c>
      <c r="BR40" s="63" t="s">
        <v>1443</v>
      </c>
      <c r="BS40" s="163">
        <v>979296762</v>
      </c>
      <c r="BT40" s="63" t="s">
        <v>1444</v>
      </c>
    </row>
    <row r="41" spans="1:75" s="63" customFormat="1" ht="15" customHeight="1" x14ac:dyDescent="0.25">
      <c r="A41" s="63">
        <v>14281</v>
      </c>
      <c r="B41" s="110" t="s">
        <v>41</v>
      </c>
      <c r="C41" s="63" t="s">
        <v>1345</v>
      </c>
      <c r="D41" s="63">
        <v>2</v>
      </c>
      <c r="E41" s="63">
        <v>2025</v>
      </c>
      <c r="F41" s="111" t="s">
        <v>23</v>
      </c>
      <c r="G41" s="63" t="s">
        <v>1345</v>
      </c>
      <c r="H41" s="110" t="s">
        <v>41</v>
      </c>
      <c r="I41" s="63" t="s">
        <v>1350</v>
      </c>
      <c r="J41" s="63" t="s">
        <v>1351</v>
      </c>
      <c r="K41" s="63" t="s">
        <v>1190</v>
      </c>
      <c r="L41" s="92" t="s">
        <v>992</v>
      </c>
      <c r="M41" s="160" t="s">
        <v>407</v>
      </c>
      <c r="N41" s="160" t="s">
        <v>408</v>
      </c>
      <c r="O41" s="63">
        <v>10</v>
      </c>
      <c r="Q41" s="63" t="s">
        <v>736</v>
      </c>
      <c r="R41" s="160" t="s">
        <v>1178</v>
      </c>
      <c r="S41" s="63" t="s">
        <v>339</v>
      </c>
      <c r="T41" s="63" t="s">
        <v>22</v>
      </c>
      <c r="U41" t="s">
        <v>1196</v>
      </c>
      <c r="V41" s="111">
        <v>20</v>
      </c>
      <c r="W41" s="111"/>
      <c r="X41" s="111"/>
      <c r="Y41" s="111">
        <v>224</v>
      </c>
      <c r="Z41" s="111">
        <v>8</v>
      </c>
      <c r="AA41" s="111" t="s">
        <v>20</v>
      </c>
      <c r="AB41" s="111" t="s">
        <v>18</v>
      </c>
      <c r="AC41" s="111" t="s">
        <v>18</v>
      </c>
      <c r="AD41" s="161" t="s">
        <v>1352</v>
      </c>
      <c r="AE41" s="161" t="s">
        <v>1197</v>
      </c>
      <c r="AF41" s="111" t="s">
        <v>18</v>
      </c>
      <c r="AG41" s="110"/>
      <c r="AH41" s="111" t="s">
        <v>990</v>
      </c>
      <c r="AI41" s="63">
        <v>28</v>
      </c>
      <c r="AJ41" s="111">
        <v>3</v>
      </c>
      <c r="AK41" s="63" t="s">
        <v>1311</v>
      </c>
      <c r="AL41" s="63" t="s">
        <v>1310</v>
      </c>
      <c r="AM41" s="111">
        <v>224</v>
      </c>
      <c r="AN41" s="111">
        <v>28</v>
      </c>
      <c r="AO41" s="115">
        <v>6373</v>
      </c>
      <c r="AP41" s="115">
        <v>0</v>
      </c>
      <c r="AQ41" s="115">
        <v>0</v>
      </c>
      <c r="AR41" s="115">
        <v>28551040</v>
      </c>
      <c r="AS41" s="115">
        <v>2240000</v>
      </c>
      <c r="AT41" s="115">
        <v>0</v>
      </c>
      <c r="AU41" s="115">
        <v>0</v>
      </c>
      <c r="AV41" s="115">
        <v>0</v>
      </c>
      <c r="AW41" s="115">
        <v>30791040</v>
      </c>
      <c r="AX41" s="111" t="s">
        <v>18</v>
      </c>
      <c r="AY41" s="210" t="s">
        <v>2389</v>
      </c>
      <c r="AZ41" s="111">
        <v>0</v>
      </c>
      <c r="BA41" s="111">
        <v>0</v>
      </c>
      <c r="BB41" s="111">
        <v>0</v>
      </c>
      <c r="BC41" s="111">
        <v>0</v>
      </c>
      <c r="BD41" s="111">
        <v>0</v>
      </c>
      <c r="BE41" s="111">
        <v>0</v>
      </c>
      <c r="BF41" s="111">
        <v>0</v>
      </c>
      <c r="BG41" s="111">
        <v>0</v>
      </c>
      <c r="BH41" s="111">
        <v>0</v>
      </c>
      <c r="BI41" s="111">
        <v>0</v>
      </c>
      <c r="BJ41" s="111">
        <v>0</v>
      </c>
      <c r="BK41" s="111">
        <v>0</v>
      </c>
      <c r="BL41" s="111">
        <v>0</v>
      </c>
      <c r="BM41" s="111">
        <v>0</v>
      </c>
      <c r="BN41" s="111">
        <v>0</v>
      </c>
      <c r="BO41" s="111">
        <v>0</v>
      </c>
      <c r="BP41" s="111" t="s">
        <v>18</v>
      </c>
      <c r="BQ41" s="63" t="s">
        <v>1442</v>
      </c>
      <c r="BR41" s="63" t="s">
        <v>1443</v>
      </c>
      <c r="BS41" s="163">
        <v>979296762</v>
      </c>
      <c r="BT41" s="63" t="s">
        <v>1445</v>
      </c>
    </row>
    <row r="42" spans="1:75" s="63" customFormat="1" ht="15" customHeight="1" x14ac:dyDescent="0.25">
      <c r="A42" s="63">
        <v>14280</v>
      </c>
      <c r="B42" s="110" t="s">
        <v>41</v>
      </c>
      <c r="C42" s="63" t="s">
        <v>1345</v>
      </c>
      <c r="D42" s="63">
        <v>2</v>
      </c>
      <c r="E42" s="63">
        <v>2025</v>
      </c>
      <c r="F42" s="111" t="s">
        <v>23</v>
      </c>
      <c r="G42" s="63" t="s">
        <v>1345</v>
      </c>
      <c r="H42" s="110" t="s">
        <v>41</v>
      </c>
      <c r="I42" s="63" t="s">
        <v>1350</v>
      </c>
      <c r="J42" s="63" t="s">
        <v>1351</v>
      </c>
      <c r="K42" s="63" t="s">
        <v>1190</v>
      </c>
      <c r="L42" s="175" t="s">
        <v>992</v>
      </c>
      <c r="M42" t="s">
        <v>407</v>
      </c>
      <c r="N42" t="s">
        <v>408</v>
      </c>
      <c r="Q42" s="63" t="s">
        <v>1194</v>
      </c>
      <c r="R42" s="160" t="s">
        <v>1178</v>
      </c>
      <c r="S42" s="63" t="s">
        <v>339</v>
      </c>
      <c r="T42" s="63" t="s">
        <v>22</v>
      </c>
      <c r="U42" t="s">
        <v>1195</v>
      </c>
      <c r="V42" s="111">
        <v>20</v>
      </c>
      <c r="W42" s="111"/>
      <c r="X42" s="111"/>
      <c r="Y42" s="111">
        <v>224</v>
      </c>
      <c r="Z42" s="111">
        <v>8</v>
      </c>
      <c r="AA42" s="111" t="s">
        <v>20</v>
      </c>
      <c r="AB42" s="111" t="s">
        <v>18</v>
      </c>
      <c r="AC42" s="111" t="s">
        <v>18</v>
      </c>
      <c r="AD42" s="110" t="s">
        <v>1352</v>
      </c>
      <c r="AE42" s="110" t="s">
        <v>1353</v>
      </c>
      <c r="AF42" s="111" t="s">
        <v>18</v>
      </c>
      <c r="AG42" s="110"/>
      <c r="AH42" s="111" t="s">
        <v>990</v>
      </c>
      <c r="AI42" s="63">
        <v>28</v>
      </c>
      <c r="AJ42" s="111">
        <v>3</v>
      </c>
      <c r="AK42" s="63" t="s">
        <v>1311</v>
      </c>
      <c r="AL42" s="63" t="s">
        <v>1310</v>
      </c>
      <c r="AM42" s="111">
        <v>224</v>
      </c>
      <c r="AN42" s="111">
        <v>28</v>
      </c>
      <c r="AO42" s="115">
        <v>6373</v>
      </c>
      <c r="AP42" s="115">
        <v>0</v>
      </c>
      <c r="AQ42" s="115">
        <v>0</v>
      </c>
      <c r="AR42" s="115">
        <v>28551040</v>
      </c>
      <c r="AS42" s="115">
        <v>2240000</v>
      </c>
      <c r="AT42" s="115">
        <v>0</v>
      </c>
      <c r="AU42" s="115">
        <v>0</v>
      </c>
      <c r="AV42" s="115">
        <v>0</v>
      </c>
      <c r="AW42" s="115">
        <v>30791040</v>
      </c>
      <c r="AX42" s="111" t="s">
        <v>18</v>
      </c>
      <c r="AY42" s="210" t="s">
        <v>2389</v>
      </c>
      <c r="AZ42" s="111">
        <v>0</v>
      </c>
      <c r="BA42" s="111">
        <v>0</v>
      </c>
      <c r="BB42" s="111">
        <v>0</v>
      </c>
      <c r="BC42" s="111">
        <v>0</v>
      </c>
      <c r="BD42" s="111">
        <v>0</v>
      </c>
      <c r="BE42" s="111">
        <v>0</v>
      </c>
      <c r="BF42" s="111">
        <v>0</v>
      </c>
      <c r="BG42" s="111">
        <v>0</v>
      </c>
      <c r="BH42" s="111">
        <v>0</v>
      </c>
      <c r="BI42" s="111">
        <v>0</v>
      </c>
      <c r="BJ42" s="111">
        <v>0</v>
      </c>
      <c r="BK42" s="111">
        <v>0</v>
      </c>
      <c r="BL42" s="111">
        <v>0</v>
      </c>
      <c r="BM42" s="111">
        <v>0</v>
      </c>
      <c r="BN42" s="111">
        <v>0</v>
      </c>
      <c r="BO42" s="111">
        <v>0</v>
      </c>
      <c r="BP42" s="111" t="s">
        <v>18</v>
      </c>
      <c r="BQ42" s="63" t="s">
        <v>1442</v>
      </c>
      <c r="BR42" s="63" t="s">
        <v>1443</v>
      </c>
      <c r="BS42" s="163">
        <v>979296762</v>
      </c>
      <c r="BT42" s="63" t="s">
        <v>1446</v>
      </c>
    </row>
    <row r="43" spans="1:75" s="63" customFormat="1" ht="15" customHeight="1" x14ac:dyDescent="0.25">
      <c r="A43" s="63">
        <v>14385</v>
      </c>
      <c r="B43" s="110" t="s">
        <v>41</v>
      </c>
      <c r="C43" s="63" t="s">
        <v>1345</v>
      </c>
      <c r="D43" s="63">
        <v>2</v>
      </c>
      <c r="E43" s="63">
        <v>2025</v>
      </c>
      <c r="F43" s="111" t="s">
        <v>23</v>
      </c>
      <c r="G43" s="63" t="s">
        <v>1345</v>
      </c>
      <c r="H43" s="110" t="s">
        <v>41</v>
      </c>
      <c r="I43" s="63" t="s">
        <v>1346</v>
      </c>
      <c r="J43" s="63" t="s">
        <v>1347</v>
      </c>
      <c r="K43" s="63" t="s">
        <v>1176</v>
      </c>
      <c r="L43" s="110" t="s">
        <v>1177</v>
      </c>
      <c r="M43" s="110" t="s">
        <v>21</v>
      </c>
      <c r="N43" s="160" t="s">
        <v>21</v>
      </c>
      <c r="O43" s="63">
        <v>13</v>
      </c>
      <c r="Q43" s="63" t="s">
        <v>724</v>
      </c>
      <c r="R43" s="160" t="s">
        <v>1178</v>
      </c>
      <c r="S43" s="63" t="s">
        <v>339</v>
      </c>
      <c r="T43" s="63" t="s">
        <v>22</v>
      </c>
      <c r="U43" t="s">
        <v>348</v>
      </c>
      <c r="V43" s="111">
        <v>16</v>
      </c>
      <c r="W43" s="111">
        <v>110</v>
      </c>
      <c r="X43" s="111">
        <v>0</v>
      </c>
      <c r="Y43" s="111">
        <v>110</v>
      </c>
      <c r="Z43" s="111">
        <v>4</v>
      </c>
      <c r="AA43" s="111" t="s">
        <v>20</v>
      </c>
      <c r="AB43" s="111" t="s">
        <v>18</v>
      </c>
      <c r="AC43" s="111" t="s">
        <v>18</v>
      </c>
      <c r="AD43" s="110"/>
      <c r="AE43" s="110" t="s">
        <v>1179</v>
      </c>
      <c r="AF43" s="111" t="s">
        <v>18</v>
      </c>
      <c r="AG43" s="110"/>
      <c r="AH43" s="111" t="s">
        <v>990</v>
      </c>
      <c r="AI43" s="63">
        <v>28</v>
      </c>
      <c r="AJ43" s="111">
        <v>2</v>
      </c>
      <c r="AK43" s="63" t="s">
        <v>1253</v>
      </c>
      <c r="AL43" s="63" t="s">
        <v>1252</v>
      </c>
      <c r="AM43" s="111">
        <v>110</v>
      </c>
      <c r="AN43" s="111">
        <v>28</v>
      </c>
      <c r="AO43" s="115">
        <v>5075</v>
      </c>
      <c r="AP43" s="115">
        <v>0</v>
      </c>
      <c r="AQ43" s="115">
        <v>0</v>
      </c>
      <c r="AR43" s="115">
        <v>8932000</v>
      </c>
      <c r="AS43" s="115">
        <v>1792000</v>
      </c>
      <c r="AT43" s="115">
        <v>0</v>
      </c>
      <c r="AU43" s="115">
        <v>0</v>
      </c>
      <c r="AV43" s="115">
        <v>0</v>
      </c>
      <c r="AW43" s="115">
        <v>10724000</v>
      </c>
      <c r="AX43" s="111" t="s">
        <v>18</v>
      </c>
      <c r="AY43" s="63" t="s">
        <v>1451</v>
      </c>
      <c r="AZ43" s="111">
        <v>0</v>
      </c>
      <c r="BA43" s="111">
        <v>0</v>
      </c>
      <c r="BB43" s="111">
        <v>0</v>
      </c>
      <c r="BC43" s="111">
        <v>0</v>
      </c>
      <c r="BD43" s="111">
        <v>0</v>
      </c>
      <c r="BE43" s="111">
        <v>0</v>
      </c>
      <c r="BF43" s="111">
        <v>0</v>
      </c>
      <c r="BG43" s="111">
        <v>0</v>
      </c>
      <c r="BH43" s="111">
        <v>0</v>
      </c>
      <c r="BI43" s="111">
        <v>0</v>
      </c>
      <c r="BJ43" s="111">
        <v>0</v>
      </c>
      <c r="BK43" s="111">
        <v>0</v>
      </c>
      <c r="BL43" s="111">
        <v>0</v>
      </c>
      <c r="BM43" s="111">
        <v>0</v>
      </c>
      <c r="BN43" s="111">
        <v>0</v>
      </c>
      <c r="BO43" s="111">
        <v>0</v>
      </c>
      <c r="BP43" s="111" t="s">
        <v>18</v>
      </c>
      <c r="BQ43" s="63" t="s">
        <v>1452</v>
      </c>
      <c r="BR43" s="63" t="s">
        <v>1453</v>
      </c>
      <c r="BS43" s="163">
        <v>93454013</v>
      </c>
      <c r="BT43" s="63" t="s">
        <v>1430</v>
      </c>
    </row>
    <row r="44" spans="1:75" s="63" customFormat="1" ht="15" customHeight="1" x14ac:dyDescent="0.25">
      <c r="A44" s="63">
        <v>14336</v>
      </c>
      <c r="B44" s="110" t="s">
        <v>41</v>
      </c>
      <c r="C44" s="63" t="s">
        <v>1345</v>
      </c>
      <c r="D44" s="63">
        <v>2</v>
      </c>
      <c r="E44" s="63">
        <v>2025</v>
      </c>
      <c r="F44" s="111" t="s">
        <v>23</v>
      </c>
      <c r="G44" s="63" t="s">
        <v>1345</v>
      </c>
      <c r="H44" s="110" t="s">
        <v>41</v>
      </c>
      <c r="I44" s="63" t="s">
        <v>98</v>
      </c>
      <c r="J44" s="63" t="s">
        <v>1349</v>
      </c>
      <c r="K44" s="63" t="s">
        <v>1187</v>
      </c>
      <c r="L44" s="92" t="s">
        <v>992</v>
      </c>
      <c r="M44"/>
      <c r="N44" s="160" t="s">
        <v>21</v>
      </c>
      <c r="O44" s="63">
        <v>13</v>
      </c>
      <c r="Q44" s="63" t="s">
        <v>416</v>
      </c>
      <c r="R44" s="160" t="s">
        <v>1178</v>
      </c>
      <c r="S44" s="63" t="s">
        <v>339</v>
      </c>
      <c r="T44" s="63" t="s">
        <v>22</v>
      </c>
      <c r="U44" t="s">
        <v>347</v>
      </c>
      <c r="V44" s="111">
        <v>15</v>
      </c>
      <c r="W44" s="111"/>
      <c r="X44" s="111"/>
      <c r="Y44" s="111">
        <v>160</v>
      </c>
      <c r="Z44" s="111">
        <v>5</v>
      </c>
      <c r="AA44" s="111" t="s">
        <v>20</v>
      </c>
      <c r="AB44" s="111" t="s">
        <v>18</v>
      </c>
      <c r="AC44" s="111" t="s">
        <v>18</v>
      </c>
      <c r="AD44" s="161" t="s">
        <v>1188</v>
      </c>
      <c r="AE44" s="161" t="s">
        <v>1189</v>
      </c>
      <c r="AF44" s="111" t="s">
        <v>18</v>
      </c>
      <c r="AG44" s="110"/>
      <c r="AH44" s="111" t="s">
        <v>990</v>
      </c>
      <c r="AI44" s="63">
        <v>32</v>
      </c>
      <c r="AJ44" s="111">
        <v>3</v>
      </c>
      <c r="AK44" s="63" t="s">
        <v>200</v>
      </c>
      <c r="AL44" s="63" t="s">
        <v>1283</v>
      </c>
      <c r="AM44" s="111">
        <v>160</v>
      </c>
      <c r="AN44" s="111">
        <v>32</v>
      </c>
      <c r="AO44" s="115">
        <v>6373</v>
      </c>
      <c r="AP44" s="115">
        <v>0</v>
      </c>
      <c r="AQ44" s="115">
        <v>0</v>
      </c>
      <c r="AR44" s="115">
        <v>15295200</v>
      </c>
      <c r="AS44" s="115">
        <v>1920000</v>
      </c>
      <c r="AT44" s="115">
        <v>0</v>
      </c>
      <c r="AU44" s="115">
        <v>0</v>
      </c>
      <c r="AV44" s="115">
        <v>0</v>
      </c>
      <c r="AW44" s="115">
        <v>17215200</v>
      </c>
      <c r="AX44" s="111" t="s">
        <v>20</v>
      </c>
      <c r="AZ44" s="111">
        <v>1</v>
      </c>
      <c r="BA44" s="111">
        <v>7</v>
      </c>
      <c r="BB44" s="111">
        <v>7</v>
      </c>
      <c r="BC44" s="111">
        <v>7</v>
      </c>
      <c r="BD44" s="111">
        <v>7</v>
      </c>
      <c r="BE44" s="111">
        <v>7</v>
      </c>
      <c r="BF44" s="111">
        <v>7</v>
      </c>
      <c r="BG44" s="111">
        <v>7</v>
      </c>
      <c r="BH44" s="111">
        <v>7</v>
      </c>
      <c r="BI44" s="111">
        <v>7</v>
      </c>
      <c r="BJ44" s="111">
        <v>7</v>
      </c>
      <c r="BK44" s="111">
        <v>7</v>
      </c>
      <c r="BL44" s="111">
        <v>7</v>
      </c>
      <c r="BM44" s="111">
        <v>7</v>
      </c>
      <c r="BN44" s="111">
        <v>7</v>
      </c>
      <c r="BO44" s="111">
        <v>6.4</v>
      </c>
      <c r="BP44" s="111" t="s">
        <v>18</v>
      </c>
      <c r="BQ44" s="63" t="s">
        <v>1439</v>
      </c>
      <c r="BR44" s="63" t="s">
        <v>1440</v>
      </c>
      <c r="BS44" s="163">
        <v>985200533</v>
      </c>
      <c r="BT44" s="63" t="s">
        <v>1441</v>
      </c>
    </row>
    <row r="45" spans="1:75" s="63" customFormat="1" ht="15" customHeight="1" x14ac:dyDescent="0.25">
      <c r="A45" s="63">
        <v>14388</v>
      </c>
      <c r="B45" s="110" t="s">
        <v>41</v>
      </c>
      <c r="C45" s="63" t="s">
        <v>1345</v>
      </c>
      <c r="D45" s="63">
        <v>2</v>
      </c>
      <c r="E45" s="63">
        <v>2025</v>
      </c>
      <c r="F45" s="111" t="s">
        <v>23</v>
      </c>
      <c r="G45" s="63" t="s">
        <v>1345</v>
      </c>
      <c r="H45" s="110" t="s">
        <v>41</v>
      </c>
      <c r="I45" s="63" t="s">
        <v>1346</v>
      </c>
      <c r="J45" s="63" t="s">
        <v>1347</v>
      </c>
      <c r="K45" s="63" t="s">
        <v>1185</v>
      </c>
      <c r="L45" s="175" t="s">
        <v>1186</v>
      </c>
      <c r="M45"/>
      <c r="N45" t="s">
        <v>21</v>
      </c>
      <c r="O45" s="63">
        <v>13</v>
      </c>
      <c r="Q45" s="63" t="s">
        <v>724</v>
      </c>
      <c r="R45" s="160" t="s">
        <v>1178</v>
      </c>
      <c r="S45" s="63" t="s">
        <v>339</v>
      </c>
      <c r="T45" s="63" t="s">
        <v>22</v>
      </c>
      <c r="U45" t="s">
        <v>348</v>
      </c>
      <c r="V45" s="111">
        <v>16</v>
      </c>
      <c r="W45" s="111">
        <v>80</v>
      </c>
      <c r="X45" s="111">
        <v>0</v>
      </c>
      <c r="Y45" s="111">
        <v>80</v>
      </c>
      <c r="Z45" s="111">
        <v>4</v>
      </c>
      <c r="AA45" s="111" t="s">
        <v>20</v>
      </c>
      <c r="AB45" s="111" t="s">
        <v>18</v>
      </c>
      <c r="AC45" s="111" t="s">
        <v>18</v>
      </c>
      <c r="AD45" s="110"/>
      <c r="AE45" s="110" t="s">
        <v>1179</v>
      </c>
      <c r="AF45" s="111" t="s">
        <v>18</v>
      </c>
      <c r="AG45" s="110"/>
      <c r="AH45" s="111" t="s">
        <v>990</v>
      </c>
      <c r="AI45" s="63">
        <v>20</v>
      </c>
      <c r="AJ45" s="111">
        <v>3</v>
      </c>
      <c r="AK45" s="63" t="s">
        <v>1253</v>
      </c>
      <c r="AL45" s="63" t="s">
        <v>1252</v>
      </c>
      <c r="AM45" s="111">
        <v>80</v>
      </c>
      <c r="AN45" s="111">
        <v>20</v>
      </c>
      <c r="AO45" s="115">
        <v>6373</v>
      </c>
      <c r="AP45" s="115">
        <v>0</v>
      </c>
      <c r="AQ45" s="115">
        <v>0</v>
      </c>
      <c r="AR45" s="115">
        <v>8157440</v>
      </c>
      <c r="AS45" s="115">
        <v>1280000</v>
      </c>
      <c r="AT45" s="115">
        <v>0</v>
      </c>
      <c r="AU45" s="115">
        <v>0</v>
      </c>
      <c r="AV45" s="115">
        <v>0</v>
      </c>
      <c r="AW45" s="115">
        <v>9437440</v>
      </c>
      <c r="AX45" s="111" t="s">
        <v>18</v>
      </c>
      <c r="AY45" s="63" t="s">
        <v>1451</v>
      </c>
      <c r="AZ45" s="111">
        <v>0</v>
      </c>
      <c r="BA45" s="111">
        <v>0</v>
      </c>
      <c r="BB45" s="111">
        <v>0</v>
      </c>
      <c r="BC45" s="111">
        <v>0</v>
      </c>
      <c r="BD45" s="111">
        <v>0</v>
      </c>
      <c r="BE45" s="111">
        <v>0</v>
      </c>
      <c r="BF45" s="111">
        <v>0</v>
      </c>
      <c r="BG45" s="111">
        <v>0</v>
      </c>
      <c r="BH45" s="111">
        <v>0</v>
      </c>
      <c r="BI45" s="111">
        <v>0</v>
      </c>
      <c r="BJ45" s="111">
        <v>0</v>
      </c>
      <c r="BK45" s="111">
        <v>0</v>
      </c>
      <c r="BL45" s="111">
        <v>0</v>
      </c>
      <c r="BM45" s="111">
        <v>0</v>
      </c>
      <c r="BN45" s="111">
        <v>0</v>
      </c>
      <c r="BO45" s="118">
        <v>0</v>
      </c>
      <c r="BP45" s="111" t="s">
        <v>18</v>
      </c>
      <c r="BQ45" s="63" t="s">
        <v>1452</v>
      </c>
      <c r="BR45" s="63" t="s">
        <v>1453</v>
      </c>
      <c r="BS45" s="163">
        <v>93454013</v>
      </c>
      <c r="BT45" s="63" t="s">
        <v>1454</v>
      </c>
    </row>
    <row r="46" spans="1:75" s="63" customFormat="1" ht="15" customHeight="1" x14ac:dyDescent="0.25">
      <c r="A46" s="63">
        <v>14389</v>
      </c>
      <c r="B46" s="110" t="s">
        <v>41</v>
      </c>
      <c r="C46" s="63" t="s">
        <v>1345</v>
      </c>
      <c r="D46" s="63">
        <v>2</v>
      </c>
      <c r="E46" s="63">
        <v>2025</v>
      </c>
      <c r="F46" s="111" t="s">
        <v>23</v>
      </c>
      <c r="G46" s="63" t="s">
        <v>1345</v>
      </c>
      <c r="H46" s="110" t="s">
        <v>41</v>
      </c>
      <c r="I46" s="63" t="s">
        <v>1346</v>
      </c>
      <c r="J46" s="63" t="s">
        <v>1347</v>
      </c>
      <c r="K46" s="63" t="s">
        <v>745</v>
      </c>
      <c r="L46" s="92" t="s">
        <v>744</v>
      </c>
      <c r="M46" s="160" t="s">
        <v>345</v>
      </c>
      <c r="N46" s="160" t="s">
        <v>346</v>
      </c>
      <c r="O46" s="63">
        <v>13</v>
      </c>
      <c r="Q46" s="63" t="s">
        <v>724</v>
      </c>
      <c r="R46" s="160" t="s">
        <v>1178</v>
      </c>
      <c r="S46" s="63" t="s">
        <v>339</v>
      </c>
      <c r="T46" s="63" t="s">
        <v>19</v>
      </c>
      <c r="U46" t="s">
        <v>348</v>
      </c>
      <c r="V46" s="111">
        <v>14</v>
      </c>
      <c r="W46" s="111">
        <v>260</v>
      </c>
      <c r="X46" s="111">
        <v>12</v>
      </c>
      <c r="Y46" s="111">
        <v>272</v>
      </c>
      <c r="Z46" s="111">
        <v>4</v>
      </c>
      <c r="AA46" s="111" t="s">
        <v>20</v>
      </c>
      <c r="AB46" s="111" t="s">
        <v>18</v>
      </c>
      <c r="AC46" s="111" t="s">
        <v>20</v>
      </c>
      <c r="AD46" s="161"/>
      <c r="AE46" s="161" t="s">
        <v>1198</v>
      </c>
      <c r="AF46" s="111" t="s">
        <v>20</v>
      </c>
      <c r="AG46" s="110" t="s">
        <v>995</v>
      </c>
      <c r="AH46" s="111" t="s">
        <v>990</v>
      </c>
      <c r="AI46" s="63">
        <v>68</v>
      </c>
      <c r="AJ46" s="111">
        <v>2</v>
      </c>
      <c r="AK46" s="63" t="s">
        <v>260</v>
      </c>
      <c r="AL46" s="63" t="s">
        <v>1226</v>
      </c>
      <c r="AM46" s="111">
        <v>272</v>
      </c>
      <c r="AN46" s="111">
        <v>47</v>
      </c>
      <c r="AO46" s="115">
        <v>5075</v>
      </c>
      <c r="AP46" s="115">
        <v>250000</v>
      </c>
      <c r="AQ46" s="115">
        <v>400000</v>
      </c>
      <c r="AR46" s="115">
        <v>19325600</v>
      </c>
      <c r="AS46" s="115">
        <v>2632000</v>
      </c>
      <c r="AT46" s="115">
        <v>3850000</v>
      </c>
      <c r="AU46" s="115">
        <v>0</v>
      </c>
      <c r="AV46" s="115">
        <v>5600000</v>
      </c>
      <c r="AW46" s="115">
        <v>31407600</v>
      </c>
      <c r="AX46" s="111" t="s">
        <v>18</v>
      </c>
      <c r="AY46" s="164" t="s">
        <v>1419</v>
      </c>
      <c r="AZ46" s="111">
        <v>0</v>
      </c>
      <c r="BA46" s="111">
        <v>0</v>
      </c>
      <c r="BB46" s="111">
        <v>0</v>
      </c>
      <c r="BC46" s="111">
        <v>0</v>
      </c>
      <c r="BD46" s="111">
        <v>0</v>
      </c>
      <c r="BE46" s="111">
        <v>0</v>
      </c>
      <c r="BF46" s="111">
        <v>0</v>
      </c>
      <c r="BG46" s="111">
        <v>0</v>
      </c>
      <c r="BH46" s="111">
        <v>0</v>
      </c>
      <c r="BI46" s="111">
        <v>0</v>
      </c>
      <c r="BJ46" s="111">
        <v>0</v>
      </c>
      <c r="BK46" s="111">
        <v>0</v>
      </c>
      <c r="BL46" s="111">
        <v>0</v>
      </c>
      <c r="BM46" s="111">
        <v>0</v>
      </c>
      <c r="BN46" s="111">
        <v>0</v>
      </c>
      <c r="BO46" s="111">
        <v>0</v>
      </c>
      <c r="BP46" s="111" t="s">
        <v>18</v>
      </c>
      <c r="BQ46" s="63" t="s">
        <v>1415</v>
      </c>
      <c r="BR46" s="63" t="s">
        <v>1416</v>
      </c>
      <c r="BS46" s="163">
        <v>228507710</v>
      </c>
      <c r="BT46" s="63" t="s">
        <v>1417</v>
      </c>
    </row>
    <row r="47" spans="1:75" s="63" customFormat="1" ht="15" customHeight="1" x14ac:dyDescent="0.25">
      <c r="A47" s="159">
        <v>14386</v>
      </c>
      <c r="B47" s="110" t="s">
        <v>41</v>
      </c>
      <c r="C47" s="63" t="s">
        <v>1345</v>
      </c>
      <c r="D47" s="63">
        <v>2</v>
      </c>
      <c r="E47" s="63">
        <v>2025</v>
      </c>
      <c r="F47" s="111" t="s">
        <v>23</v>
      </c>
      <c r="G47" s="63" t="s">
        <v>1345</v>
      </c>
      <c r="H47" s="110" t="s">
        <v>41</v>
      </c>
      <c r="I47" s="63" t="s">
        <v>1346</v>
      </c>
      <c r="J47" s="63" t="s">
        <v>1347</v>
      </c>
      <c r="K47" s="63" t="s">
        <v>1183</v>
      </c>
      <c r="L47" s="110" t="s">
        <v>1184</v>
      </c>
      <c r="M47" s="160" t="s">
        <v>21</v>
      </c>
      <c r="N47" s="160" t="s">
        <v>21</v>
      </c>
      <c r="O47" s="63">
        <v>13</v>
      </c>
      <c r="Q47" s="63" t="s">
        <v>724</v>
      </c>
      <c r="R47" s="160" t="s">
        <v>1178</v>
      </c>
      <c r="S47" s="63" t="s">
        <v>339</v>
      </c>
      <c r="T47" s="63" t="s">
        <v>22</v>
      </c>
      <c r="U47" t="s">
        <v>348</v>
      </c>
      <c r="V47" s="111">
        <v>14</v>
      </c>
      <c r="W47" s="111">
        <v>120</v>
      </c>
      <c r="X47" s="111">
        <v>0</v>
      </c>
      <c r="Y47" s="111">
        <v>120</v>
      </c>
      <c r="Z47" s="111">
        <v>4</v>
      </c>
      <c r="AA47" s="111" t="s">
        <v>20</v>
      </c>
      <c r="AB47" s="111" t="s">
        <v>18</v>
      </c>
      <c r="AC47" s="111" t="s">
        <v>18</v>
      </c>
      <c r="AD47" s="110"/>
      <c r="AE47" s="110" t="s">
        <v>1179</v>
      </c>
      <c r="AF47" s="111" t="s">
        <v>18</v>
      </c>
      <c r="AG47" s="110"/>
      <c r="AH47" s="111" t="s">
        <v>990</v>
      </c>
      <c r="AI47" s="113">
        <v>30</v>
      </c>
      <c r="AJ47" s="111">
        <v>3</v>
      </c>
      <c r="AK47" s="63" t="s">
        <v>228</v>
      </c>
      <c r="AL47" s="113" t="s">
        <v>1328</v>
      </c>
      <c r="AM47" s="111">
        <v>120</v>
      </c>
      <c r="AN47" s="111">
        <v>30</v>
      </c>
      <c r="AO47" s="115">
        <v>6373</v>
      </c>
      <c r="AP47" s="115">
        <v>0</v>
      </c>
      <c r="AQ47" s="115">
        <v>0</v>
      </c>
      <c r="AR47" s="115">
        <v>10706640</v>
      </c>
      <c r="AS47" s="115">
        <v>1680000</v>
      </c>
      <c r="AT47" s="115">
        <v>0</v>
      </c>
      <c r="AU47" s="115">
        <v>2100000</v>
      </c>
      <c r="AV47" s="115">
        <v>0</v>
      </c>
      <c r="AW47" s="115">
        <v>14486640</v>
      </c>
      <c r="AX47" s="111" t="s">
        <v>18</v>
      </c>
      <c r="AY47" s="210" t="s">
        <v>1365</v>
      </c>
      <c r="AZ47" s="111">
        <v>0</v>
      </c>
      <c r="BA47" s="111">
        <v>0</v>
      </c>
      <c r="BB47" s="111">
        <v>0</v>
      </c>
      <c r="BC47" s="111">
        <v>0</v>
      </c>
      <c r="BD47" s="111">
        <v>0</v>
      </c>
      <c r="BE47" s="111">
        <v>0</v>
      </c>
      <c r="BF47" s="111">
        <v>0</v>
      </c>
      <c r="BG47" s="111">
        <v>0</v>
      </c>
      <c r="BH47" s="111">
        <v>0</v>
      </c>
      <c r="BI47" s="111">
        <v>0</v>
      </c>
      <c r="BJ47" s="111">
        <v>0</v>
      </c>
      <c r="BK47" s="111">
        <v>0</v>
      </c>
      <c r="BL47" s="111">
        <v>0</v>
      </c>
      <c r="BM47" s="111">
        <v>0</v>
      </c>
      <c r="BN47" s="111">
        <v>0</v>
      </c>
      <c r="BO47" s="111">
        <v>0</v>
      </c>
      <c r="BP47" s="111" t="s">
        <v>18</v>
      </c>
      <c r="BQ47" s="63" t="s">
        <v>1362</v>
      </c>
      <c r="BR47" s="63" t="s">
        <v>1363</v>
      </c>
      <c r="BS47" s="163">
        <v>722604254</v>
      </c>
      <c r="BT47" s="63" t="s">
        <v>1364</v>
      </c>
      <c r="BU47" s="113"/>
      <c r="BW47" s="113"/>
    </row>
    <row r="48" spans="1:75" s="63" customFormat="1" ht="15" customHeight="1" x14ac:dyDescent="0.25">
      <c r="A48" s="63">
        <v>14388</v>
      </c>
      <c r="B48" s="110" t="s">
        <v>41</v>
      </c>
      <c r="C48" s="63" t="s">
        <v>1345</v>
      </c>
      <c r="D48" s="63">
        <v>2</v>
      </c>
      <c r="E48" s="63">
        <v>2025</v>
      </c>
      <c r="F48" s="111" t="s">
        <v>23</v>
      </c>
      <c r="G48" s="63" t="s">
        <v>1345</v>
      </c>
      <c r="H48" s="110" t="s">
        <v>41</v>
      </c>
      <c r="I48" s="63" t="s">
        <v>1346</v>
      </c>
      <c r="J48" s="63" t="s">
        <v>1347</v>
      </c>
      <c r="K48" s="63" t="s">
        <v>1185</v>
      </c>
      <c r="L48" s="110" t="s">
        <v>1186</v>
      </c>
      <c r="M48" s="110"/>
      <c r="N48" s="160" t="s">
        <v>21</v>
      </c>
      <c r="O48" s="63">
        <v>13</v>
      </c>
      <c r="Q48" s="63" t="s">
        <v>724</v>
      </c>
      <c r="R48" s="160" t="s">
        <v>1178</v>
      </c>
      <c r="S48" s="63" t="s">
        <v>339</v>
      </c>
      <c r="T48" s="63" t="s">
        <v>22</v>
      </c>
      <c r="U48" t="s">
        <v>348</v>
      </c>
      <c r="V48" s="111">
        <v>16</v>
      </c>
      <c r="W48" s="111">
        <v>80</v>
      </c>
      <c r="X48" s="111">
        <v>0</v>
      </c>
      <c r="Y48" s="111">
        <v>80</v>
      </c>
      <c r="Z48" s="111">
        <v>4</v>
      </c>
      <c r="AA48" s="111" t="s">
        <v>20</v>
      </c>
      <c r="AB48" s="111" t="s">
        <v>18</v>
      </c>
      <c r="AC48" s="111" t="s">
        <v>18</v>
      </c>
      <c r="AD48" s="110"/>
      <c r="AE48" s="110" t="s">
        <v>1179</v>
      </c>
      <c r="AF48" s="111" t="s">
        <v>18</v>
      </c>
      <c r="AG48" s="110"/>
      <c r="AH48" s="111" t="s">
        <v>990</v>
      </c>
      <c r="AI48" s="63">
        <v>20</v>
      </c>
      <c r="AJ48" s="111">
        <v>3</v>
      </c>
      <c r="AK48" s="63" t="s">
        <v>175</v>
      </c>
      <c r="AL48" s="63" t="s">
        <v>1236</v>
      </c>
      <c r="AM48" s="111">
        <v>80</v>
      </c>
      <c r="AN48" s="111">
        <v>20</v>
      </c>
      <c r="AO48" s="115">
        <v>6373</v>
      </c>
      <c r="AP48" s="115">
        <v>0</v>
      </c>
      <c r="AQ48" s="115">
        <v>0</v>
      </c>
      <c r="AR48" s="115">
        <v>8157440</v>
      </c>
      <c r="AS48" s="115">
        <v>1280000</v>
      </c>
      <c r="AT48" s="115">
        <v>0</v>
      </c>
      <c r="AU48" s="115">
        <v>0</v>
      </c>
      <c r="AV48" s="115">
        <v>0</v>
      </c>
      <c r="AW48" s="115">
        <v>9437440</v>
      </c>
      <c r="AX48" s="111" t="s">
        <v>18</v>
      </c>
      <c r="AY48" s="63" t="s">
        <v>1361</v>
      </c>
      <c r="AZ48" s="111">
        <v>0</v>
      </c>
      <c r="BA48" s="111">
        <v>0</v>
      </c>
      <c r="BB48" s="111">
        <v>0</v>
      </c>
      <c r="BC48" s="111">
        <v>0</v>
      </c>
      <c r="BD48" s="111">
        <v>0</v>
      </c>
      <c r="BE48" s="111">
        <v>0</v>
      </c>
      <c r="BF48" s="111">
        <v>0</v>
      </c>
      <c r="BG48" s="111">
        <v>0</v>
      </c>
      <c r="BH48" s="111">
        <v>0</v>
      </c>
      <c r="BI48" s="111">
        <v>0</v>
      </c>
      <c r="BJ48" s="111">
        <v>0</v>
      </c>
      <c r="BK48" s="111">
        <v>0</v>
      </c>
      <c r="BL48" s="111">
        <v>0</v>
      </c>
      <c r="BM48" s="111">
        <v>0</v>
      </c>
      <c r="BN48" s="111">
        <v>0</v>
      </c>
      <c r="BO48" s="111">
        <v>0</v>
      </c>
      <c r="BP48" s="111" t="s">
        <v>18</v>
      </c>
      <c r="BQ48" s="63" t="s">
        <v>1356</v>
      </c>
      <c r="BR48" s="63" t="s">
        <v>1357</v>
      </c>
      <c r="BS48" s="163">
        <v>342358308</v>
      </c>
      <c r="BT48" s="63" t="s">
        <v>1358</v>
      </c>
    </row>
    <row r="49" spans="1:72" s="63" customFormat="1" ht="15" customHeight="1" x14ac:dyDescent="0.25">
      <c r="A49" s="63">
        <v>14389</v>
      </c>
      <c r="B49" s="110" t="s">
        <v>41</v>
      </c>
      <c r="C49" s="63" t="s">
        <v>1345</v>
      </c>
      <c r="D49" s="63">
        <v>2</v>
      </c>
      <c r="E49" s="63">
        <v>2025</v>
      </c>
      <c r="F49" s="111" t="s">
        <v>23</v>
      </c>
      <c r="G49" s="63" t="s">
        <v>1345</v>
      </c>
      <c r="H49" s="110" t="s">
        <v>41</v>
      </c>
      <c r="I49" s="63" t="s">
        <v>1346</v>
      </c>
      <c r="J49" s="63" t="s">
        <v>1347</v>
      </c>
      <c r="K49" s="63" t="s">
        <v>745</v>
      </c>
      <c r="L49" s="92" t="s">
        <v>744</v>
      </c>
      <c r="M49" t="s">
        <v>345</v>
      </c>
      <c r="N49" s="160" t="s">
        <v>346</v>
      </c>
      <c r="O49" s="63">
        <v>13</v>
      </c>
      <c r="Q49" s="63" t="s">
        <v>724</v>
      </c>
      <c r="R49" s="160" t="s">
        <v>1178</v>
      </c>
      <c r="S49" s="63" t="s">
        <v>339</v>
      </c>
      <c r="T49" s="63" t="s">
        <v>19</v>
      </c>
      <c r="U49" t="s">
        <v>348</v>
      </c>
      <c r="V49" s="111">
        <v>14</v>
      </c>
      <c r="W49" s="111">
        <v>260</v>
      </c>
      <c r="X49" s="111">
        <v>12</v>
      </c>
      <c r="Y49" s="111">
        <v>272</v>
      </c>
      <c r="Z49" s="111">
        <v>4</v>
      </c>
      <c r="AA49" s="111" t="s">
        <v>20</v>
      </c>
      <c r="AB49" s="111" t="s">
        <v>18</v>
      </c>
      <c r="AC49" s="111" t="s">
        <v>20</v>
      </c>
      <c r="AD49" s="161"/>
      <c r="AE49" s="161" t="s">
        <v>1198</v>
      </c>
      <c r="AF49" s="111" t="s">
        <v>20</v>
      </c>
      <c r="AG49" s="110" t="s">
        <v>995</v>
      </c>
      <c r="AH49" s="111" t="s">
        <v>990</v>
      </c>
      <c r="AI49" s="63">
        <v>68</v>
      </c>
      <c r="AJ49" s="111">
        <v>2</v>
      </c>
      <c r="AK49" s="63" t="s">
        <v>314</v>
      </c>
      <c r="AL49" s="63" t="s">
        <v>1307</v>
      </c>
      <c r="AM49" s="111">
        <v>272</v>
      </c>
      <c r="AN49" s="111">
        <v>68</v>
      </c>
      <c r="AO49" s="115">
        <v>6300</v>
      </c>
      <c r="AP49" s="115">
        <v>250000</v>
      </c>
      <c r="AQ49" s="115">
        <v>250000</v>
      </c>
      <c r="AR49" s="115">
        <v>23990400</v>
      </c>
      <c r="AS49" s="115">
        <v>3808000</v>
      </c>
      <c r="AT49" s="115">
        <v>3500000</v>
      </c>
      <c r="AU49" s="115">
        <v>0</v>
      </c>
      <c r="AV49" s="115">
        <v>3500000</v>
      </c>
      <c r="AW49" s="115">
        <v>34798400</v>
      </c>
      <c r="AX49" s="111" t="s">
        <v>18</v>
      </c>
      <c r="AY49" s="63" t="s">
        <v>2401</v>
      </c>
      <c r="AZ49" s="111">
        <v>0</v>
      </c>
      <c r="BA49" s="111">
        <v>0</v>
      </c>
      <c r="BB49" s="111">
        <v>0</v>
      </c>
      <c r="BC49" s="111">
        <v>0</v>
      </c>
      <c r="BD49" s="111">
        <v>0</v>
      </c>
      <c r="BE49" s="111">
        <v>0</v>
      </c>
      <c r="BF49" s="111">
        <v>0</v>
      </c>
      <c r="BG49" s="111">
        <v>0</v>
      </c>
      <c r="BH49" s="111">
        <v>0</v>
      </c>
      <c r="BI49" s="111">
        <v>0</v>
      </c>
      <c r="BJ49" s="111">
        <v>0</v>
      </c>
      <c r="BK49" s="111">
        <v>0</v>
      </c>
      <c r="BL49" s="111">
        <v>0</v>
      </c>
      <c r="BM49" s="111">
        <v>0</v>
      </c>
      <c r="BN49" s="111">
        <v>0</v>
      </c>
      <c r="BO49" s="111">
        <v>0</v>
      </c>
      <c r="BP49" s="111" t="s">
        <v>18</v>
      </c>
      <c r="BQ49" s="63" t="s">
        <v>1431</v>
      </c>
      <c r="BR49" s="63" t="s">
        <v>1432</v>
      </c>
      <c r="BS49" s="163">
        <v>225303178</v>
      </c>
      <c r="BT49" s="63" t="s">
        <v>1433</v>
      </c>
    </row>
    <row r="50" spans="1:72" s="63" customFormat="1" ht="15" customHeight="1" x14ac:dyDescent="0.25">
      <c r="A50" s="63">
        <v>14626</v>
      </c>
      <c r="B50" s="110" t="s">
        <v>41</v>
      </c>
      <c r="C50" s="63" t="s">
        <v>1345</v>
      </c>
      <c r="D50" s="63">
        <v>2</v>
      </c>
      <c r="E50" s="63">
        <v>2025</v>
      </c>
      <c r="F50" s="111" t="s">
        <v>23</v>
      </c>
      <c r="G50" s="63" t="s">
        <v>1345</v>
      </c>
      <c r="H50" s="110" t="s">
        <v>41</v>
      </c>
      <c r="I50" s="63" t="s">
        <v>98</v>
      </c>
      <c r="J50" s="63" t="s">
        <v>1349</v>
      </c>
      <c r="K50" s="63" t="s">
        <v>2343</v>
      </c>
      <c r="L50" s="175" t="s">
        <v>2344</v>
      </c>
      <c r="M50"/>
      <c r="N50" t="s">
        <v>21</v>
      </c>
      <c r="O50" s="63">
        <v>13</v>
      </c>
      <c r="Q50" s="63" t="s">
        <v>416</v>
      </c>
      <c r="R50" s="160" t="s">
        <v>1201</v>
      </c>
      <c r="S50" s="63" t="s">
        <v>339</v>
      </c>
      <c r="T50" s="63" t="s">
        <v>22</v>
      </c>
      <c r="U50" t="s">
        <v>337</v>
      </c>
      <c r="V50" s="111">
        <v>15</v>
      </c>
      <c r="W50" s="111">
        <v>225</v>
      </c>
      <c r="X50" s="111">
        <v>0</v>
      </c>
      <c r="Y50" s="111">
        <v>225</v>
      </c>
      <c r="Z50" s="111">
        <v>4</v>
      </c>
      <c r="AA50" s="111" t="s">
        <v>20</v>
      </c>
      <c r="AB50" s="111" t="s">
        <v>18</v>
      </c>
      <c r="AC50" s="111" t="s">
        <v>18</v>
      </c>
      <c r="AD50" s="110"/>
      <c r="AE50" s="110" t="s">
        <v>2345</v>
      </c>
      <c r="AF50" s="111" t="s">
        <v>20</v>
      </c>
      <c r="AG50" s="110" t="s">
        <v>2346</v>
      </c>
      <c r="AH50" s="111" t="s">
        <v>990</v>
      </c>
      <c r="AI50" s="63">
        <v>57</v>
      </c>
      <c r="AJ50" s="111">
        <v>3</v>
      </c>
      <c r="AK50" s="63" t="s">
        <v>134</v>
      </c>
      <c r="AL50" s="63" t="s">
        <v>1203</v>
      </c>
      <c r="AM50" s="111">
        <v>225</v>
      </c>
      <c r="AN50" s="111">
        <v>57</v>
      </c>
      <c r="AO50" s="115">
        <v>7200</v>
      </c>
      <c r="AP50" s="115">
        <v>0</v>
      </c>
      <c r="AQ50" s="115">
        <v>50000</v>
      </c>
      <c r="AR50" s="115">
        <v>24300000</v>
      </c>
      <c r="AS50" s="115">
        <v>3420000</v>
      </c>
      <c r="AT50" s="115">
        <v>0</v>
      </c>
      <c r="AU50" s="115">
        <v>0</v>
      </c>
      <c r="AV50" s="115">
        <v>750000</v>
      </c>
      <c r="AW50" s="115">
        <v>28470000</v>
      </c>
      <c r="AX50" s="111" t="s">
        <v>18</v>
      </c>
      <c r="AY50" s="63" t="s">
        <v>2410</v>
      </c>
      <c r="AZ50" s="111">
        <v>0</v>
      </c>
      <c r="BA50" s="111">
        <v>0</v>
      </c>
      <c r="BB50" s="111">
        <v>0</v>
      </c>
      <c r="BC50" s="111">
        <v>0</v>
      </c>
      <c r="BD50" s="111">
        <v>0</v>
      </c>
      <c r="BE50" s="111">
        <v>0</v>
      </c>
      <c r="BF50" s="111">
        <v>0</v>
      </c>
      <c r="BG50" s="111">
        <v>0</v>
      </c>
      <c r="BH50" s="111">
        <v>0</v>
      </c>
      <c r="BI50" s="111">
        <v>0</v>
      </c>
      <c r="BJ50" s="111">
        <v>0</v>
      </c>
      <c r="BK50" s="111">
        <v>0</v>
      </c>
      <c r="BL50" s="111">
        <v>0</v>
      </c>
      <c r="BM50" s="111">
        <v>0</v>
      </c>
      <c r="BN50" s="111">
        <v>0</v>
      </c>
      <c r="BO50" s="111">
        <v>0</v>
      </c>
      <c r="BP50" s="111" t="s">
        <v>18</v>
      </c>
      <c r="BS50" s="163"/>
    </row>
    <row r="51" spans="1:72" s="63" customFormat="1" ht="15" customHeight="1" x14ac:dyDescent="0.25">
      <c r="A51" s="63">
        <v>14389</v>
      </c>
      <c r="B51" s="63" t="s">
        <v>41</v>
      </c>
      <c r="C51" s="63" t="s">
        <v>1345</v>
      </c>
      <c r="D51" s="63">
        <v>2</v>
      </c>
      <c r="E51" s="63">
        <v>2025</v>
      </c>
      <c r="F51" s="63" t="s">
        <v>23</v>
      </c>
      <c r="G51" s="63" t="s">
        <v>1345</v>
      </c>
      <c r="H51" s="63" t="s">
        <v>41</v>
      </c>
      <c r="I51" s="63" t="s">
        <v>1346</v>
      </c>
      <c r="J51" s="63" t="s">
        <v>1347</v>
      </c>
      <c r="K51" s="63" t="s">
        <v>745</v>
      </c>
      <c r="L51" s="63" t="s">
        <v>744</v>
      </c>
      <c r="M51" s="63" t="s">
        <v>345</v>
      </c>
      <c r="N51" s="63" t="s">
        <v>346</v>
      </c>
      <c r="O51" s="63">
        <v>13</v>
      </c>
      <c r="Q51" s="63" t="s">
        <v>724</v>
      </c>
      <c r="R51" s="63" t="s">
        <v>1178</v>
      </c>
      <c r="S51" s="63" t="s">
        <v>339</v>
      </c>
      <c r="T51" s="63" t="s">
        <v>19</v>
      </c>
      <c r="U51" s="111" t="s">
        <v>348</v>
      </c>
      <c r="V51" s="111">
        <v>14</v>
      </c>
      <c r="W51" s="111">
        <v>260</v>
      </c>
      <c r="X51" s="111">
        <v>12</v>
      </c>
      <c r="Y51" s="111">
        <v>272</v>
      </c>
      <c r="Z51" s="111">
        <v>4</v>
      </c>
      <c r="AA51" s="111" t="s">
        <v>20</v>
      </c>
      <c r="AB51" s="111" t="s">
        <v>18</v>
      </c>
      <c r="AC51" s="110" t="s">
        <v>20</v>
      </c>
      <c r="AD51" s="110"/>
      <c r="AE51" s="111" t="s">
        <v>1198</v>
      </c>
      <c r="AF51" s="110" t="s">
        <v>20</v>
      </c>
      <c r="AG51" s="111" t="s">
        <v>995</v>
      </c>
      <c r="AH51" s="111" t="s">
        <v>990</v>
      </c>
      <c r="AI51" s="111">
        <v>68</v>
      </c>
      <c r="AJ51" s="63">
        <v>2</v>
      </c>
      <c r="AK51" s="111" t="s">
        <v>545</v>
      </c>
      <c r="AL51" s="111" t="s">
        <v>1302</v>
      </c>
      <c r="AM51" s="202">
        <v>272</v>
      </c>
      <c r="AN51" s="202">
        <v>68</v>
      </c>
      <c r="AO51" s="202">
        <v>5075</v>
      </c>
      <c r="AP51" s="202">
        <v>250000</v>
      </c>
      <c r="AQ51" s="115">
        <v>250000</v>
      </c>
      <c r="AR51" s="115">
        <v>19325600</v>
      </c>
      <c r="AS51" s="115">
        <v>3808000</v>
      </c>
      <c r="AT51" s="115">
        <v>3500000</v>
      </c>
      <c r="AU51" s="115">
        <v>0</v>
      </c>
      <c r="AV51" s="111">
        <v>3500000</v>
      </c>
      <c r="AW51" s="63">
        <v>30133600</v>
      </c>
      <c r="AX51" s="111" t="s">
        <v>20</v>
      </c>
      <c r="AY51" s="111"/>
      <c r="AZ51" s="111">
        <v>5</v>
      </c>
      <c r="BA51" s="111">
        <v>7</v>
      </c>
      <c r="BB51" s="111">
        <v>0</v>
      </c>
      <c r="BC51" s="111">
        <v>0</v>
      </c>
      <c r="BD51" s="111">
        <v>0</v>
      </c>
      <c r="BE51" s="111">
        <v>0</v>
      </c>
      <c r="BF51" s="111">
        <v>0</v>
      </c>
      <c r="BG51" s="111">
        <v>0</v>
      </c>
      <c r="BH51" s="111">
        <v>0</v>
      </c>
      <c r="BI51" s="111">
        <v>6</v>
      </c>
      <c r="BJ51" s="111">
        <v>6</v>
      </c>
      <c r="BK51" s="111">
        <v>6</v>
      </c>
      <c r="BL51" s="111">
        <v>6</v>
      </c>
      <c r="BM51" s="118">
        <v>6</v>
      </c>
      <c r="BN51" s="111">
        <v>6.9</v>
      </c>
      <c r="BO51" s="63">
        <v>6</v>
      </c>
      <c r="BP51" s="63" t="s">
        <v>18</v>
      </c>
      <c r="BQ51" s="63" t="s">
        <v>1455</v>
      </c>
      <c r="BR51" s="63" t="s">
        <v>1456</v>
      </c>
      <c r="BS51" s="63">
        <v>962274066</v>
      </c>
      <c r="BT51" s="63" t="s">
        <v>1430</v>
      </c>
    </row>
  </sheetData>
  <autoFilter ref="A1:BW51" xr:uid="{ED4D5E63-B63B-4221-A226-A03545C79122}"/>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1C6E-E001-4682-A617-2E34C6F4DEDB}">
  <sheetPr>
    <tabColor theme="9" tint="-0.249977111117893"/>
  </sheetPr>
  <dimension ref="A1:EQ51"/>
  <sheetViews>
    <sheetView zoomScale="90" zoomScaleNormal="90" workbookViewId="0">
      <pane xSplit="1" ySplit="1" topLeftCell="AU2" activePane="bottomRight" state="frozen"/>
      <selection pane="topRight" activeCell="B1" sqref="B1"/>
      <selection pane="bottomLeft" activeCell="A2" sqref="A2"/>
      <selection pane="bottomRight" activeCell="AV2" sqref="AV2"/>
    </sheetView>
  </sheetViews>
  <sheetFormatPr baseColWidth="10" defaultColWidth="12.28515625" defaultRowHeight="15" customHeight="1" x14ac:dyDescent="0.2"/>
  <cols>
    <col min="1" max="1" width="12.28515625" style="28"/>
    <col min="2" max="2" width="12.28515625" style="29" customWidth="1"/>
    <col min="3" max="3" width="8.5703125" style="29" customWidth="1"/>
    <col min="4" max="4" width="14.28515625" style="29" customWidth="1"/>
    <col min="5" max="6" width="12.28515625" style="29" customWidth="1"/>
    <col min="7" max="7" width="10.140625" style="29" customWidth="1"/>
    <col min="8" max="8" width="12.28515625" style="29" customWidth="1"/>
    <col min="9" max="9" width="86.28515625" style="29" customWidth="1"/>
    <col min="10" max="10" width="12.28515625" style="29" customWidth="1"/>
    <col min="11" max="11" width="14.85546875" style="29" customWidth="1"/>
    <col min="12" max="12" width="14.140625" style="29" customWidth="1"/>
    <col min="13" max="13" width="8.42578125" style="130" customWidth="1"/>
    <col min="14" max="15" width="12.28515625" style="29" customWidth="1"/>
    <col min="16" max="16" width="35.5703125" style="29" customWidth="1"/>
    <col min="17" max="17" width="12.28515625" style="29" customWidth="1"/>
    <col min="18" max="18" width="13.5703125" style="29" customWidth="1"/>
    <col min="19" max="19" width="13.85546875" style="29" customWidth="1"/>
    <col min="20" max="20" width="7.140625" style="28" customWidth="1"/>
    <col min="21" max="22" width="12.28515625" style="28" customWidth="1"/>
    <col min="23" max="23" width="9.5703125" style="28" customWidth="1"/>
    <col min="24" max="24" width="8.7109375" style="28" customWidth="1"/>
    <col min="25" max="25" width="10.42578125" style="28" customWidth="1"/>
    <col min="26" max="26" width="9.85546875" style="28" customWidth="1"/>
    <col min="27" max="27" width="12.5703125" style="28" customWidth="1"/>
    <col min="28" max="29" width="12.28515625" style="29" customWidth="1"/>
    <col min="30" max="30" width="11" style="28" customWidth="1"/>
    <col min="31" max="31" width="42.42578125" style="29" customWidth="1"/>
    <col min="32" max="33" width="12.28515625" style="28" customWidth="1"/>
    <col min="34" max="34" width="8.42578125" style="28" customWidth="1"/>
    <col min="35" max="35" width="12.28515625" style="24" customWidth="1"/>
    <col min="36" max="36" width="32.5703125" style="29" customWidth="1"/>
    <col min="37" max="37" width="14.42578125" style="30" customWidth="1"/>
    <col min="38" max="47" width="12.28515625" style="30" customWidth="1"/>
    <col min="48" max="48" width="12.28515625" style="207" customWidth="1"/>
    <col min="49" max="49" width="145.85546875" style="16" customWidth="1"/>
    <col min="50" max="50" width="15.140625" style="6" customWidth="1"/>
    <col min="51" max="51" width="16" style="6" customWidth="1"/>
    <col min="52" max="58" width="17.85546875" style="28" customWidth="1"/>
    <col min="59" max="59" width="14.140625" style="28" customWidth="1"/>
    <col min="60" max="60" width="10.42578125" style="28" customWidth="1"/>
    <col min="61" max="61" width="9.7109375" style="28" customWidth="1"/>
    <col min="62" max="62" width="9.5703125" style="28" customWidth="1"/>
    <col min="63" max="63" width="9.5703125" style="6" customWidth="1"/>
    <col min="64" max="64" width="13.5703125" style="28" customWidth="1"/>
    <col min="65" max="65" width="10.5703125" style="109" customWidth="1"/>
    <col min="66" max="66" width="14.5703125" style="31" customWidth="1"/>
    <col min="67" max="67" width="14.28515625" style="29" customWidth="1"/>
    <col min="68" max="68" width="13.85546875" style="29" customWidth="1"/>
    <col min="69" max="69" width="12" style="104" customWidth="1"/>
    <col min="70" max="71" width="13.28515625" style="105" customWidth="1"/>
    <col min="72" max="72" width="13.85546875" style="106" customWidth="1"/>
    <col min="73" max="85" width="13.85546875" style="24" customWidth="1"/>
    <col min="86" max="86" width="15.5703125" style="89" customWidth="1"/>
    <col min="87" max="87" width="12.28515625" style="24" customWidth="1"/>
    <col min="88" max="88" width="15.7109375" style="24" customWidth="1"/>
    <col min="89" max="91" width="14" style="24" customWidth="1"/>
    <col min="92" max="92" width="18.28515625" style="24" customWidth="1"/>
    <col min="93" max="93" width="12.28515625" style="24" customWidth="1"/>
    <col min="94" max="94" width="12.140625" style="24" customWidth="1"/>
    <col min="95" max="95" width="14.85546875" style="24" customWidth="1"/>
    <col min="96" max="96" width="14.140625" style="24" customWidth="1"/>
    <col min="97" max="97" width="15" style="24" customWidth="1"/>
    <col min="98" max="98" width="14" style="24" customWidth="1"/>
    <col min="99" max="101" width="12.28515625" style="89" customWidth="1"/>
    <col min="102" max="102" width="14.28515625" style="89" customWidth="1"/>
    <col min="103" max="106" width="12.28515625" style="89" customWidth="1"/>
    <col min="107" max="107" width="15.42578125" style="89" customWidth="1"/>
    <col min="108" max="108" width="12.28515625" style="89" customWidth="1"/>
    <col min="109" max="109" width="14.7109375" style="89" customWidth="1"/>
    <col min="110" max="113" width="12.28515625" style="89" customWidth="1"/>
    <col min="114" max="114" width="12.28515625" style="16" customWidth="1"/>
    <col min="115" max="118" width="12.28515625" style="88" customWidth="1"/>
    <col min="119" max="120" width="12.28515625" style="6" customWidth="1"/>
    <col min="121" max="121" width="17" style="6" customWidth="1"/>
    <col min="122" max="122" width="12.28515625" style="11" customWidth="1"/>
    <col min="123" max="129" width="12.28515625" style="6" customWidth="1"/>
    <col min="130" max="130" width="12.28515625" style="11" customWidth="1"/>
    <col min="131" max="131" width="12.28515625" style="6" customWidth="1"/>
    <col min="132" max="132" width="12.28515625" style="148" customWidth="1"/>
    <col min="133" max="133" width="12.28515625" style="88" customWidth="1"/>
    <col min="134" max="134" width="12.28515625" style="6" customWidth="1"/>
    <col min="135" max="136" width="12.28515625" style="82" customWidth="1"/>
    <col min="137" max="137" width="12.28515625" style="28" customWidth="1"/>
    <col min="138" max="138" width="10" style="28" customWidth="1"/>
    <col min="139" max="139" width="12.28515625" style="28" customWidth="1"/>
    <col min="140" max="140" width="10.5703125" style="28" customWidth="1"/>
    <col min="141" max="141" width="12.5703125" style="28" customWidth="1"/>
    <col min="142" max="142" width="39" style="31" customWidth="1"/>
    <col min="143" max="16384" width="12.28515625" style="31"/>
  </cols>
  <sheetData>
    <row r="1" spans="1:147" s="129" customFormat="1" ht="105" customHeight="1" x14ac:dyDescent="0.2">
      <c r="A1" s="120" t="s">
        <v>369</v>
      </c>
      <c r="B1" s="120" t="s">
        <v>0</v>
      </c>
      <c r="C1" s="120" t="s">
        <v>51</v>
      </c>
      <c r="D1" s="120" t="s">
        <v>15</v>
      </c>
      <c r="E1" s="120" t="s">
        <v>924</v>
      </c>
      <c r="F1" s="120" t="s">
        <v>925</v>
      </c>
      <c r="G1" s="120" t="s">
        <v>449</v>
      </c>
      <c r="H1" s="120" t="s">
        <v>450</v>
      </c>
      <c r="I1" s="120" t="s">
        <v>453</v>
      </c>
      <c r="J1" s="120" t="s">
        <v>454</v>
      </c>
      <c r="K1" s="120" t="s">
        <v>455</v>
      </c>
      <c r="L1" s="120" t="s">
        <v>456</v>
      </c>
      <c r="M1" s="120" t="s">
        <v>330</v>
      </c>
      <c r="N1" s="120" t="s">
        <v>374</v>
      </c>
      <c r="O1" s="120" t="s">
        <v>1</v>
      </c>
      <c r="P1" s="120" t="s">
        <v>329</v>
      </c>
      <c r="Q1" s="120" t="s">
        <v>375</v>
      </c>
      <c r="R1" s="120" t="s">
        <v>376</v>
      </c>
      <c r="S1" s="120" t="s">
        <v>338</v>
      </c>
      <c r="T1" s="120" t="s">
        <v>2</v>
      </c>
      <c r="U1" s="120" t="s">
        <v>926</v>
      </c>
      <c r="V1" s="120" t="s">
        <v>378</v>
      </c>
      <c r="W1" s="120" t="s">
        <v>379</v>
      </c>
      <c r="X1" s="120" t="s">
        <v>3</v>
      </c>
      <c r="Y1" s="120" t="s">
        <v>331</v>
      </c>
      <c r="Z1" s="120" t="s">
        <v>380</v>
      </c>
      <c r="AA1" s="120" t="s">
        <v>332</v>
      </c>
      <c r="AB1" s="120" t="s">
        <v>333</v>
      </c>
      <c r="AC1" s="120" t="s">
        <v>16</v>
      </c>
      <c r="AD1" s="120" t="s">
        <v>334</v>
      </c>
      <c r="AE1" s="120" t="s">
        <v>335</v>
      </c>
      <c r="AF1" s="120" t="s">
        <v>927</v>
      </c>
      <c r="AG1" s="120" t="s">
        <v>890</v>
      </c>
      <c r="AH1" s="120" t="s">
        <v>381</v>
      </c>
      <c r="AI1" s="139" t="s">
        <v>4</v>
      </c>
      <c r="AJ1" s="121" t="s">
        <v>445</v>
      </c>
      <c r="AK1" s="122" t="s">
        <v>928</v>
      </c>
      <c r="AL1" s="122" t="s">
        <v>929</v>
      </c>
      <c r="AM1" s="122" t="s">
        <v>930</v>
      </c>
      <c r="AN1" s="122" t="s">
        <v>931</v>
      </c>
      <c r="AO1" s="122" t="s">
        <v>932</v>
      </c>
      <c r="AP1" s="122" t="s">
        <v>933</v>
      </c>
      <c r="AQ1" s="122" t="s">
        <v>934</v>
      </c>
      <c r="AR1" s="122" t="s">
        <v>935</v>
      </c>
      <c r="AS1" s="122" t="s">
        <v>936</v>
      </c>
      <c r="AT1" s="122" t="s">
        <v>937</v>
      </c>
      <c r="AU1" s="122" t="s">
        <v>938</v>
      </c>
      <c r="AV1" s="208" t="s">
        <v>939</v>
      </c>
      <c r="AW1" s="123" t="s">
        <v>14</v>
      </c>
      <c r="AX1" s="123" t="s">
        <v>940</v>
      </c>
      <c r="AY1" s="123" t="s">
        <v>941</v>
      </c>
      <c r="AZ1" s="124" t="s">
        <v>953</v>
      </c>
      <c r="BA1" s="125" t="s">
        <v>954</v>
      </c>
      <c r="BB1" s="125" t="s">
        <v>955</v>
      </c>
      <c r="BC1" s="125" t="s">
        <v>956</v>
      </c>
      <c r="BD1" s="125" t="s">
        <v>957</v>
      </c>
      <c r="BE1" s="125" t="s">
        <v>958</v>
      </c>
      <c r="BF1" s="125" t="s">
        <v>959</v>
      </c>
      <c r="BG1" s="126" t="s">
        <v>949</v>
      </c>
      <c r="BH1" s="126" t="s">
        <v>950</v>
      </c>
      <c r="BI1" s="126" t="s">
        <v>972</v>
      </c>
      <c r="BJ1" s="126" t="s">
        <v>975</v>
      </c>
      <c r="BK1" s="126" t="s">
        <v>952</v>
      </c>
      <c r="BL1" s="127" t="s">
        <v>1107</v>
      </c>
      <c r="BM1" s="141" t="s">
        <v>974</v>
      </c>
      <c r="BN1" s="127" t="s">
        <v>942</v>
      </c>
      <c r="BO1" s="127" t="s">
        <v>943</v>
      </c>
      <c r="BP1" s="127" t="s">
        <v>944</v>
      </c>
      <c r="BQ1" s="127" t="s">
        <v>945</v>
      </c>
      <c r="BR1" s="127" t="s">
        <v>946</v>
      </c>
      <c r="BS1" s="127" t="s">
        <v>947</v>
      </c>
      <c r="BT1" s="127" t="s">
        <v>948</v>
      </c>
      <c r="BU1" s="137" t="s">
        <v>1119</v>
      </c>
      <c r="BV1" s="137" t="s">
        <v>1120</v>
      </c>
      <c r="BW1" s="137" t="s">
        <v>1121</v>
      </c>
      <c r="BX1" s="137" t="s">
        <v>1122</v>
      </c>
      <c r="BY1" s="138" t="s">
        <v>1123</v>
      </c>
      <c r="BZ1" s="138" t="s">
        <v>1124</v>
      </c>
      <c r="CA1" s="138" t="s">
        <v>1125</v>
      </c>
      <c r="CB1" s="138" t="s">
        <v>1129</v>
      </c>
      <c r="CC1" s="138" t="s">
        <v>1126</v>
      </c>
      <c r="CD1" s="138" t="s">
        <v>1115</v>
      </c>
      <c r="CE1" s="138" t="s">
        <v>1116</v>
      </c>
      <c r="CF1" s="138" t="s">
        <v>1117</v>
      </c>
      <c r="CG1" s="138" t="s">
        <v>1127</v>
      </c>
      <c r="CH1" s="138" t="s">
        <v>1128</v>
      </c>
      <c r="CI1" s="138" t="s">
        <v>1130</v>
      </c>
      <c r="CJ1" s="138" t="s">
        <v>1131</v>
      </c>
      <c r="CK1" s="131" t="s">
        <v>468</v>
      </c>
      <c r="CL1" s="131" t="s">
        <v>1108</v>
      </c>
      <c r="CM1" s="131" t="s">
        <v>1109</v>
      </c>
      <c r="CN1" s="138" t="s">
        <v>1112</v>
      </c>
      <c r="CO1" s="138" t="s">
        <v>1118</v>
      </c>
      <c r="CP1" s="138" t="s">
        <v>483</v>
      </c>
      <c r="CQ1" s="138" t="s">
        <v>1132</v>
      </c>
      <c r="CR1" s="138" t="s">
        <v>485</v>
      </c>
      <c r="CS1" s="138" t="s">
        <v>1105</v>
      </c>
      <c r="CT1" s="138" t="s">
        <v>487</v>
      </c>
      <c r="CU1" s="138" t="s">
        <v>1113</v>
      </c>
      <c r="CV1" s="138" t="s">
        <v>488</v>
      </c>
      <c r="CW1" s="138" t="s">
        <v>489</v>
      </c>
      <c r="CX1" s="131" t="s">
        <v>1137</v>
      </c>
      <c r="CY1" s="138" t="s">
        <v>1114</v>
      </c>
      <c r="CZ1" s="131" t="s">
        <v>894</v>
      </c>
      <c r="DA1" s="138" t="s">
        <v>899</v>
      </c>
      <c r="DB1" s="131" t="s">
        <v>895</v>
      </c>
      <c r="DC1" s="138" t="s">
        <v>491</v>
      </c>
      <c r="DD1" s="131" t="s">
        <v>500</v>
      </c>
      <c r="DE1" s="131" t="s">
        <v>501</v>
      </c>
      <c r="DF1" s="131" t="s">
        <v>460</v>
      </c>
      <c r="DG1" s="131" t="s">
        <v>976</v>
      </c>
      <c r="DH1" s="131" t="s">
        <v>977</v>
      </c>
      <c r="DI1" s="131" t="s">
        <v>912</v>
      </c>
      <c r="DJ1" s="131" t="s">
        <v>911</v>
      </c>
      <c r="DK1" s="131" t="s">
        <v>461</v>
      </c>
      <c r="DL1" s="131" t="s">
        <v>492</v>
      </c>
      <c r="DM1" s="131" t="s">
        <v>493</v>
      </c>
      <c r="DN1" s="131" t="s">
        <v>471</v>
      </c>
      <c r="DO1" s="138" t="s">
        <v>472</v>
      </c>
      <c r="DP1" s="131" t="s">
        <v>473</v>
      </c>
      <c r="DQ1" s="131" t="s">
        <v>1104</v>
      </c>
      <c r="DR1" s="138" t="s">
        <v>447</v>
      </c>
      <c r="DS1" s="131" t="s">
        <v>1111</v>
      </c>
      <c r="DT1" s="131" t="s">
        <v>495</v>
      </c>
      <c r="DU1" s="138" t="s">
        <v>496</v>
      </c>
      <c r="DV1" s="131" t="s">
        <v>896</v>
      </c>
      <c r="DW1" s="138" t="s">
        <v>897</v>
      </c>
      <c r="DX1" s="131" t="s">
        <v>497</v>
      </c>
      <c r="DY1" s="138" t="s">
        <v>898</v>
      </c>
      <c r="DZ1" s="128" t="s">
        <v>474</v>
      </c>
      <c r="EA1" s="138" t="s">
        <v>498</v>
      </c>
      <c r="EB1" s="147" t="s">
        <v>1139</v>
      </c>
      <c r="EC1" s="131" t="s">
        <v>1138</v>
      </c>
      <c r="ED1" s="145" t="s">
        <v>1140</v>
      </c>
      <c r="EE1" s="146" t="s">
        <v>904</v>
      </c>
      <c r="EF1" s="146" t="s">
        <v>475</v>
      </c>
      <c r="EG1" s="145" t="s">
        <v>1110</v>
      </c>
      <c r="EH1" s="128" t="s">
        <v>901</v>
      </c>
      <c r="EI1" s="128" t="s">
        <v>477</v>
      </c>
      <c r="EJ1" s="128" t="s">
        <v>478</v>
      </c>
      <c r="EK1" s="123" t="str">
        <f>+('3 Planilla Preadjudicación OTIC'!BW1)</f>
        <v>OBSERVACIONES OTIC</v>
      </c>
      <c r="EL1" s="128" t="s">
        <v>903</v>
      </c>
      <c r="EM1" s="123" t="s">
        <v>479</v>
      </c>
      <c r="EN1" s="128" t="s">
        <v>384</v>
      </c>
      <c r="EO1" s="128" t="s">
        <v>1135</v>
      </c>
      <c r="EP1" s="128" t="s">
        <v>978</v>
      </c>
      <c r="EQ1" s="34"/>
    </row>
    <row r="2" spans="1:147" s="7" customFormat="1" ht="12.75" x14ac:dyDescent="0.2">
      <c r="A2" s="6">
        <f>+('3 Planilla Preadjudicación OTIC'!A2)</f>
        <v>14385</v>
      </c>
      <c r="B2" s="6" t="str">
        <f>+('3 Planilla Preadjudicación OTIC'!B2)</f>
        <v>SOFOFA</v>
      </c>
      <c r="C2" s="8">
        <f>+('3 Planilla Preadjudicación OTIC'!E2)</f>
        <v>2025</v>
      </c>
      <c r="D2" s="8" t="str">
        <f>+('3 Planilla Preadjudicación OTIC'!F2)</f>
        <v>MANDATO</v>
      </c>
      <c r="E2" s="8" t="str">
        <f>+('3 Planilla Preadjudicación OTIC'!G2)</f>
        <v>65181652-1</v>
      </c>
      <c r="F2" s="8" t="str">
        <f>+('3 Planilla Preadjudicación OTIC'!H2)</f>
        <v>SOFOFA</v>
      </c>
      <c r="G2" s="8" t="str">
        <f>+('3 Planilla Preadjudicación OTIC'!I2)</f>
        <v>65140022-8</v>
      </c>
      <c r="H2" s="8" t="str">
        <f>+('3 Planilla Preadjudicación OTIC'!J2)</f>
        <v>FUTURO DEL TRABAJO</v>
      </c>
      <c r="I2" s="8" t="str">
        <f>+('3 Planilla Preadjudicación OTIC'!K2)</f>
        <v>ASISTENCIA EN EL MANTENIMIENTO ELÉCTRICO DE BAJA TENSIÓN</v>
      </c>
      <c r="J2" s="8" t="str">
        <f>+('3 Planilla Preadjudicación OTIC'!L2)</f>
        <v>PF0638</v>
      </c>
      <c r="K2" s="8" t="str">
        <f>+('3 Planilla Preadjudicación OTIC'!M2)</f>
        <v/>
      </c>
      <c r="L2" s="8" t="str">
        <f>+('3 Planilla Preadjudicación OTIC'!N2)</f>
        <v/>
      </c>
      <c r="M2" s="6">
        <f>+('3 Planilla Preadjudicación OTIC'!O2)</f>
        <v>13</v>
      </c>
      <c r="N2" s="8">
        <f>+('3 Planilla Preadjudicación OTIC'!P2)</f>
        <v>0</v>
      </c>
      <c r="O2" s="8" t="str">
        <f>+('3 Planilla Preadjudicación OTIC'!Q2)</f>
        <v>RENCA</v>
      </c>
      <c r="P2" s="8" t="str">
        <f>+('3 Planilla Preadjudicación OTIC'!R2)</f>
        <v>ESTUDIANTES DE CUARTO AÑO DE ENSEÑANZA MEDIA O DE LICEOS TÉCNICOS PROFESIONALES.</v>
      </c>
      <c r="Q2" s="8" t="str">
        <f>+('3 Planilla Preadjudicación OTIC'!S2)</f>
        <v>PRESENCIAL</v>
      </c>
      <c r="R2" s="8" t="str">
        <f>+('3 Planilla Preadjudicación OTIC'!T2)</f>
        <v>DEPENDIENTE</v>
      </c>
      <c r="S2" s="8" t="str">
        <f>+('3 Planilla Preadjudicación OTIC'!U2)</f>
        <v>03. LUNES - VESPERTINO / 06. MARTES - VESPERTINO / 09. MIÉRCOLES - VESPERTINO / 12. JUEVES - VESPERTINO / 15. VIERNES - VESPERTINO</v>
      </c>
      <c r="T2" s="6">
        <f>+('3 Planilla Preadjudicación OTIC'!V2)</f>
        <v>16</v>
      </c>
      <c r="U2" s="6">
        <f>+('3 Planilla Preadjudicación OTIC'!W2)</f>
        <v>110</v>
      </c>
      <c r="V2" s="6">
        <f>+('3 Planilla Preadjudicación OTIC'!X2)</f>
        <v>0</v>
      </c>
      <c r="W2" s="6">
        <f>+('3 Planilla Preadjudicación OTIC'!Y2)</f>
        <v>110</v>
      </c>
      <c r="X2" s="6">
        <f>+('3 Planilla Preadjudicación OTIC'!Z2)</f>
        <v>4</v>
      </c>
      <c r="Y2" s="6" t="str">
        <f>+('3 Planilla Preadjudicación OTIC'!AA2)</f>
        <v>SI</v>
      </c>
      <c r="Z2" s="6" t="str">
        <f>+('3 Planilla Preadjudicación OTIC'!AB2)</f>
        <v>NO</v>
      </c>
      <c r="AA2" s="6" t="str">
        <f>+('3 Planilla Preadjudicación OTIC'!AC2)</f>
        <v>NO</v>
      </c>
      <c r="AB2" s="8">
        <f>+('3 Planilla Preadjudicación OTIC'!AD2)</f>
        <v>0</v>
      </c>
      <c r="AC2" s="8" t="str">
        <f>+('3 Planilla Preadjudicación OTIC'!AE2)</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2" s="6" t="str">
        <f>+('3 Planilla Preadjudicación OTIC'!AF2)</f>
        <v>NO</v>
      </c>
      <c r="AE2" s="8">
        <f>+('3 Planilla Preadjudicación OTIC'!AG2)</f>
        <v>0</v>
      </c>
      <c r="AF2" s="6" t="str">
        <f>+('3 Planilla Preadjudicación OTIC'!AH2)</f>
        <v>CERRADA</v>
      </c>
      <c r="AG2" s="6">
        <f>+('3 Planilla Preadjudicación OTIC'!AI2)</f>
        <v>28</v>
      </c>
      <c r="AH2" s="6">
        <f>+('3 Planilla Preadjudicación OTIC'!AJ2)</f>
        <v>2</v>
      </c>
      <c r="AI2" s="140" t="str">
        <f>+('3 Planilla Preadjudicación OTIC'!AK2)</f>
        <v>76102946-0</v>
      </c>
      <c r="AJ2" s="8" t="str">
        <f>+('3 Planilla Preadjudicación OTIC'!AL2)</f>
        <v>CAPACITACIONES INNOVA PYMES LTDA</v>
      </c>
      <c r="AK2" s="6">
        <f>+('3 Planilla Preadjudicación OTIC'!AM2)</f>
        <v>110</v>
      </c>
      <c r="AL2" s="6">
        <f>+('3 Planilla Preadjudicación OTIC'!AN2)</f>
        <v>28</v>
      </c>
      <c r="AM2" s="16">
        <f>+('3 Planilla Preadjudicación OTIC'!AO2)</f>
        <v>5075</v>
      </c>
      <c r="AN2" s="16">
        <f>+('3 Planilla Preadjudicación OTIC'!AP2)</f>
        <v>0</v>
      </c>
      <c r="AO2" s="16">
        <f>+('3 Planilla Preadjudicación OTIC'!AQ2)</f>
        <v>0</v>
      </c>
      <c r="AP2" s="16">
        <f>+('3 Planilla Preadjudicación OTIC'!AR2)</f>
        <v>8932000</v>
      </c>
      <c r="AQ2" s="16">
        <f>+('3 Planilla Preadjudicación OTIC'!AS2)</f>
        <v>1792000</v>
      </c>
      <c r="AR2" s="16">
        <f>+('3 Planilla Preadjudicación OTIC'!AT2)</f>
        <v>0</v>
      </c>
      <c r="AS2" s="16">
        <f>+('3 Planilla Preadjudicación OTIC'!AU2)</f>
        <v>0</v>
      </c>
      <c r="AT2" s="16">
        <f>+('3 Planilla Preadjudicación OTIC'!AV2)</f>
        <v>0</v>
      </c>
      <c r="AU2" s="16">
        <f>+('3 Planilla Preadjudicación OTIC'!AW2)</f>
        <v>10724000</v>
      </c>
      <c r="AV2" s="158" t="str">
        <f>+('3 Planilla Preadjudicación OTIC'!AX2)</f>
        <v>SI</v>
      </c>
      <c r="AW2" s="8">
        <f>+('3 Planilla Preadjudicación OTIC'!AY2)</f>
        <v>0</v>
      </c>
      <c r="AX2" s="6">
        <f>+('3 Planilla Preadjudicación OTIC'!AZ2)</f>
        <v>1</v>
      </c>
      <c r="AY2" s="6">
        <f>+('3 Planilla Preadjudicación OTIC'!BA2)</f>
        <v>7</v>
      </c>
      <c r="AZ2" s="158">
        <f>+('3 Planilla Preadjudicación OTIC'!BB2)</f>
        <v>0</v>
      </c>
      <c r="BA2" s="158">
        <f>+('3 Planilla Preadjudicación OTIC'!BC2)</f>
        <v>0</v>
      </c>
      <c r="BB2" s="158">
        <f>+('3 Planilla Preadjudicación OTIC'!BD2)</f>
        <v>0</v>
      </c>
      <c r="BC2" s="158">
        <f>+('3 Planilla Preadjudicación OTIC'!BE2)</f>
        <v>0</v>
      </c>
      <c r="BD2" s="158">
        <f>+('3 Planilla Preadjudicación OTIC'!BF2)</f>
        <v>0</v>
      </c>
      <c r="BE2" s="158">
        <f>+('3 Planilla Preadjudicación OTIC'!BG2)</f>
        <v>0</v>
      </c>
      <c r="BF2" s="158">
        <f>+('3 Planilla Preadjudicación OTIC'!BH2)</f>
        <v>0</v>
      </c>
      <c r="BG2" s="6">
        <f>+('3 Planilla Preadjudicación OTIC'!BI2)</f>
        <v>7</v>
      </c>
      <c r="BH2" s="6">
        <f>+('3 Planilla Preadjudicación OTIC'!BJ2)</f>
        <v>7</v>
      </c>
      <c r="BI2" s="6">
        <f>+('3 Planilla Preadjudicación OTIC'!BK2)</f>
        <v>7</v>
      </c>
      <c r="BJ2" s="6">
        <f>+('3 Planilla Preadjudicación OTIC'!BL2)</f>
        <v>7</v>
      </c>
      <c r="BK2" s="6">
        <f>+('3 Planilla Preadjudicación OTIC'!BM2)</f>
        <v>7</v>
      </c>
      <c r="BL2" s="6">
        <f>+('3 Planilla Preadjudicación OTIC'!BN2)</f>
        <v>7</v>
      </c>
      <c r="BM2" s="108">
        <f>ROUND(('3 Planilla Preadjudicación OTIC'!BO2),1)</f>
        <v>6.4</v>
      </c>
      <c r="BN2" s="8" t="str">
        <f>+('3 Planilla Preadjudicación OTIC'!BP2)</f>
        <v>NO</v>
      </c>
      <c r="BO2" s="8" t="str">
        <f>+('3 Planilla Preadjudicación OTIC'!BQ2)</f>
        <v>ALVARO CARLOS</v>
      </c>
      <c r="BP2" s="8" t="str">
        <f>+('3 Planilla Preadjudicación OTIC'!BR2)</f>
        <v>a.avila@innovapymes.org</v>
      </c>
      <c r="BQ2" s="8">
        <f>+('3 Planilla Preadjudicación OTIC'!BS2)</f>
        <v>342358308</v>
      </c>
      <c r="BR2" s="8" t="str">
        <f>+('3 Planilla Preadjudicación OTIC'!BT2)</f>
        <v>Montevideo 2550, Renca</v>
      </c>
      <c r="BS2" s="8">
        <f>+('3 Planilla Preadjudicación OTIC'!BU2)</f>
        <v>0</v>
      </c>
      <c r="BT2" s="8">
        <f>+('3 Planilla Preadjudicación OTIC'!BV2)</f>
        <v>0</v>
      </c>
      <c r="BU2" s="89">
        <f>IF(VLOOKUP(A2,'BD OFICIAL'!$A$1:$AL$2099,7,0)=D2,0,1)</f>
        <v>0</v>
      </c>
      <c r="BV2" s="89">
        <f>IF(VLOOKUP(A2,'BD OFICIAL'!$A$1:$AL$2099,11,0)=J2,0,1)</f>
        <v>0</v>
      </c>
      <c r="BW2" s="89">
        <f>IF(VLOOKUP(A2,'BD OFICIAL'!$A$1:$AL$2099,13,0)=L2,0,1)</f>
        <v>0</v>
      </c>
      <c r="BX2" s="6">
        <f>IF(VLOOKUP(A2,'BD OFICIAL'!$A$1:$AL$2099,16,0)=O2,0,1)</f>
        <v>0</v>
      </c>
      <c r="BY2" s="6">
        <f>IF(VLOOKUP(A2,'BD OFICIAL'!$A$1:$AL$2099,17,0)=P2,0,1)</f>
        <v>0</v>
      </c>
      <c r="BZ2" s="6">
        <f>IF(VLOOKUP(A2,'BD OFICIAL'!$A$1:$AL$2099,19,0)=R2,0,1)</f>
        <v>0</v>
      </c>
      <c r="CA2" s="6">
        <f>IF(VLOOKUP(A2,'BD OFICIAL'!$A$1:$AL$2099,21,0)=T2,0,1)</f>
        <v>0</v>
      </c>
      <c r="CB2" s="6">
        <f>IF(VLOOKUP(A2,'BD OFICIAL'!$A$1:$AL$2099,24,0)=AK2,0,1)</f>
        <v>0</v>
      </c>
      <c r="CC2" s="6">
        <f>IF(VLOOKUP(A2,'BD OFICIAL'!$A$1:$AL$2099,25,0)=X2,0,1)</f>
        <v>0</v>
      </c>
      <c r="CD2" s="6">
        <f>IF(VLOOKUP(A2,'BD OFICIAL'!$A$1:$AL$2099,26,0)=Y2,0,1)</f>
        <v>0</v>
      </c>
      <c r="CE2" s="6">
        <f>IF(VLOOKUP(A2,'BD OFICIAL'!$A$1:$AL$2099,27,0)=Z2,0,1)</f>
        <v>0</v>
      </c>
      <c r="CF2" s="6">
        <f>IF(VLOOKUP(A2,'BD OFICIAL'!$A$1:$AL$2099,28,0)=AA2,0,1)</f>
        <v>0</v>
      </c>
      <c r="CG2" s="6">
        <f>IF(VLOOKUP(A2,'BD OFICIAL'!$A$1:$AL$1057,33,0)=AF2,0,1)</f>
        <v>0</v>
      </c>
      <c r="CH2" s="6">
        <f>IF(VLOOKUP(A2,'BD OFICIAL'!$A$1:$AL$2099,35,0)=AH2,0,1)</f>
        <v>0</v>
      </c>
      <c r="CI2" s="89">
        <f>IF(VLOOKUP(A2,'BD OFICIAL'!$A$1:$AL$2099,34,0)=AL2,0,1)</f>
        <v>0</v>
      </c>
      <c r="CJ2" s="89">
        <f>VLOOKUP(A2,'BD OFICIAL'!$A$1:$AM$2099,36,0)*AM2-AP2</f>
        <v>0</v>
      </c>
      <c r="CK2" s="89" t="str">
        <f t="shared" ref="CK2:CK49" si="0">IF(AND(AA2="SI",D2="EMERGENCIA"),"SHNOM",IF(AND(AA2="SI",D2="FONDOS REGIONALES"),"SHNOM",IF(AND(AA2="SI",D2="FONDOS CONCURSABLES"),"SHNOM",IF(AND(AA2="SI",D2="Mandato"),"SHMAN","SSH"))))</f>
        <v>SSH</v>
      </c>
      <c r="CL2" s="89" t="str">
        <f t="shared" ref="CL2:CL49" si="1">IF(J2="SIN PLAN FORMATIVO","NO","SI")</f>
        <v>SI</v>
      </c>
      <c r="CM2" s="89" t="str">
        <f t="shared" ref="CM2:CM49" si="2">IF(SUM(AZ2:BF2)&gt;0,"SI","NO")</f>
        <v>NO</v>
      </c>
      <c r="CN2" s="35">
        <f t="shared" ref="CN2:CN49" si="3">IF(AND(AV2="NO",CM2="NO"),0,1)*IF(AND(AV2="SI",CL2="SI",CM2="NO"),0,1)*IF(AND(AV2="SI",CL2="NO",CM2="SI"),0,1)</f>
        <v>0</v>
      </c>
      <c r="CO2" s="35">
        <f>IF(AND(AH2=1,AND(AM2&gt;=3500,AM2&lt;=4300)),0,IF(AND(AH2=2,AND(AM2&gt;=4301,AM2&lt;=5400)),0,IF(AND(AH2=3,AND(AM2&gt;=5401,AM2&lt;=6300)),0,1)))</f>
        <v>0</v>
      </c>
      <c r="CP2" s="35">
        <f>IF(AND(CJ2&gt;-1,CJ2&lt;1),0,1)</f>
        <v>0</v>
      </c>
      <c r="CQ2" s="35">
        <f>IF(VLOOKUP(A2,'BD OFICIAL'!$A:$AT,40,0)=AQ2,0,1)</f>
        <v>0</v>
      </c>
      <c r="CR2" s="35">
        <f>IF(VLOOKUP(A2,'BD OFICIAL'!$A:$AT,41,0)=AS2,0,1)</f>
        <v>0</v>
      </c>
      <c r="CS2" s="35">
        <f>IF(AND(CK2="SHNOM",AN2=275000),0,IF(AND(CK2="SHMAN",AN2&lt;=275000),0,IF(AND(CK2="SSH",AN2=0),0,1)))</f>
        <v>0</v>
      </c>
      <c r="CT2" s="35">
        <f t="shared" ref="CT2:CT49" si="4">IF(T2*AN2=AR2,0,1)</f>
        <v>0</v>
      </c>
      <c r="CU2" s="35">
        <f>IF(VLOOKUP(A2,'BD OFICIAL'!$A$1:$AL$1057,31,0)="SI",IF(AT2&gt;0,0,1),IF(AT2=0,0,1))</f>
        <v>0</v>
      </c>
      <c r="CV2" s="35">
        <f t="shared" ref="CV2:CV49" si="5">IF(AO2*T2-AT2=0,0,1)</f>
        <v>0</v>
      </c>
      <c r="CW2" s="35">
        <f t="shared" ref="CW2:CW49" si="6">IF((AP2+AQ2+AR2+AS2+AT2-AU2=0),0,1)</f>
        <v>0</v>
      </c>
      <c r="CX2" s="89" t="str">
        <f t="shared" ref="CX2:CX49" si="7">IF(AND(AV2="SI",SUM(BU2+BV2+BW2+BX2+BY2+BZ2+CA2+CB2+CC2+CD2+CE2+CF2+CG2+CH2+CI2+CJ2+CN2+CO2+CP2+CQ2+CR2+CS2+CT2+CU2+CV2+CW2)=0),"SI","NO")</f>
        <v>SI</v>
      </c>
      <c r="CY2" s="35">
        <f t="shared" ref="CY2:CY49" si="8">IF(AV2=CX2,0,1)</f>
        <v>0</v>
      </c>
      <c r="CZ2" s="89" t="str">
        <f>IF(ISERROR(VLOOKUP(AI2,EXPERIENCIA!$A$1:$C$2100,1,0)),"NO","SI")</f>
        <v>SI</v>
      </c>
      <c r="DA2" s="89">
        <f>IF(CX2="no","NO APLICA",IF(AX2=0,"ERROR NOTA",IF(AND(AX2&gt;1,CZ2="NO"),"ERROR NOTA",IF(AND(CZ2="NO",AX2=1),0,IF(VLOOKUP(AI2,EXPERIENCIA!$A$1:$C$2100,3,0)=AX2,0,"ERROR NOTA")))))</f>
        <v>0</v>
      </c>
      <c r="DB2" s="89" t="str">
        <f>IF(ISERROR(VLOOKUP(AI2,COMPORTAMIENTO!$A$1:$C$2100,1,0)),"NO","SI")</f>
        <v>SI</v>
      </c>
      <c r="DC2" s="89">
        <f>IF(CX2="NO","NO APLICA",IF(AY2=0,"ERROR NOTA",IF(AND(DB2="NO",AY2=7),0,IF(VLOOKUP(AI2,COMPORTAMIENTO!$A$2:$H$2100,8,0)=AY2,0,"ERROR NOTA"))))</f>
        <v>0</v>
      </c>
      <c r="DD2" s="108">
        <f t="shared" ref="DD2:DD49" si="9">IF(CX2="no","NO APLICA",IF(DA2=0,(AX2*0.1),"ERROR NOTA"))</f>
        <v>0.1</v>
      </c>
      <c r="DE2" s="108">
        <f t="shared" ref="DE2:DE49" si="10">IF(CX2="no","NO APLICA",IF(DC2=0,(AY2*0.1),"ERROR NOTA"))</f>
        <v>0.70000000000000007</v>
      </c>
      <c r="DF2" s="89" t="str">
        <f>IF(J2="","NO",IF(J2="SIN PLAN FORMATIVO","NO",IF(J2=0,"NO","SI")))</f>
        <v>SI</v>
      </c>
      <c r="DG2" s="89">
        <f t="shared" ref="DG2:DG49" si="11">IF(OR(CX2="NO",DF2="SI"),0,(AZ2*0.5+BA2*0.5))</f>
        <v>0</v>
      </c>
      <c r="DH2" s="89">
        <f t="shared" ref="DH2:DH49" si="12">IF(OR(CX2="NO",DF2="SI"),0,(BB2*0.15+BC2*0.25+BD2*0.2+BE2*0.25+BF2*0.15))</f>
        <v>0</v>
      </c>
      <c r="DI2" s="89">
        <f>IF(CX2="NO","NO APLICA",(DG2*0.35+DH2*0.65))</f>
        <v>0</v>
      </c>
      <c r="DJ2" s="16">
        <f t="shared" ref="DJ2:DJ33" si="13">IF(CX2="NO","NO APLICA",(BG2*0.3+BH2*0.3+BI2*0.2+BJ2*0.1+BK2*0.1))</f>
        <v>7.0000000000000009</v>
      </c>
      <c r="DK2" s="11">
        <f>IF(CX2="NO","NO APLICA",IF(DF2="NO",DI2*0.45+DJ2*0.55,DJ2))</f>
        <v>7.0000000000000009</v>
      </c>
      <c r="DL2" s="16">
        <f t="shared" ref="DL2:DL33" si="14">+(AM2)</f>
        <v>5075</v>
      </c>
      <c r="DM2" s="16">
        <f>VLOOKUP(A2,'5 TD'!$A$3:$B$35,2,0)</f>
        <v>5075</v>
      </c>
      <c r="DN2" s="11">
        <f>IF(CX2="SI",ROUND((DM2/AM2)*7,1),"NO APLICA")</f>
        <v>7</v>
      </c>
      <c r="DO2" s="89" t="str">
        <f>IF(DN2="NO APLICA","NO APLICA",IF(AND(DN2=BL2),"APROBADO","ERROR NOTA"))</f>
        <v>APROBADO</v>
      </c>
      <c r="DP2" s="89" t="str">
        <f>IF(CX2="NO","NO APLICA",IF(AND(DA2&lt;&gt;"NO APLICA",DA2&lt;&gt;"ERROR NOTA",DC2&lt;&gt;"NO APLICA",DC2&lt;&gt;"ERROR NOTA",DO2&lt;&gt;"ERROR NOTA"),"APROBADO"))</f>
        <v>APROBADO</v>
      </c>
      <c r="DQ2" s="11">
        <f>IF(DP2="APROBADO",ROUND((DD2+DE2+0.75*DK2+DN2*0.05),1),IF(DP2="ERROR NOTA","ERROR NOTA","NO APLICA"))</f>
        <v>6.4</v>
      </c>
      <c r="DR2" s="89" t="str">
        <f>IF(AND(DP2="APROBADO",DQ2=BM2),"APROBADO",IF(AND(DP2="APROBADO",DQ2&lt;&gt;BM2),"ERROR NOTA","NO APLICA"))</f>
        <v>APROBADO</v>
      </c>
      <c r="DS2" s="6" t="str">
        <f>+('3 Planilla Preadjudicación OTIC'!BP2)</f>
        <v>NO</v>
      </c>
      <c r="DT2" s="6">
        <f>IF(DR2="APROBADO",VLOOKUP(A2,'5 TD'!$D$3:$E$270,2,0),"NO APLICA")</f>
        <v>6.6</v>
      </c>
      <c r="DU2" s="6" t="str">
        <f>IF(DT2="NO APLICA","NO APLICA",IF(DT2=DQ2,"SI","NO"))</f>
        <v>NO</v>
      </c>
      <c r="DV2" s="6" t="str">
        <f>IF(DU2="SI",VLOOKUP(A2,'5 TD'!$G$3:$H$270,2,0),"NO APLICA ")</f>
        <v xml:space="preserve">NO APLICA </v>
      </c>
      <c r="DW2" s="6" t="str">
        <f t="shared" ref="DW2:DW31" si="15">IF(DV2="NO APLICA","NO",IF(DV2=DJ2,"SI","NO"))</f>
        <v>NO</v>
      </c>
      <c r="DX2" s="6" t="str">
        <f>IF(DW2="SI",VLOOKUP(A2,'5 TD'!$J$4:$K$472,2,0),"NO APLICA")</f>
        <v>NO APLICA</v>
      </c>
      <c r="DY2" s="6" t="str">
        <f t="shared" ref="DY2:DY33" si="16">IF(DX2="NO APLICA","NO APLICA",IF(DX2=AY2,"SI","NO"))</f>
        <v>NO APLICA</v>
      </c>
      <c r="DZ2" s="11" t="str">
        <f>IF(DY2="SI",VLOOKUP(A2,'5 TD'!$M$4:$N$350,2,0),"NO APLICA")</f>
        <v>NO APLICA</v>
      </c>
      <c r="EA2" s="6" t="str">
        <f t="shared" ref="EA2:EA33" si="17">IF(DZ2="NO APLICA","NO APLICA",IF(DZ2=AX2,"SI","NO"))</f>
        <v>NO APLICA</v>
      </c>
      <c r="EB2" s="16" t="str">
        <f t="shared" ref="EB2:EB33" si="18">IF(EA2="SI",AM2,"")</f>
        <v/>
      </c>
      <c r="EC2" s="16" t="str">
        <f>IF(EA2="SI",VLOOKUP(A2,'5 TD'!$V$4:$W$479,2,0),"NO APLICA")</f>
        <v>NO APLICA</v>
      </c>
      <c r="ED2" s="6" t="str">
        <f>IF(AND(EA2="SI",EB2=EC2),"SI","NO")</f>
        <v>NO</v>
      </c>
      <c r="EE2" s="83" t="str">
        <f>IF(ED2="SI",VLOOKUP(AI2,COMPORTAMIENTO!$A$1:$H$2100,7,0),"NO APLICA")</f>
        <v>NO APLICA</v>
      </c>
      <c r="EF2" s="16" t="str">
        <f>IF(ED2="SI",VLOOKUP(A2,'5 TD'!$P$2:$Q$479,2,0),"NO APLICA")</f>
        <v>NO APLICA</v>
      </c>
      <c r="EG2" s="6" t="str">
        <f>IF(AND(ED2="SI",EE2=EF2),"SI","NO")</f>
        <v>NO</v>
      </c>
      <c r="EH2" s="6">
        <f>IF(CZ2="no",0,VLOOKUP(AI2,EXPERIENCIA!$A$1:$C$2100,2,0))</f>
        <v>2</v>
      </c>
      <c r="EI2" s="6">
        <f>IF(CZ2="si",VLOOKUP(A2,'5 TD'!$S$3:$T$2103,2,0),0)</f>
        <v>43</v>
      </c>
      <c r="EJ2" s="6" t="str">
        <f>IF(EI2="NO APLICA","NO",IF(EI2=EH2,"SI","NO"))</f>
        <v>NO</v>
      </c>
      <c r="EK2" s="6">
        <f>+('3 Planilla Preadjudicación OTIC'!BW2)</f>
        <v>0</v>
      </c>
    </row>
    <row r="3" spans="1:147" s="90" customFormat="1" x14ac:dyDescent="0.2">
      <c r="A3" s="6">
        <f>+('3 Planilla Preadjudicación OTIC'!A3)</f>
        <v>14386</v>
      </c>
      <c r="B3" s="6" t="str">
        <f>+('3 Planilla Preadjudicación OTIC'!B3)</f>
        <v>SOFOFA</v>
      </c>
      <c r="C3" s="8">
        <f>+('3 Planilla Preadjudicación OTIC'!E3)</f>
        <v>2025</v>
      </c>
      <c r="D3" s="8" t="str">
        <f>+('3 Planilla Preadjudicación OTIC'!F3)</f>
        <v>MANDATO</v>
      </c>
      <c r="E3" s="8" t="str">
        <f>+('3 Planilla Preadjudicación OTIC'!G3)</f>
        <v>65181652-1</v>
      </c>
      <c r="F3" s="8" t="str">
        <f>+('3 Planilla Preadjudicación OTIC'!H3)</f>
        <v>SOFOFA</v>
      </c>
      <c r="G3" s="8" t="str">
        <f>+('3 Planilla Preadjudicación OTIC'!I3)</f>
        <v>65140022-8</v>
      </c>
      <c r="H3" s="8" t="str">
        <f>+('3 Planilla Preadjudicación OTIC'!J3)</f>
        <v>FUTURO DEL TRABAJO</v>
      </c>
      <c r="I3" s="8" t="str">
        <f>+('3 Planilla Preadjudicación OTIC'!K3)</f>
        <v>MOVILIZADOR DE CARGA</v>
      </c>
      <c r="J3" s="8" t="str">
        <f>+('3 Planilla Preadjudicación OTIC'!L3)</f>
        <v>PF0739</v>
      </c>
      <c r="K3" s="8" t="str">
        <f>+('3 Planilla Preadjudicación OTIC'!M3)</f>
        <v/>
      </c>
      <c r="L3" s="8" t="str">
        <f>+('3 Planilla Preadjudicación OTIC'!N3)</f>
        <v/>
      </c>
      <c r="M3" s="6">
        <f>+('3 Planilla Preadjudicación OTIC'!O3)</f>
        <v>13</v>
      </c>
      <c r="N3" s="8">
        <f>+('3 Planilla Preadjudicación OTIC'!P3)</f>
        <v>0</v>
      </c>
      <c r="O3" s="8" t="str">
        <f>+('3 Planilla Preadjudicación OTIC'!Q3)</f>
        <v>RENCA</v>
      </c>
      <c r="P3" s="8" t="str">
        <f>+('3 Planilla Preadjudicación OTIC'!R3)</f>
        <v>ESTUDIANTES DE CUARTO AÑO DE ENSEÑANZA MEDIA O DE LICEOS TÉCNICOS PROFESIONALES.</v>
      </c>
      <c r="Q3" s="8" t="str">
        <f>+('3 Planilla Preadjudicación OTIC'!S3)</f>
        <v>PRESENCIAL</v>
      </c>
      <c r="R3" s="8" t="str">
        <f>+('3 Planilla Preadjudicación OTIC'!T3)</f>
        <v>DEPENDIENTE</v>
      </c>
      <c r="S3" s="8" t="str">
        <f>+('3 Planilla Preadjudicación OTIC'!U3)</f>
        <v>03. LUNES - VESPERTINO / 06. MARTES - VESPERTINO / 09. MIÉRCOLES - VESPERTINO / 12. JUEVES - VESPERTINO / 15. VIERNES - VESPERTINO</v>
      </c>
      <c r="T3" s="6">
        <f>+('3 Planilla Preadjudicación OTIC'!V3)</f>
        <v>14</v>
      </c>
      <c r="U3" s="6">
        <f>+('3 Planilla Preadjudicación OTIC'!W3)</f>
        <v>120</v>
      </c>
      <c r="V3" s="6">
        <f>+('3 Planilla Preadjudicación OTIC'!X3)</f>
        <v>0</v>
      </c>
      <c r="W3" s="6">
        <f>+('3 Planilla Preadjudicación OTIC'!Y3)</f>
        <v>120</v>
      </c>
      <c r="X3" s="6">
        <f>+('3 Planilla Preadjudicación OTIC'!Z3)</f>
        <v>4</v>
      </c>
      <c r="Y3" s="6" t="str">
        <f>+('3 Planilla Preadjudicación OTIC'!AA3)</f>
        <v>SI</v>
      </c>
      <c r="Z3" s="6" t="str">
        <f>+('3 Planilla Preadjudicación OTIC'!AB3)</f>
        <v>NO</v>
      </c>
      <c r="AA3" s="6" t="str">
        <f>+('3 Planilla Preadjudicación OTIC'!AC3)</f>
        <v>NO</v>
      </c>
      <c r="AB3" s="8">
        <f>+('3 Planilla Preadjudicación OTIC'!AD3)</f>
        <v>0</v>
      </c>
      <c r="AC3" s="8" t="str">
        <f>+('3 Planilla Preadjudicación OTIC'!AE3)</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3" s="6" t="str">
        <f>+('3 Planilla Preadjudicación OTIC'!AF3)</f>
        <v>NO</v>
      </c>
      <c r="AE3" s="8">
        <f>+('3 Planilla Preadjudicación OTIC'!AG3)</f>
        <v>0</v>
      </c>
      <c r="AF3" s="6" t="str">
        <f>+('3 Planilla Preadjudicación OTIC'!AH3)</f>
        <v>CERRADA</v>
      </c>
      <c r="AG3" s="6">
        <f>+('3 Planilla Preadjudicación OTIC'!AI3)</f>
        <v>30</v>
      </c>
      <c r="AH3" s="6">
        <f>+('3 Planilla Preadjudicación OTIC'!AJ3)</f>
        <v>3</v>
      </c>
      <c r="AI3" s="140" t="str">
        <f>+('3 Planilla Preadjudicación OTIC'!AK3)</f>
        <v>76102946-0</v>
      </c>
      <c r="AJ3" s="8" t="str">
        <f>+('3 Planilla Preadjudicación OTIC'!AL3)</f>
        <v>CAPACITACIONES INNOVA PYMES LTDA</v>
      </c>
      <c r="AK3" s="6">
        <f>+('3 Planilla Preadjudicación OTIC'!AM3)</f>
        <v>120</v>
      </c>
      <c r="AL3" s="6">
        <f>+('3 Planilla Preadjudicación OTIC'!AN3)</f>
        <v>30</v>
      </c>
      <c r="AM3" s="16">
        <f>+('3 Planilla Preadjudicación OTIC'!AO3)</f>
        <v>6373</v>
      </c>
      <c r="AN3" s="16">
        <f>+('3 Planilla Preadjudicación OTIC'!AP3)</f>
        <v>0</v>
      </c>
      <c r="AO3" s="16">
        <f>+('3 Planilla Preadjudicación OTIC'!AQ3)</f>
        <v>0</v>
      </c>
      <c r="AP3" s="16">
        <f>+('3 Planilla Preadjudicación OTIC'!AR3)</f>
        <v>10706640</v>
      </c>
      <c r="AQ3" s="16">
        <f>+('3 Planilla Preadjudicación OTIC'!AS3)</f>
        <v>1680000</v>
      </c>
      <c r="AR3" s="16">
        <f>+('3 Planilla Preadjudicación OTIC'!AT3)</f>
        <v>0</v>
      </c>
      <c r="AS3" s="16">
        <f>+('3 Planilla Preadjudicación OTIC'!AU3)</f>
        <v>0</v>
      </c>
      <c r="AT3" s="16">
        <f>+('3 Planilla Preadjudicación OTIC'!AV3)</f>
        <v>0</v>
      </c>
      <c r="AU3" s="16">
        <f>+('3 Planilla Preadjudicación OTIC'!AW3)</f>
        <v>12386640</v>
      </c>
      <c r="AV3" s="158" t="str">
        <f>+('3 Planilla Preadjudicación OTIC'!AX3)</f>
        <v>SI</v>
      </c>
      <c r="AW3" s="8">
        <f>+('3 Planilla Preadjudicación OTIC'!AY3)</f>
        <v>0</v>
      </c>
      <c r="AX3" s="6">
        <f>+('3 Planilla Preadjudicación OTIC'!AZ3)</f>
        <v>1</v>
      </c>
      <c r="AY3" s="6">
        <f>+('3 Planilla Preadjudicación OTIC'!BA3)</f>
        <v>7</v>
      </c>
      <c r="AZ3" s="6">
        <f>+('3 Planilla Preadjudicación OTIC'!BB3)</f>
        <v>0</v>
      </c>
      <c r="BA3" s="6">
        <f>+('3 Planilla Preadjudicación OTIC'!BC3)</f>
        <v>0</v>
      </c>
      <c r="BB3" s="6">
        <f>+('3 Planilla Preadjudicación OTIC'!BD3)</f>
        <v>0</v>
      </c>
      <c r="BC3" s="6">
        <f>+('3 Planilla Preadjudicación OTIC'!BE3)</f>
        <v>0</v>
      </c>
      <c r="BD3" s="6">
        <f>+('3 Planilla Preadjudicación OTIC'!BF3)</f>
        <v>0</v>
      </c>
      <c r="BE3" s="6">
        <f>+('3 Planilla Preadjudicación OTIC'!BG3)</f>
        <v>0</v>
      </c>
      <c r="BF3" s="6">
        <f>+('3 Planilla Preadjudicación OTIC'!BH3)</f>
        <v>0</v>
      </c>
      <c r="BG3" s="6">
        <f>+('3 Planilla Preadjudicación OTIC'!BI3)</f>
        <v>7</v>
      </c>
      <c r="BH3" s="6">
        <f>+('3 Planilla Preadjudicación OTIC'!BJ3)</f>
        <v>7</v>
      </c>
      <c r="BI3" s="6">
        <f>+('3 Planilla Preadjudicación OTIC'!BK3)</f>
        <v>7</v>
      </c>
      <c r="BJ3" s="6">
        <f>+('3 Planilla Preadjudicación OTIC'!BL3)</f>
        <v>7</v>
      </c>
      <c r="BK3" s="6">
        <f>+('3 Planilla Preadjudicación OTIC'!BM3)</f>
        <v>7</v>
      </c>
      <c r="BL3" s="6">
        <f>+('3 Planilla Preadjudicación OTIC'!BN3)</f>
        <v>7</v>
      </c>
      <c r="BM3" s="108">
        <f>ROUND(('3 Planilla Preadjudicación OTIC'!BO3),1)</f>
        <v>6.4</v>
      </c>
      <c r="BN3" s="8" t="str">
        <f>+('3 Planilla Preadjudicación OTIC'!BP3)</f>
        <v>SI</v>
      </c>
      <c r="BO3" s="8" t="str">
        <f>+('3 Planilla Preadjudicación OTIC'!BQ3)</f>
        <v>ALVARO CARLOS</v>
      </c>
      <c r="BP3" s="8" t="str">
        <f>+('3 Planilla Preadjudicación OTIC'!BR3)</f>
        <v>a.avila@innovapymes.org</v>
      </c>
      <c r="BQ3" s="8">
        <f>+('3 Planilla Preadjudicación OTIC'!BS3)</f>
        <v>342358308</v>
      </c>
      <c r="BR3" s="8" t="str">
        <f>+('3 Planilla Preadjudicación OTIC'!BT3)</f>
        <v>Montevideo 2550, Renca</v>
      </c>
      <c r="BS3" s="8" t="str">
        <f>+('3 Planilla Preadjudicación OTIC'!BU3)</f>
        <v>Capacitar al participante para organizar, ejecutar y controlar actividades de movilización y distribución de cargas, aplicando normas de seguridad y procedimientos administrativos en entornos portuarios o industriales.</v>
      </c>
      <c r="BT3" s="8" t="str">
        <f>+('3 Planilla Preadjudicación OTIC'!BV3)</f>
        <v>Este curso entrega conocimientos técnicos y prácticos para movilizar cargas de forma segura y eficiente, incluyendo el uso de equipos de izaje, señalética manual, documentación de faena y evaluación del rendimiento operativo del turno</v>
      </c>
      <c r="BU3" s="89">
        <f>IF(VLOOKUP(A3,'BD OFICIAL'!$A$1:$AL$2099,7,0)=D3,0,1)</f>
        <v>0</v>
      </c>
      <c r="BV3" s="89">
        <f>IF(VLOOKUP(A3,'BD OFICIAL'!$A$1:$AL$2099,11,0)=J3,0,1)</f>
        <v>0</v>
      </c>
      <c r="BW3" s="89">
        <f>IF(VLOOKUP(A3,'BD OFICIAL'!$A$1:$AL$2099,13,0)=L3,0,1)</f>
        <v>0</v>
      </c>
      <c r="BX3" s="6">
        <f>IF(VLOOKUP(A3,'BD OFICIAL'!$A$1:$AL$2099,16,0)=O3,0,1)</f>
        <v>0</v>
      </c>
      <c r="BY3" s="6">
        <f>IF(VLOOKUP(A3,'BD OFICIAL'!$A$1:$AL$2099,17,0)=P3,0,1)</f>
        <v>0</v>
      </c>
      <c r="BZ3" s="6">
        <f>IF(VLOOKUP(A3,'BD OFICIAL'!$A$1:$AL$2099,19,0)=R3,0,1)</f>
        <v>0</v>
      </c>
      <c r="CA3" s="6">
        <f>IF(VLOOKUP(A3,'BD OFICIAL'!$A$1:$AL$2099,21,0)=T3,0,1)</f>
        <v>0</v>
      </c>
      <c r="CB3" s="6">
        <f>IF(VLOOKUP(A3,'BD OFICIAL'!$A$1:$AL$2099,24,0)=AK3,0,1)</f>
        <v>0</v>
      </c>
      <c r="CC3" s="6">
        <f>IF(VLOOKUP(A3,'BD OFICIAL'!$A$1:$AL$2099,25,0)=X3,0,1)</f>
        <v>0</v>
      </c>
      <c r="CD3" s="6">
        <f>IF(VLOOKUP(A3,'BD OFICIAL'!$A$1:$AL$2099,26,0)=Y3,0,1)</f>
        <v>0</v>
      </c>
      <c r="CE3" s="6">
        <f>IF(VLOOKUP(A3,'BD OFICIAL'!$A$1:$AL$2099,27,0)=Z3,0,1)</f>
        <v>0</v>
      </c>
      <c r="CF3" s="6">
        <f>IF(VLOOKUP(A3,'BD OFICIAL'!$A$1:$AL$2099,28,0)=AA3,0,1)</f>
        <v>0</v>
      </c>
      <c r="CG3" s="6">
        <f>IF(VLOOKUP(A3,'BD OFICIAL'!$A$1:$AL$1057,33,0)=AF3,0,1)</f>
        <v>0</v>
      </c>
      <c r="CH3" s="6">
        <f>IF(VLOOKUP(A3,'BD OFICIAL'!$A$1:$AL$2099,35,0)=AH3,0,1)</f>
        <v>0</v>
      </c>
      <c r="CI3" s="89">
        <f>IF(VLOOKUP(A3,'BD OFICIAL'!$A$1:$AL$2099,34,0)=AL3,0,1)</f>
        <v>0</v>
      </c>
      <c r="CJ3" s="89">
        <f>VLOOKUP(A3,'BD OFICIAL'!$A$1:$AM$2099,36,0)*AM3-AP3</f>
        <v>0</v>
      </c>
      <c r="CK3" s="89" t="str">
        <f t="shared" si="0"/>
        <v>SSH</v>
      </c>
      <c r="CL3" s="89" t="str">
        <f t="shared" si="1"/>
        <v>SI</v>
      </c>
      <c r="CM3" s="89" t="str">
        <f t="shared" si="2"/>
        <v>NO</v>
      </c>
      <c r="CN3" s="35">
        <f t="shared" si="3"/>
        <v>0</v>
      </c>
      <c r="CO3" s="35">
        <f t="shared" ref="CO3:CO49" si="19">IF(AND(AH3=1,AND(AM3&gt;=4130,AM3&lt;=5074)),0,IF(AND(AH3=2,AND(AM3&gt;=5075,AM3&lt;=6372)),0,IF(AND(AH3=3,AND(AM3&gt;=6373,AM3&lt;=7434)),0,1)))</f>
        <v>0</v>
      </c>
      <c r="CP3" s="35">
        <f t="shared" ref="CP3:CP49" si="20">IF(AND(CJ3&gt;-1,CJ3&lt;1),0,1)</f>
        <v>0</v>
      </c>
      <c r="CQ3" s="35">
        <f>IF(VLOOKUP(A3,'BD OFICIAL'!$A:$AT,40,0)=AQ3,0,1)</f>
        <v>0</v>
      </c>
      <c r="CR3" s="35">
        <f>IF(VLOOKUP(A3,'BD OFICIAL'!$A:$AT,41,0)=AS3,0,1)</f>
        <v>0</v>
      </c>
      <c r="CS3" s="35">
        <f t="shared" ref="CS3:CS49" si="21">IF(AND(CK3="SHNOM",AN3=250000),0,IF(AND(CK3="SHMAN",AN3&lt;=250000),0,IF(AND(CK3="SSH",AN3=0),0,1)))</f>
        <v>0</v>
      </c>
      <c r="CT3" s="35">
        <f t="shared" si="4"/>
        <v>0</v>
      </c>
      <c r="CU3" s="35">
        <f>IF(VLOOKUP(A3,'BD OFICIAL'!$A$1:$AL$1057,31,0)="SI",IF(AT3&gt;0,0,1),IF(AT3=0,0,1))</f>
        <v>0</v>
      </c>
      <c r="CV3" s="35">
        <f t="shared" si="5"/>
        <v>0</v>
      </c>
      <c r="CW3" s="35">
        <f t="shared" si="6"/>
        <v>0</v>
      </c>
      <c r="CX3" s="89" t="str">
        <f t="shared" si="7"/>
        <v>SI</v>
      </c>
      <c r="CY3" s="35">
        <f t="shared" si="8"/>
        <v>0</v>
      </c>
      <c r="CZ3" s="89" t="str">
        <f>IF(ISERROR(VLOOKUP(AI3,EXPERIENCIA!$A$1:$C$2100,1,0)),"NO","SI")</f>
        <v>SI</v>
      </c>
      <c r="DA3" s="89">
        <f>IF(CX3="no","NO APLICA",IF(AX3=0,"ERROR NOTA",IF(AND(AX3&gt;1,CZ3="NO"),"ERROR NOTA",IF(AND(CZ3="NO",AX3=1),0,IF(VLOOKUP(AI3,EXPERIENCIA!$A$1:$C$2100,3,0)=AX3,0,"ERROR NOTA")))))</f>
        <v>0</v>
      </c>
      <c r="DB3" s="89" t="str">
        <f>IF(ISERROR(VLOOKUP(AI3,COMPORTAMIENTO!$A$1:$C$2100,1,0)),"NO","SI")</f>
        <v>SI</v>
      </c>
      <c r="DC3" s="89">
        <f>IF(CX3="NO","NO APLICA",IF(AY3=0,"ERROR NOTA",IF(AND(DB3="NO",AY3=7),0,IF(VLOOKUP(AI3,COMPORTAMIENTO!$A$2:$H$2100,8,0)=AY3,0,"ERROR NOTA"))))</f>
        <v>0</v>
      </c>
      <c r="DD3" s="108">
        <f t="shared" si="9"/>
        <v>0.1</v>
      </c>
      <c r="DE3" s="108">
        <f t="shared" si="10"/>
        <v>0.70000000000000007</v>
      </c>
      <c r="DF3" s="89" t="str">
        <f t="shared" ref="DF3:DF51" si="22">IF(J3="","NO",IF(J3="SIN PLAN FORMATIVO","NO",IF(J3=0,"NO","SI")))</f>
        <v>SI</v>
      </c>
      <c r="DG3" s="89">
        <f t="shared" si="11"/>
        <v>0</v>
      </c>
      <c r="DH3" s="89">
        <f t="shared" si="12"/>
        <v>0</v>
      </c>
      <c r="DI3" s="89">
        <f t="shared" ref="DI3:DI49" si="23">IF(CX3="NO","NO APLICA",(DG3*0.35+DH3*0.65))</f>
        <v>0</v>
      </c>
      <c r="DJ3" s="16">
        <f t="shared" si="13"/>
        <v>7.0000000000000009</v>
      </c>
      <c r="DK3" s="11">
        <f t="shared" ref="DK3:DK51" si="24">IF(CX3="NO","NO APLICA",IF(DF3="NO",DI3*0.45+DJ3*0.55,DJ3))</f>
        <v>7.0000000000000009</v>
      </c>
      <c r="DL3" s="16">
        <f t="shared" si="14"/>
        <v>6373</v>
      </c>
      <c r="DM3" s="16">
        <f>VLOOKUP(A3,'5 TD'!$A$3:$B$35,2,0)</f>
        <v>6373</v>
      </c>
      <c r="DN3" s="11">
        <f t="shared" ref="DN3:DN51" si="25">IF(CX3="SI",ROUND((DM3/AM3)*7,1),"NO APLICA")</f>
        <v>7</v>
      </c>
      <c r="DO3" s="89" t="str">
        <f t="shared" ref="DO3:DO51" si="26">IF(DN3="NO APLICA","NO APLICA",IF(AND(DN3=BL3),"APROBADO","ERROR NOTA"))</f>
        <v>APROBADO</v>
      </c>
      <c r="DP3" s="89" t="str">
        <f t="shared" ref="DP3:DP51" si="27">IF(CX3="NO","NO APLICA",IF(AND(DA3&lt;&gt;"NO APLICA",DA3&lt;&gt;"ERROR NOTA",DC3&lt;&gt;"NO APLICA",DC3&lt;&gt;"ERROR NOTA",DO3&lt;&gt;"ERROR NOTA"),"APROBADO"))</f>
        <v>APROBADO</v>
      </c>
      <c r="DQ3" s="11">
        <f t="shared" ref="DQ3:DQ51" si="28">IF(DP3="APROBADO",ROUND((DD3+DE3+0.75*DK3+DN3*0.05),1),IF(DP3="ERROR NOTA","ERROR NOTA","NO APLICA"))</f>
        <v>6.4</v>
      </c>
      <c r="DR3" s="89" t="str">
        <f t="shared" ref="DR3:DR51" si="29">IF(AND(DP3="APROBADO",DQ3=BM3),"APROBADO",IF(AND(DP3="APROBADO",DQ3&lt;&gt;BM3),"ERROR NOTA","NO APLICA"))</f>
        <v>APROBADO</v>
      </c>
      <c r="DS3" s="6" t="str">
        <f>+('3 Planilla Preadjudicación OTIC'!BP3)</f>
        <v>SI</v>
      </c>
      <c r="DT3" s="6">
        <f>IF(DR3="APROBADO",VLOOKUP(A3,'5 TD'!$D$3:$E$270,2,0),"NO APLICA")</f>
        <v>6.4</v>
      </c>
      <c r="DU3" s="6" t="str">
        <f t="shared" ref="DU3:DU49" si="30">IF(DT3="NO APLICA","NO APLICA",IF(DT3=DQ3,"SI","NO"))</f>
        <v>SI</v>
      </c>
      <c r="DV3" s="6">
        <f>IF(DU3="SI",VLOOKUP(A3,'5 TD'!$G$3:$H$270,2,0),"NO APLICA ")</f>
        <v>7.0000000000000009</v>
      </c>
      <c r="DW3" s="6" t="str">
        <f t="shared" si="15"/>
        <v>SI</v>
      </c>
      <c r="DX3" s="6">
        <f>IF(DW3="SI",VLOOKUP(A3,'5 TD'!$J$4:$K$472,2,0),"NO APLICA")</f>
        <v>7</v>
      </c>
      <c r="DY3" s="6" t="str">
        <f t="shared" si="16"/>
        <v>SI</v>
      </c>
      <c r="DZ3" s="11">
        <f>IF(DY3="SI",VLOOKUP(A3,'5 TD'!$M$4:$N$350,2,0),"NO APLICA")</f>
        <v>1</v>
      </c>
      <c r="EA3" s="6" t="str">
        <f t="shared" si="17"/>
        <v>SI</v>
      </c>
      <c r="EB3" s="16">
        <f t="shared" si="18"/>
        <v>6373</v>
      </c>
      <c r="EC3" s="16">
        <f>IF(EA3="SI",VLOOKUP(A3,'5 TD'!$V$4:$W$479,2,0),"NO APLICA")</f>
        <v>6373</v>
      </c>
      <c r="ED3" s="6" t="str">
        <f t="shared" ref="ED3:ED49" si="31">IF(AND(EA3="SI",EB3=EC3),"SI","NO")</f>
        <v>SI</v>
      </c>
      <c r="EE3" s="83">
        <f>IF(ED3="SI",VLOOKUP(AI3,COMPORTAMIENTO!$A$1:$H$2100,7,0),"NO APLICA")</f>
        <v>0</v>
      </c>
      <c r="EF3" s="16">
        <f>IF(ED3="SI",VLOOKUP(A3,'5 TD'!$P$2:$Q$479,2,0),"NO APLICA")</f>
        <v>0</v>
      </c>
      <c r="EG3" s="6" t="str">
        <f t="shared" ref="EG3:EG49" si="32">IF(AND(ED3="SI",EE3=EF3),"SI","NO")</f>
        <v>SI</v>
      </c>
      <c r="EH3" s="6">
        <f>IF(CZ3="no",0,VLOOKUP(AI3,EXPERIENCIA!$A$1:$C$2100,2,0))</f>
        <v>2</v>
      </c>
      <c r="EI3" s="6">
        <f>IF(CZ3="si",VLOOKUP(A3,'5 TD'!$S$3:$T$2103,2,0),0)</f>
        <v>2</v>
      </c>
      <c r="EJ3" s="6" t="str">
        <f t="shared" ref="EJ3:EJ49" si="33">IF(EI3="NO APLICA","NO",IF(EI3=EH3,"SI","NO"))</f>
        <v>SI</v>
      </c>
      <c r="EK3" s="6">
        <f>+('3 Planilla Preadjudicación OTIC'!BW3)</f>
        <v>0</v>
      </c>
      <c r="EO3" s="209" t="s">
        <v>2387</v>
      </c>
      <c r="EQ3" s="7"/>
    </row>
    <row r="4" spans="1:147" s="34" customFormat="1" ht="12.75" x14ac:dyDescent="0.2">
      <c r="A4" s="6">
        <f>+('3 Planilla Preadjudicación OTIC'!A4)</f>
        <v>14387</v>
      </c>
      <c r="B4" s="6" t="str">
        <f>+('3 Planilla Preadjudicación OTIC'!B4)</f>
        <v>SOFOFA</v>
      </c>
      <c r="C4" s="8">
        <f>+('3 Planilla Preadjudicación OTIC'!E4)</f>
        <v>2025</v>
      </c>
      <c r="D4" s="8" t="str">
        <f>+('3 Planilla Preadjudicación OTIC'!F4)</f>
        <v>MANDATO</v>
      </c>
      <c r="E4" s="8" t="str">
        <f>+('3 Planilla Preadjudicación OTIC'!G4)</f>
        <v>65181652-1</v>
      </c>
      <c r="F4" s="8" t="str">
        <f>+('3 Planilla Preadjudicación OTIC'!H4)</f>
        <v>SOFOFA</v>
      </c>
      <c r="G4" s="8" t="str">
        <f>+('3 Planilla Preadjudicación OTIC'!I4)</f>
        <v>65140022-8</v>
      </c>
      <c r="H4" s="8" t="str">
        <f>+('3 Planilla Preadjudicación OTIC'!J4)</f>
        <v>FUTURO DEL TRABAJO</v>
      </c>
      <c r="I4" s="8" t="str">
        <f>+('3 Planilla Preadjudicación OTIC'!K4)</f>
        <v>OPERACIONES DE CARGA FRONTAL</v>
      </c>
      <c r="J4" s="8" t="str">
        <f>+('3 Planilla Preadjudicación OTIC'!L4)</f>
        <v>PF0795</v>
      </c>
      <c r="K4" s="8">
        <f>+('3 Planilla Preadjudicación OTIC'!M4)</f>
        <v>0</v>
      </c>
      <c r="L4" s="8" t="str">
        <f>+('3 Planilla Preadjudicación OTIC'!N4)</f>
        <v/>
      </c>
      <c r="M4" s="6">
        <f>+('3 Planilla Preadjudicación OTIC'!O4)</f>
        <v>13</v>
      </c>
      <c r="N4" s="8">
        <f>+('3 Planilla Preadjudicación OTIC'!P4)</f>
        <v>0</v>
      </c>
      <c r="O4" s="8" t="str">
        <f>+('3 Planilla Preadjudicación OTIC'!Q4)</f>
        <v>RENCA</v>
      </c>
      <c r="P4" s="8" t="str">
        <f>+('3 Planilla Preadjudicación OTIC'!R4)</f>
        <v>EMPRENDEDORES/AS INFORMALES O PERSONAS VULNERABLES PERTENECIENTES AL 80% MAS VULNERABLE</v>
      </c>
      <c r="Q4" s="8" t="str">
        <f>+('3 Planilla Preadjudicación OTIC'!S4)</f>
        <v>PRESENCIAL</v>
      </c>
      <c r="R4" s="8" t="str">
        <f>+('3 Planilla Preadjudicación OTIC'!T4)</f>
        <v>DEPENDIENTE</v>
      </c>
      <c r="S4" s="8" t="str">
        <f>+('3 Planilla Preadjudicación OTIC'!U4)</f>
        <v>03. LUNES - VESPERTINO / 06. MARTES - VESPERTINO / 09. MIÉRCOLES - VESPERTINO / 12. JUEVES - VESPERTINO / 15. VIERNES - VESPERTINO</v>
      </c>
      <c r="T4" s="6">
        <f>+('3 Planilla Preadjudicación OTIC'!V4)</f>
        <v>14</v>
      </c>
      <c r="U4" s="6">
        <f>+('3 Planilla Preadjudicación OTIC'!W4)</f>
        <v>240</v>
      </c>
      <c r="V4" s="6">
        <f>+('3 Planilla Preadjudicación OTIC'!X4)</f>
        <v>0</v>
      </c>
      <c r="W4" s="6">
        <f>+('3 Planilla Preadjudicación OTIC'!Y4)</f>
        <v>240</v>
      </c>
      <c r="X4" s="6">
        <f>+('3 Planilla Preadjudicación OTIC'!Z4)</f>
        <v>4</v>
      </c>
      <c r="Y4" s="6" t="str">
        <f>+('3 Planilla Preadjudicación OTIC'!AA4)</f>
        <v>SI</v>
      </c>
      <c r="Z4" s="6" t="str">
        <f>+('3 Planilla Preadjudicación OTIC'!AB4)</f>
        <v>NO</v>
      </c>
      <c r="AA4" s="6" t="str">
        <f>+('3 Planilla Preadjudicación OTIC'!AC4)</f>
        <v>NO</v>
      </c>
      <c r="AB4" s="8">
        <f>+('3 Planilla Preadjudicación OTIC'!AD4)</f>
        <v>0</v>
      </c>
      <c r="AC4" s="8" t="str">
        <f>+('3 Planilla Preadjudicación OTIC'!AE4)</f>
        <v>HOMBRES Y MUJERES DE 18 AÑOS O MAS, AGRESADOS DE LA EDUCACIÓN MEDIA, QUE ESTUDIERON EN LICEOS TECNICO PROFESIONALES DE LA COMUNA DE RENCA O RESIDAN EN DICHA COMUNA, CON ESPECIALIDAD EN TEMATICAS ASOCIADAS A LOGISTICA Y QUE TENGAN EDUCACION MEDIA COMPLETA.</v>
      </c>
      <c r="AD4" s="6" t="str">
        <f>+('3 Planilla Preadjudicación OTIC'!AF4)</f>
        <v>SI</v>
      </c>
      <c r="AE4" s="8" t="str">
        <f>+('3 Planilla Preadjudicación OTIC'!AG4)</f>
        <v>LICENCIA DE CONDUCIR CLASE D</v>
      </c>
      <c r="AF4" s="6" t="str">
        <f>+('3 Planilla Preadjudicación OTIC'!AH4)</f>
        <v>CERRADA</v>
      </c>
      <c r="AG4" s="6">
        <f>+('3 Planilla Preadjudicación OTIC'!AI4)</f>
        <v>60</v>
      </c>
      <c r="AH4" s="6">
        <f>+('3 Planilla Preadjudicación OTIC'!AJ4)</f>
        <v>3</v>
      </c>
      <c r="AI4" s="140" t="str">
        <f>+('3 Planilla Preadjudicación OTIC'!AK4)</f>
        <v>76102946-0</v>
      </c>
      <c r="AJ4" s="8" t="str">
        <f>+('3 Planilla Preadjudicación OTIC'!AL4)</f>
        <v>CAPACITACIONES INNOVA PYMES LTDA</v>
      </c>
      <c r="AK4" s="6">
        <f>+('3 Planilla Preadjudicación OTIC'!AM4)</f>
        <v>240</v>
      </c>
      <c r="AL4" s="6">
        <f>+('3 Planilla Preadjudicación OTIC'!AN4)</f>
        <v>60</v>
      </c>
      <c r="AM4" s="16">
        <f>+('3 Planilla Preadjudicación OTIC'!AO4)</f>
        <v>6373</v>
      </c>
      <c r="AN4" s="16">
        <f>+('3 Planilla Preadjudicación OTIC'!AP4)</f>
        <v>0</v>
      </c>
      <c r="AO4" s="16">
        <f>+('3 Planilla Preadjudicación OTIC'!AQ4)</f>
        <v>50000</v>
      </c>
      <c r="AP4" s="16">
        <f>+('3 Planilla Preadjudicación OTIC'!AR4)</f>
        <v>21413280</v>
      </c>
      <c r="AQ4" s="16">
        <f>+('3 Planilla Preadjudicación OTIC'!AS4)</f>
        <v>3360000</v>
      </c>
      <c r="AR4" s="16">
        <f>+('3 Planilla Preadjudicación OTIC'!AT4)</f>
        <v>0</v>
      </c>
      <c r="AS4" s="16">
        <f>+('3 Planilla Preadjudicación OTIC'!AU4)</f>
        <v>0</v>
      </c>
      <c r="AT4" s="16">
        <f>+('3 Planilla Preadjudicación OTIC'!AV4)</f>
        <v>700000</v>
      </c>
      <c r="AU4" s="16">
        <f>+('3 Planilla Preadjudicación OTIC'!AW4)</f>
        <v>25473280</v>
      </c>
      <c r="AV4" s="158" t="str">
        <f>+('3 Planilla Preadjudicación OTIC'!AX4)</f>
        <v>SI</v>
      </c>
      <c r="AW4" s="8">
        <f>+('3 Planilla Preadjudicación OTIC'!AY4)</f>
        <v>0</v>
      </c>
      <c r="AX4" s="6">
        <f>+('3 Planilla Preadjudicación OTIC'!AZ4)</f>
        <v>1</v>
      </c>
      <c r="AY4" s="6">
        <f>+('3 Planilla Preadjudicación OTIC'!BA4)</f>
        <v>7</v>
      </c>
      <c r="AZ4" s="6">
        <f>+('3 Planilla Preadjudicación OTIC'!BB4)</f>
        <v>0</v>
      </c>
      <c r="BA4" s="6">
        <f>+('3 Planilla Preadjudicación OTIC'!BC4)</f>
        <v>0</v>
      </c>
      <c r="BB4" s="6">
        <f>+('3 Planilla Preadjudicación OTIC'!BD4)</f>
        <v>0</v>
      </c>
      <c r="BC4" s="6">
        <f>+('3 Planilla Preadjudicación OTIC'!BE4)</f>
        <v>0</v>
      </c>
      <c r="BD4" s="6">
        <f>+('3 Planilla Preadjudicación OTIC'!BF4)</f>
        <v>0</v>
      </c>
      <c r="BE4" s="6">
        <f>+('3 Planilla Preadjudicación OTIC'!BG4)</f>
        <v>0</v>
      </c>
      <c r="BF4" s="6">
        <f>+('3 Planilla Preadjudicación OTIC'!BH4)</f>
        <v>0</v>
      </c>
      <c r="BG4" s="6">
        <f>+('3 Planilla Preadjudicación OTIC'!BI4)</f>
        <v>7</v>
      </c>
      <c r="BH4" s="6">
        <f>+('3 Planilla Preadjudicación OTIC'!BJ4)</f>
        <v>7</v>
      </c>
      <c r="BI4" s="6">
        <f>+('3 Planilla Preadjudicación OTIC'!BK4)</f>
        <v>7</v>
      </c>
      <c r="BJ4" s="6">
        <f>+('3 Planilla Preadjudicación OTIC'!BL4)</f>
        <v>7</v>
      </c>
      <c r="BK4" s="6">
        <f>+('3 Planilla Preadjudicación OTIC'!BM4)</f>
        <v>7</v>
      </c>
      <c r="BL4" s="6">
        <f>+('3 Planilla Preadjudicación OTIC'!BN4)</f>
        <v>7</v>
      </c>
      <c r="BM4" s="108">
        <f>ROUND(('3 Planilla Preadjudicación OTIC'!BO4),1)</f>
        <v>6.4</v>
      </c>
      <c r="BN4" s="8" t="str">
        <f>+('3 Planilla Preadjudicación OTIC'!BP4)</f>
        <v>NO</v>
      </c>
      <c r="BO4" s="8" t="str">
        <f>+('3 Planilla Preadjudicación OTIC'!BQ4)</f>
        <v>ALVARO CARLOS</v>
      </c>
      <c r="BP4" s="8" t="str">
        <f>+('3 Planilla Preadjudicación OTIC'!BR4)</f>
        <v>a.avila@innovapymes.org</v>
      </c>
      <c r="BQ4" s="8">
        <f>+('3 Planilla Preadjudicación OTIC'!BS4)</f>
        <v>342358308</v>
      </c>
      <c r="BR4" s="8" t="str">
        <f>+('3 Planilla Preadjudicación OTIC'!BT4)</f>
        <v>Montevideo 2550, Renca</v>
      </c>
      <c r="BS4" s="8">
        <f>+('3 Planilla Preadjudicación OTIC'!BU4)</f>
        <v>0</v>
      </c>
      <c r="BT4" s="8">
        <f>+('3 Planilla Preadjudicación OTIC'!BV4)</f>
        <v>0</v>
      </c>
      <c r="BU4" s="89">
        <f>IF(VLOOKUP(A4,'BD OFICIAL'!$A$1:$AL$2099,7,0)=D4,0,1)</f>
        <v>0</v>
      </c>
      <c r="BV4" s="89">
        <f>IF(VLOOKUP(A4,'BD OFICIAL'!$A$1:$AL$2099,11,0)=J4,0,1)</f>
        <v>0</v>
      </c>
      <c r="BW4" s="89">
        <f>IF(VLOOKUP(A4,'BD OFICIAL'!$A$1:$AL$2099,13,0)=L4,0,1)</f>
        <v>0</v>
      </c>
      <c r="BX4" s="6">
        <f>IF(VLOOKUP(A4,'BD OFICIAL'!$A$1:$AL$2099,16,0)=O4,0,1)</f>
        <v>0</v>
      </c>
      <c r="BY4" s="6">
        <f>IF(VLOOKUP(A4,'BD OFICIAL'!$A$1:$AL$2099,17,0)=P4,0,1)</f>
        <v>0</v>
      </c>
      <c r="BZ4" s="6">
        <f>IF(VLOOKUP(A4,'BD OFICIAL'!$A$1:$AL$2099,19,0)=R4,0,1)</f>
        <v>0</v>
      </c>
      <c r="CA4" s="6">
        <f>IF(VLOOKUP(A4,'BD OFICIAL'!$A$1:$AL$2099,21,0)=T4,0,1)</f>
        <v>0</v>
      </c>
      <c r="CB4" s="6">
        <f>IF(VLOOKUP(A4,'BD OFICIAL'!$A$1:$AL$2099,24,0)=AK4,0,1)</f>
        <v>0</v>
      </c>
      <c r="CC4" s="6">
        <f>IF(VLOOKUP(A4,'BD OFICIAL'!$A$1:$AL$2099,25,0)=X4,0,1)</f>
        <v>0</v>
      </c>
      <c r="CD4" s="6">
        <f>IF(VLOOKUP(A4,'BD OFICIAL'!$A$1:$AL$2099,26,0)=Y4,0,1)</f>
        <v>0</v>
      </c>
      <c r="CE4" s="6">
        <f>IF(VLOOKUP(A4,'BD OFICIAL'!$A$1:$AL$2099,27,0)=Z4,0,1)</f>
        <v>0</v>
      </c>
      <c r="CF4" s="6">
        <f>IF(VLOOKUP(A4,'BD OFICIAL'!$A$1:$AL$2099,28,0)=AA4,0,1)</f>
        <v>0</v>
      </c>
      <c r="CG4" s="6">
        <f>IF(VLOOKUP(A4,'BD OFICIAL'!$A$1:$AL$1057,33,0)=AF4,0,1)</f>
        <v>0</v>
      </c>
      <c r="CH4" s="6">
        <f>IF(VLOOKUP(A4,'BD OFICIAL'!$A$1:$AL$2099,35,0)=AH4,0,1)</f>
        <v>0</v>
      </c>
      <c r="CI4" s="89">
        <f>IF(VLOOKUP(A4,'BD OFICIAL'!$A$1:$AL$2099,34,0)=AL4,0,1)</f>
        <v>0</v>
      </c>
      <c r="CJ4" s="89">
        <f>VLOOKUP(A4,'BD OFICIAL'!$A$1:$AM$2099,36,0)*AM4-AP4</f>
        <v>0</v>
      </c>
      <c r="CK4" s="89" t="str">
        <f t="shared" si="0"/>
        <v>SSH</v>
      </c>
      <c r="CL4" s="89" t="str">
        <f t="shared" si="1"/>
        <v>SI</v>
      </c>
      <c r="CM4" s="89" t="str">
        <f t="shared" si="2"/>
        <v>NO</v>
      </c>
      <c r="CN4" s="35">
        <f t="shared" si="3"/>
        <v>0</v>
      </c>
      <c r="CO4" s="35">
        <f t="shared" si="19"/>
        <v>0</v>
      </c>
      <c r="CP4" s="35">
        <f t="shared" si="20"/>
        <v>0</v>
      </c>
      <c r="CQ4" s="35">
        <f>IF(VLOOKUP(A4,'BD OFICIAL'!$A:$AT,40,0)=AQ4,0,1)</f>
        <v>0</v>
      </c>
      <c r="CR4" s="35">
        <f>IF(VLOOKUP(A4,'BD OFICIAL'!$A:$AT,41,0)=AS4,0,1)</f>
        <v>0</v>
      </c>
      <c r="CS4" s="35">
        <f t="shared" si="21"/>
        <v>0</v>
      </c>
      <c r="CT4" s="35">
        <f t="shared" si="4"/>
        <v>0</v>
      </c>
      <c r="CU4" s="35">
        <f>IF(VLOOKUP(A4,'BD OFICIAL'!$A$1:$AL$1057,31,0)="SI",IF(AT4&gt;0,0,1),IF(AT4=0,0,1))</f>
        <v>0</v>
      </c>
      <c r="CV4" s="35">
        <f t="shared" si="5"/>
        <v>0</v>
      </c>
      <c r="CW4" s="35">
        <f t="shared" si="6"/>
        <v>0</v>
      </c>
      <c r="CX4" s="89" t="str">
        <f t="shared" si="7"/>
        <v>SI</v>
      </c>
      <c r="CY4" s="35">
        <f t="shared" si="8"/>
        <v>0</v>
      </c>
      <c r="CZ4" s="89" t="str">
        <f>IF(ISERROR(VLOOKUP(AI4,EXPERIENCIA!$A$1:$C$2100,1,0)),"NO","SI")</f>
        <v>SI</v>
      </c>
      <c r="DA4" s="89">
        <f>IF(CX4="no","NO APLICA",IF(AX4=0,"ERROR NOTA",IF(AND(AX4&gt;1,CZ4="NO"),"ERROR NOTA",IF(AND(CZ4="NO",AX4=1),0,IF(VLOOKUP(AI4,EXPERIENCIA!$A$1:$C$2100,3,0)=AX4,0,"ERROR NOTA")))))</f>
        <v>0</v>
      </c>
      <c r="DB4" s="89" t="str">
        <f>IF(ISERROR(VLOOKUP(AI4,COMPORTAMIENTO!$A$1:$C$2100,1,0)),"NO","SI")</f>
        <v>SI</v>
      </c>
      <c r="DC4" s="89">
        <f>IF(CX4="NO","NO APLICA",IF(AY4=0,"ERROR NOTA",IF(AND(DB4="NO",AY4=7),0,IF(VLOOKUP(AI4,COMPORTAMIENTO!$A$2:$H$2100,8,0)=AY4,0,"ERROR NOTA"))))</f>
        <v>0</v>
      </c>
      <c r="DD4" s="108">
        <f t="shared" si="9"/>
        <v>0.1</v>
      </c>
      <c r="DE4" s="108">
        <f t="shared" si="10"/>
        <v>0.70000000000000007</v>
      </c>
      <c r="DF4" s="89" t="str">
        <f t="shared" si="22"/>
        <v>SI</v>
      </c>
      <c r="DG4" s="89">
        <f t="shared" si="11"/>
        <v>0</v>
      </c>
      <c r="DH4" s="89">
        <f t="shared" si="12"/>
        <v>0</v>
      </c>
      <c r="DI4" s="89">
        <f t="shared" si="23"/>
        <v>0</v>
      </c>
      <c r="DJ4" s="16">
        <f t="shared" si="13"/>
        <v>7.0000000000000009</v>
      </c>
      <c r="DK4" s="11">
        <f t="shared" si="24"/>
        <v>7.0000000000000009</v>
      </c>
      <c r="DL4" s="16">
        <f t="shared" si="14"/>
        <v>6373</v>
      </c>
      <c r="DM4" s="16">
        <f>VLOOKUP(A4,'5 TD'!$A$3:$B$35,2,0)</f>
        <v>6373</v>
      </c>
      <c r="DN4" s="11">
        <f t="shared" si="25"/>
        <v>7</v>
      </c>
      <c r="DO4" s="89" t="str">
        <f t="shared" si="26"/>
        <v>APROBADO</v>
      </c>
      <c r="DP4" s="89" t="str">
        <f t="shared" si="27"/>
        <v>APROBADO</v>
      </c>
      <c r="DQ4" s="11">
        <f t="shared" si="28"/>
        <v>6.4</v>
      </c>
      <c r="DR4" s="89" t="str">
        <f t="shared" si="29"/>
        <v>APROBADO</v>
      </c>
      <c r="DS4" s="6" t="str">
        <f>+('3 Planilla Preadjudicación OTIC'!BP4)</f>
        <v>NO</v>
      </c>
      <c r="DT4" s="6">
        <f>IF(DR4="APROBADO",VLOOKUP(A4,'5 TD'!$D$3:$E$270,2,0),"NO APLICA")</f>
        <v>7</v>
      </c>
      <c r="DU4" s="6" t="str">
        <f t="shared" si="30"/>
        <v>NO</v>
      </c>
      <c r="DV4" s="6" t="str">
        <f>IF(DU4="SI",VLOOKUP(A4,'5 TD'!$G$3:$H$270,2,0),"NO APLICA ")</f>
        <v xml:space="preserve">NO APLICA </v>
      </c>
      <c r="DW4" s="6" t="str">
        <f t="shared" si="15"/>
        <v>NO</v>
      </c>
      <c r="DX4" s="6" t="str">
        <f>IF(DW4="SI",VLOOKUP(A4,'5 TD'!$J$4:$K$472,2,0),"NO APLICA")</f>
        <v>NO APLICA</v>
      </c>
      <c r="DY4" s="6" t="str">
        <f t="shared" si="16"/>
        <v>NO APLICA</v>
      </c>
      <c r="DZ4" s="11" t="str">
        <f>IF(DY4="SI",VLOOKUP(A4,'5 TD'!$M$4:$N$350,2,0),"NO APLICA")</f>
        <v>NO APLICA</v>
      </c>
      <c r="EA4" s="6" t="str">
        <f t="shared" si="17"/>
        <v>NO APLICA</v>
      </c>
      <c r="EB4" s="16" t="str">
        <f t="shared" si="18"/>
        <v/>
      </c>
      <c r="EC4" s="16" t="str">
        <f>IF(EA4="SI",VLOOKUP(A4,'5 TD'!$V$4:$W$479,2,0),"NO APLICA")</f>
        <v>NO APLICA</v>
      </c>
      <c r="ED4" s="6" t="str">
        <f t="shared" si="31"/>
        <v>NO</v>
      </c>
      <c r="EE4" s="83" t="str">
        <f>IF(ED4="SI",VLOOKUP(AI4,COMPORTAMIENTO!$A$1:$H$2100,7,0),"NO APLICA")</f>
        <v>NO APLICA</v>
      </c>
      <c r="EF4" s="16" t="str">
        <f>IF(ED4="SI",VLOOKUP(A4,'5 TD'!$P$2:$Q$479,2,0),"NO APLICA")</f>
        <v>NO APLICA</v>
      </c>
      <c r="EG4" s="6" t="str">
        <f t="shared" si="32"/>
        <v>NO</v>
      </c>
      <c r="EH4" s="6">
        <f>IF(CZ4="no",0,VLOOKUP(AI4,EXPERIENCIA!$A$1:$C$2100,2,0))</f>
        <v>2</v>
      </c>
      <c r="EI4" s="6">
        <f>IF(CZ4="si",VLOOKUP(A4,'5 TD'!$S$3:$T$2103,2,0),0)</f>
        <v>67</v>
      </c>
      <c r="EJ4" s="6" t="str">
        <f t="shared" si="33"/>
        <v>NO</v>
      </c>
      <c r="EK4" s="6">
        <f>+('3 Planilla Preadjudicación OTIC'!BW4)</f>
        <v>0</v>
      </c>
      <c r="EQ4" s="7"/>
    </row>
    <row r="5" spans="1:147" s="34" customFormat="1" ht="12.75" x14ac:dyDescent="0.2">
      <c r="A5" s="6">
        <f>+('3 Planilla Preadjudicación OTIC'!A5)</f>
        <v>14389</v>
      </c>
      <c r="B5" s="6" t="str">
        <f>+('3 Planilla Preadjudicación OTIC'!B5)</f>
        <v>SOFOFA</v>
      </c>
      <c r="C5" s="8">
        <f>+('3 Planilla Preadjudicación OTIC'!E5)</f>
        <v>2025</v>
      </c>
      <c r="D5" s="8" t="str">
        <f>+('3 Planilla Preadjudicación OTIC'!F5)</f>
        <v>MANDATO</v>
      </c>
      <c r="E5" s="8" t="str">
        <f>+('3 Planilla Preadjudicación OTIC'!G5)</f>
        <v>65181652-1</v>
      </c>
      <c r="F5" s="8" t="str">
        <f>+('3 Planilla Preadjudicación OTIC'!H5)</f>
        <v>SOFOFA</v>
      </c>
      <c r="G5" s="8" t="str">
        <f>+('3 Planilla Preadjudicación OTIC'!I5)</f>
        <v>65140022-8</v>
      </c>
      <c r="H5" s="8" t="str">
        <f>+('3 Planilla Preadjudicación OTIC'!J5)</f>
        <v>FUTURO DEL TRABAJO</v>
      </c>
      <c r="I5" s="8" t="str">
        <f>+('3 Planilla Preadjudicación OTIC'!K5)</f>
        <v>TÉCNICAS DE SOLDADURA POR OXIGÁS, ARCO VOLTAICO, TIG Y MIG</v>
      </c>
      <c r="J5" s="8" t="str">
        <f>+('3 Planilla Preadjudicación OTIC'!L5)</f>
        <v>PF0622</v>
      </c>
      <c r="K5" s="8" t="str">
        <f>+('3 Planilla Preadjudicación OTIC'!M5)</f>
        <v>TÉCNICAS PARA EL EMPRENDIMIENTO</v>
      </c>
      <c r="L5" s="8" t="str">
        <f>+('3 Planilla Preadjudicación OTIC'!N5)</f>
        <v>PF0921</v>
      </c>
      <c r="M5" s="6">
        <f>+('3 Planilla Preadjudicación OTIC'!O5)</f>
        <v>13</v>
      </c>
      <c r="N5" s="8">
        <f>+('3 Planilla Preadjudicación OTIC'!P5)</f>
        <v>0</v>
      </c>
      <c r="O5" s="8" t="str">
        <f>+('3 Planilla Preadjudicación OTIC'!Q5)</f>
        <v>RENCA</v>
      </c>
      <c r="P5" s="8" t="str">
        <f>+('3 Planilla Preadjudicación OTIC'!R5)</f>
        <v>ESTUDIANTES DE CUARTO AÑO DE ENSEÑANZA MEDIA O DE LICEOS TÉCNICOS PROFESIONALES.</v>
      </c>
      <c r="Q5" s="8" t="str">
        <f>+('3 Planilla Preadjudicación OTIC'!S5)</f>
        <v>PRESENCIAL</v>
      </c>
      <c r="R5" s="8" t="str">
        <f>+('3 Planilla Preadjudicación OTIC'!T5)</f>
        <v>INDEPENDIENTE</v>
      </c>
      <c r="S5" s="8" t="str">
        <f>+('3 Planilla Preadjudicación OTIC'!U5)</f>
        <v>03. LUNES - VESPERTINO / 06. MARTES - VESPERTINO / 09. MIÉRCOLES - VESPERTINO / 12. JUEVES - VESPERTINO / 15. VIERNES - VESPERTINO</v>
      </c>
      <c r="T5" s="6">
        <f>+('3 Planilla Preadjudicación OTIC'!V5)</f>
        <v>14</v>
      </c>
      <c r="U5" s="6">
        <f>+('3 Planilla Preadjudicación OTIC'!W5)</f>
        <v>260</v>
      </c>
      <c r="V5" s="6">
        <f>+('3 Planilla Preadjudicación OTIC'!X5)</f>
        <v>12</v>
      </c>
      <c r="W5" s="6">
        <f>+('3 Planilla Preadjudicación OTIC'!Y5)</f>
        <v>272</v>
      </c>
      <c r="X5" s="6">
        <f>+('3 Planilla Preadjudicación OTIC'!Z5)</f>
        <v>4</v>
      </c>
      <c r="Y5" s="6" t="str">
        <f>+('3 Planilla Preadjudicación OTIC'!AA5)</f>
        <v>SI</v>
      </c>
      <c r="Z5" s="6" t="str">
        <f>+('3 Planilla Preadjudicación OTIC'!AB5)</f>
        <v>NO</v>
      </c>
      <c r="AA5" s="6" t="str">
        <f>+('3 Planilla Preadjudicación OTIC'!AC5)</f>
        <v>SI</v>
      </c>
      <c r="AB5" s="8">
        <f>+('3 Planilla Preadjudicación OTIC'!AD5)</f>
        <v>0</v>
      </c>
      <c r="AC5" s="8" t="str">
        <f>+('3 Planilla Preadjudicación OTIC'!AE5)</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5" s="6" t="str">
        <f>+('3 Planilla Preadjudicación OTIC'!AF5)</f>
        <v>SI</v>
      </c>
      <c r="AE5" s="8" t="str">
        <f>+('3 Planilla Preadjudicación OTIC'!AG5)</f>
        <v>CERTIFICACIÓN COMO SOLDADOR.</v>
      </c>
      <c r="AF5" s="6" t="str">
        <f>+('3 Planilla Preadjudicación OTIC'!AH5)</f>
        <v>CERRADA</v>
      </c>
      <c r="AG5" s="6">
        <f>+('3 Planilla Preadjudicación OTIC'!AI5)</f>
        <v>68</v>
      </c>
      <c r="AH5" s="6">
        <f>+('3 Planilla Preadjudicación OTIC'!AJ5)</f>
        <v>2</v>
      </c>
      <c r="AI5" s="140" t="str">
        <f>+('3 Planilla Preadjudicación OTIC'!AK5)</f>
        <v>76773018-7</v>
      </c>
      <c r="AJ5" s="8" t="str">
        <f>+('3 Planilla Preadjudicación OTIC'!AL5)</f>
        <v>Servicio de capacitación y formación de personas TEKNÉ SpA</v>
      </c>
      <c r="AK5" s="6">
        <f>+('3 Planilla Preadjudicación OTIC'!AM5)</f>
        <v>272</v>
      </c>
      <c r="AL5" s="6">
        <f>+('3 Planilla Preadjudicación OTIC'!AN5)</f>
        <v>68</v>
      </c>
      <c r="AM5" s="16">
        <f>+('3 Planilla Preadjudicación OTIC'!AO5)</f>
        <v>5075</v>
      </c>
      <c r="AN5" s="16">
        <f>+('3 Planilla Preadjudicación OTIC'!AP5)</f>
        <v>250000</v>
      </c>
      <c r="AO5" s="16">
        <f>+('3 Planilla Preadjudicación OTIC'!AQ5)</f>
        <v>250000</v>
      </c>
      <c r="AP5" s="16">
        <f>+('3 Planilla Preadjudicación OTIC'!AR5)</f>
        <v>19325600</v>
      </c>
      <c r="AQ5" s="16">
        <f>+('3 Planilla Preadjudicación OTIC'!AS5)</f>
        <v>3808000</v>
      </c>
      <c r="AR5" s="16">
        <f>+('3 Planilla Preadjudicación OTIC'!AT5)</f>
        <v>3500000</v>
      </c>
      <c r="AS5" s="16">
        <f>+('3 Planilla Preadjudicación OTIC'!AU5)</f>
        <v>0</v>
      </c>
      <c r="AT5" s="16">
        <f>+('3 Planilla Preadjudicación OTIC'!AV5)</f>
        <v>3500000</v>
      </c>
      <c r="AU5" s="16">
        <f>+('3 Planilla Preadjudicación OTIC'!AW5)</f>
        <v>30133600</v>
      </c>
      <c r="AV5" s="158" t="str">
        <f>+('3 Planilla Preadjudicación OTIC'!AX5)</f>
        <v>NO</v>
      </c>
      <c r="AW5" s="8" t="str">
        <f>+('3 Planilla Preadjudicación OTIC'!AY5)</f>
        <v>NUMERAL 6.1.2. ÍTEM 1 - NO ADJUNTA ANEXO DE PROPUESTA PARA EL CURSO 14389.</v>
      </c>
      <c r="AX5" s="6">
        <f>+('3 Planilla Preadjudicación OTIC'!AZ5)</f>
        <v>0</v>
      </c>
      <c r="AY5" s="6">
        <f>+('3 Planilla Preadjudicación OTIC'!BA5)</f>
        <v>0</v>
      </c>
      <c r="AZ5" s="6">
        <f>+('3 Planilla Preadjudicación OTIC'!BB5)</f>
        <v>0</v>
      </c>
      <c r="BA5" s="6">
        <f>+('3 Planilla Preadjudicación OTIC'!BC5)</f>
        <v>0</v>
      </c>
      <c r="BB5" s="6">
        <f>+('3 Planilla Preadjudicación OTIC'!BD5)</f>
        <v>0</v>
      </c>
      <c r="BC5" s="6">
        <f>+('3 Planilla Preadjudicación OTIC'!BE5)</f>
        <v>0</v>
      </c>
      <c r="BD5" s="6">
        <f>+('3 Planilla Preadjudicación OTIC'!BF5)</f>
        <v>0</v>
      </c>
      <c r="BE5" s="6">
        <f>+('3 Planilla Preadjudicación OTIC'!BG5)</f>
        <v>0</v>
      </c>
      <c r="BF5" s="6">
        <f>+('3 Planilla Preadjudicación OTIC'!BH5)</f>
        <v>0</v>
      </c>
      <c r="BG5" s="6">
        <f>+('3 Planilla Preadjudicación OTIC'!BI5)</f>
        <v>0</v>
      </c>
      <c r="BH5" s="6">
        <f>+('3 Planilla Preadjudicación OTIC'!BJ5)</f>
        <v>0</v>
      </c>
      <c r="BI5" s="6">
        <f>+('3 Planilla Preadjudicación OTIC'!BK5)</f>
        <v>0</v>
      </c>
      <c r="BJ5" s="6">
        <f>+('3 Planilla Preadjudicación OTIC'!BL5)</f>
        <v>0</v>
      </c>
      <c r="BK5" s="6">
        <f>+('3 Planilla Preadjudicación OTIC'!BM5)</f>
        <v>0</v>
      </c>
      <c r="BL5" s="6">
        <f>+('3 Planilla Preadjudicación OTIC'!BN5)</f>
        <v>0</v>
      </c>
      <c r="BM5" s="108">
        <f>ROUND(('3 Planilla Preadjudicación OTIC'!BO5),1)</f>
        <v>0</v>
      </c>
      <c r="BN5" s="8" t="str">
        <f>+('3 Planilla Preadjudicación OTIC'!BP5)</f>
        <v>NO</v>
      </c>
      <c r="BO5" s="8" t="str">
        <f>+('3 Planilla Preadjudicación OTIC'!BQ5)</f>
        <v>Elizabeth Sepúlveda Moya</v>
      </c>
      <c r="BP5" s="8" t="str">
        <f>+('3 Planilla Preadjudicación OTIC'!BR5)</f>
        <v>otec.tekne@gmail.com</v>
      </c>
      <c r="BQ5" s="8">
        <f>+('3 Planilla Preadjudicación OTIC'!BS5)</f>
        <v>995011989</v>
      </c>
      <c r="BR5" s="8" t="str">
        <f>+('3 Planilla Preadjudicación OTIC'!BT5)</f>
        <v>LA HACIENDA 1549, Renca</v>
      </c>
      <c r="BS5" s="8">
        <f>+('3 Planilla Preadjudicación OTIC'!BU5)</f>
        <v>0</v>
      </c>
      <c r="BT5" s="8">
        <f>+('3 Planilla Preadjudicación OTIC'!BV5)</f>
        <v>0</v>
      </c>
      <c r="BU5" s="89">
        <f>IF(VLOOKUP(A5,'BD OFICIAL'!$A$1:$AL$2099,7,0)=D5,0,1)</f>
        <v>0</v>
      </c>
      <c r="BV5" s="89">
        <f>IF(VLOOKUP(A5,'BD OFICIAL'!$A$1:$AL$2099,11,0)=J5,0,1)</f>
        <v>0</v>
      </c>
      <c r="BW5" s="89">
        <f>IF(VLOOKUP(A5,'BD OFICIAL'!$A$1:$AL$2099,13,0)=L5,0,1)</f>
        <v>0</v>
      </c>
      <c r="BX5" s="6">
        <f>IF(VLOOKUP(A5,'BD OFICIAL'!$A$1:$AL$2099,16,0)=O5,0,1)</f>
        <v>0</v>
      </c>
      <c r="BY5" s="6">
        <f>IF(VLOOKUP(A5,'BD OFICIAL'!$A$1:$AL$2099,17,0)=P5,0,1)</f>
        <v>0</v>
      </c>
      <c r="BZ5" s="6">
        <f>IF(VLOOKUP(A5,'BD OFICIAL'!$A$1:$AL$2099,19,0)=R5,0,1)</f>
        <v>0</v>
      </c>
      <c r="CA5" s="6">
        <f>IF(VLOOKUP(A5,'BD OFICIAL'!$A$1:$AL$2099,21,0)=T5,0,1)</f>
        <v>0</v>
      </c>
      <c r="CB5" s="6">
        <f>IF(VLOOKUP(A5,'BD OFICIAL'!$A$1:$AL$2099,24,0)=AK5,0,1)</f>
        <v>0</v>
      </c>
      <c r="CC5" s="6">
        <f>IF(VLOOKUP(A5,'BD OFICIAL'!$A$1:$AL$2099,25,0)=X5,0,1)</f>
        <v>0</v>
      </c>
      <c r="CD5" s="6">
        <f>IF(VLOOKUP(A5,'BD OFICIAL'!$A$1:$AL$2099,26,0)=Y5,0,1)</f>
        <v>0</v>
      </c>
      <c r="CE5" s="6">
        <f>IF(VLOOKUP(A5,'BD OFICIAL'!$A$1:$AL$2099,27,0)=Z5,0,1)</f>
        <v>0</v>
      </c>
      <c r="CF5" s="6">
        <f>IF(VLOOKUP(A5,'BD OFICIAL'!$A$1:$AL$2099,28,0)=AA5,0,1)</f>
        <v>0</v>
      </c>
      <c r="CG5" s="6">
        <f>IF(VLOOKUP(A5,'BD OFICIAL'!$A$1:$AL$1057,33,0)=AF5,0,1)</f>
        <v>0</v>
      </c>
      <c r="CH5" s="6">
        <f>IF(VLOOKUP(A5,'BD OFICIAL'!$A$1:$AL$2099,35,0)=AH5,0,1)</f>
        <v>0</v>
      </c>
      <c r="CI5" s="89">
        <f>IF(VLOOKUP(A5,'BD OFICIAL'!$A$1:$AL$2099,34,0)=AL5,0,1)</f>
        <v>0</v>
      </c>
      <c r="CJ5" s="89">
        <f>VLOOKUP(A5,'BD OFICIAL'!$A$1:$AM$2099,36,0)*AM5-AP5</f>
        <v>0</v>
      </c>
      <c r="CK5" s="89" t="str">
        <f t="shared" si="0"/>
        <v>SHMAN</v>
      </c>
      <c r="CL5" s="89" t="str">
        <f t="shared" si="1"/>
        <v>SI</v>
      </c>
      <c r="CM5" s="89" t="str">
        <f t="shared" si="2"/>
        <v>NO</v>
      </c>
      <c r="CN5" s="35">
        <f t="shared" si="3"/>
        <v>0</v>
      </c>
      <c r="CO5" s="35">
        <f t="shared" si="19"/>
        <v>0</v>
      </c>
      <c r="CP5" s="35">
        <f t="shared" si="20"/>
        <v>0</v>
      </c>
      <c r="CQ5" s="35">
        <f>IF(VLOOKUP(A5,'BD OFICIAL'!$A:$AT,40,0)=AQ5,0,1)</f>
        <v>0</v>
      </c>
      <c r="CR5" s="35">
        <f>IF(VLOOKUP(A5,'BD OFICIAL'!$A:$AT,41,0)=AS5,0,1)</f>
        <v>0</v>
      </c>
      <c r="CS5" s="35">
        <f t="shared" si="21"/>
        <v>0</v>
      </c>
      <c r="CT5" s="35">
        <f t="shared" si="4"/>
        <v>0</v>
      </c>
      <c r="CU5" s="35">
        <f>IF(VLOOKUP(A5,'BD OFICIAL'!$A$1:$AL$1057,31,0)="SI",IF(AT5&gt;0,0,1),IF(AT5=0,0,1))</f>
        <v>0</v>
      </c>
      <c r="CV5" s="35">
        <f t="shared" si="5"/>
        <v>0</v>
      </c>
      <c r="CW5" s="35">
        <f t="shared" si="6"/>
        <v>0</v>
      </c>
      <c r="CX5" s="89" t="str">
        <f t="shared" si="7"/>
        <v>NO</v>
      </c>
      <c r="CY5" s="35">
        <f t="shared" si="8"/>
        <v>0</v>
      </c>
      <c r="CZ5" s="89" t="str">
        <f>IF(ISERROR(VLOOKUP(AI5,EXPERIENCIA!$A$1:$C$2100,1,0)),"NO","SI")</f>
        <v>SI</v>
      </c>
      <c r="DA5" s="89" t="str">
        <f>IF(CX5="no","NO APLICA",IF(AX5=0,"ERROR NOTA",IF(AND(AX5&gt;1,CZ5="NO"),"ERROR NOTA",IF(AND(CZ5="NO",AX5=1),0,IF(VLOOKUP(AI5,EXPERIENCIA!$A$1:$C$2100,3,0)=AX5,0,"ERROR NOTA")))))</f>
        <v>NO APLICA</v>
      </c>
      <c r="DB5" s="89" t="str">
        <f>IF(ISERROR(VLOOKUP(AI5,COMPORTAMIENTO!$A$1:$C$2100,1,0)),"NO","SI")</f>
        <v>SI</v>
      </c>
      <c r="DC5" s="89" t="str">
        <f>IF(CX5="NO","NO APLICA",IF(AY5=0,"ERROR NOTA",IF(AND(DB5="NO",AY5=7),0,IF(VLOOKUP(AI5,COMPORTAMIENTO!$A$2:$H$2100,8,0)=AY5,0,"ERROR NOTA"))))</f>
        <v>NO APLICA</v>
      </c>
      <c r="DD5" s="108" t="str">
        <f t="shared" si="9"/>
        <v>NO APLICA</v>
      </c>
      <c r="DE5" s="108" t="str">
        <f t="shared" si="10"/>
        <v>NO APLICA</v>
      </c>
      <c r="DF5" s="89" t="str">
        <f t="shared" si="22"/>
        <v>SI</v>
      </c>
      <c r="DG5" s="89">
        <f t="shared" si="11"/>
        <v>0</v>
      </c>
      <c r="DH5" s="89">
        <f t="shared" si="12"/>
        <v>0</v>
      </c>
      <c r="DI5" s="89" t="str">
        <f t="shared" si="23"/>
        <v>NO APLICA</v>
      </c>
      <c r="DJ5" s="16" t="str">
        <f t="shared" si="13"/>
        <v>NO APLICA</v>
      </c>
      <c r="DK5" s="11" t="str">
        <f t="shared" si="24"/>
        <v>NO APLICA</v>
      </c>
      <c r="DL5" s="16">
        <f t="shared" si="14"/>
        <v>5075</v>
      </c>
      <c r="DM5" s="16">
        <f>VLOOKUP(A5,'5 TD'!$A$3:$B$35,2,0)</f>
        <v>5000</v>
      </c>
      <c r="DN5" s="11" t="str">
        <f t="shared" si="25"/>
        <v>NO APLICA</v>
      </c>
      <c r="DO5" s="89" t="str">
        <f t="shared" si="26"/>
        <v>NO APLICA</v>
      </c>
      <c r="DP5" s="89" t="str">
        <f t="shared" si="27"/>
        <v>NO APLICA</v>
      </c>
      <c r="DQ5" s="11" t="str">
        <f t="shared" si="28"/>
        <v>NO APLICA</v>
      </c>
      <c r="DR5" s="89" t="str">
        <f t="shared" si="29"/>
        <v>NO APLICA</v>
      </c>
      <c r="DS5" s="6" t="str">
        <f>+('3 Planilla Preadjudicación OTIC'!BP5)</f>
        <v>NO</v>
      </c>
      <c r="DT5" s="6" t="str">
        <f>IF(DR5="APROBADO",VLOOKUP(A5,'5 TD'!$D$3:$E$270,2,0),"NO APLICA")</f>
        <v>NO APLICA</v>
      </c>
      <c r="DU5" s="6" t="str">
        <f t="shared" si="30"/>
        <v>NO APLICA</v>
      </c>
      <c r="DV5" s="6" t="str">
        <f>IF(DU5="SI",VLOOKUP(A5,'5 TD'!$G$3:$H$270,2,0),"NO APLICA ")</f>
        <v xml:space="preserve">NO APLICA </v>
      </c>
      <c r="DW5" s="6" t="str">
        <f t="shared" si="15"/>
        <v>NO</v>
      </c>
      <c r="DX5" s="6" t="str">
        <f>IF(DW5="SI",VLOOKUP(A5,'5 TD'!$J$4:$K$472,2,0),"NO APLICA")</f>
        <v>NO APLICA</v>
      </c>
      <c r="DY5" s="6" t="str">
        <f t="shared" si="16"/>
        <v>NO APLICA</v>
      </c>
      <c r="DZ5" s="11" t="str">
        <f>IF(DY5="SI",VLOOKUP(A5,'5 TD'!$M$4:$N$350,2,0),"NO APLICA")</f>
        <v>NO APLICA</v>
      </c>
      <c r="EA5" s="6" t="str">
        <f t="shared" si="17"/>
        <v>NO APLICA</v>
      </c>
      <c r="EB5" s="16" t="str">
        <f t="shared" si="18"/>
        <v/>
      </c>
      <c r="EC5" s="16" t="str">
        <f>IF(EA5="SI",VLOOKUP(A5,'5 TD'!$V$4:$W$479,2,0),"NO APLICA")</f>
        <v>NO APLICA</v>
      </c>
      <c r="ED5" s="6" t="str">
        <f t="shared" si="31"/>
        <v>NO</v>
      </c>
      <c r="EE5" s="83" t="str">
        <f>IF(ED5="SI",VLOOKUP(AI5,COMPORTAMIENTO!$A$1:$H$2100,7,0),"NO APLICA")</f>
        <v>NO APLICA</v>
      </c>
      <c r="EF5" s="16" t="str">
        <f>IF(ED5="SI",VLOOKUP(A5,'5 TD'!$P$2:$Q$479,2,0),"NO APLICA")</f>
        <v>NO APLICA</v>
      </c>
      <c r="EG5" s="6" t="str">
        <f t="shared" si="32"/>
        <v>NO</v>
      </c>
      <c r="EH5" s="6">
        <f>IF(CZ5="no",0,VLOOKUP(AI5,EXPERIENCIA!$A$1:$C$2100,2,0))</f>
        <v>10</v>
      </c>
      <c r="EI5" s="6">
        <f>IF(CZ5="si",VLOOKUP(A5,'5 TD'!$S$3:$T$2103,2,0),0)</f>
        <v>125</v>
      </c>
      <c r="EJ5" s="6" t="str">
        <f t="shared" si="33"/>
        <v>NO</v>
      </c>
      <c r="EK5" s="6">
        <f>+('3 Planilla Preadjudicación OTIC'!BW5)</f>
        <v>0</v>
      </c>
      <c r="EQ5" s="7"/>
    </row>
    <row r="6" spans="1:147" s="34" customFormat="1" ht="12.75" x14ac:dyDescent="0.2">
      <c r="A6" s="6">
        <f>+('3 Planilla Preadjudicación OTIC'!A6)</f>
        <v>14385</v>
      </c>
      <c r="B6" s="6" t="str">
        <f>+('3 Planilla Preadjudicación OTIC'!B6)</f>
        <v>SOFOFA</v>
      </c>
      <c r="C6" s="8">
        <f>+('3 Planilla Preadjudicación OTIC'!E6)</f>
        <v>2025</v>
      </c>
      <c r="D6" s="8" t="str">
        <f>+('3 Planilla Preadjudicación OTIC'!F6)</f>
        <v>MANDATO</v>
      </c>
      <c r="E6" s="8" t="str">
        <f>+('3 Planilla Preadjudicación OTIC'!G6)</f>
        <v>65181652-1</v>
      </c>
      <c r="F6" s="8" t="str">
        <f>+('3 Planilla Preadjudicación OTIC'!H6)</f>
        <v>SOFOFA</v>
      </c>
      <c r="G6" s="8" t="str">
        <f>+('3 Planilla Preadjudicación OTIC'!I6)</f>
        <v>65140022-8</v>
      </c>
      <c r="H6" s="8" t="str">
        <f>+('3 Planilla Preadjudicación OTIC'!J6)</f>
        <v>FUTURO DEL TRABAJO</v>
      </c>
      <c r="I6" s="8" t="str">
        <f>+('3 Planilla Preadjudicación OTIC'!K6)</f>
        <v>ASISTENCIA EN EL MANTENIMIENTO ELÉCTRICO DE BAJA TENSIÓN</v>
      </c>
      <c r="J6" s="8" t="str">
        <f>+('3 Planilla Preadjudicación OTIC'!L6)</f>
        <v>PF0638</v>
      </c>
      <c r="K6" s="8" t="str">
        <f>+('3 Planilla Preadjudicación OTIC'!M6)</f>
        <v/>
      </c>
      <c r="L6" s="8" t="str">
        <f>+('3 Planilla Preadjudicación OTIC'!N6)</f>
        <v/>
      </c>
      <c r="M6" s="6">
        <f>+('3 Planilla Preadjudicación OTIC'!O6)</f>
        <v>13</v>
      </c>
      <c r="N6" s="8">
        <f>+('3 Planilla Preadjudicación OTIC'!P6)</f>
        <v>0</v>
      </c>
      <c r="O6" s="8" t="str">
        <f>+('3 Planilla Preadjudicación OTIC'!Q6)</f>
        <v>RENCA</v>
      </c>
      <c r="P6" s="8" t="str">
        <f>+('3 Planilla Preadjudicación OTIC'!R6)</f>
        <v>ESTUDIANTES DE CUARTO AÑO DE ENSEÑANZA MEDIA O DE LICEOS TÉCNICOS PROFESIONALES.</v>
      </c>
      <c r="Q6" s="8" t="str">
        <f>+('3 Planilla Preadjudicación OTIC'!S6)</f>
        <v>PRESENCIAL</v>
      </c>
      <c r="R6" s="8" t="str">
        <f>+('3 Planilla Preadjudicación OTIC'!T6)</f>
        <v>DEPENDIENTE</v>
      </c>
      <c r="S6" s="8" t="str">
        <f>+('3 Planilla Preadjudicación OTIC'!U6)</f>
        <v>03. LUNES - VESPERTINO / 06. MARTES - VESPERTINO / 09. MIÉRCOLES - VESPERTINO / 12. JUEVES - VESPERTINO / 15. VIERNES - VESPERTINO</v>
      </c>
      <c r="T6" s="6">
        <f>+('3 Planilla Preadjudicación OTIC'!V6)</f>
        <v>16</v>
      </c>
      <c r="U6" s="6">
        <f>+('3 Planilla Preadjudicación OTIC'!W6)</f>
        <v>110</v>
      </c>
      <c r="V6" s="6">
        <f>+('3 Planilla Preadjudicación OTIC'!X6)</f>
        <v>0</v>
      </c>
      <c r="W6" s="6">
        <f>+('3 Planilla Preadjudicación OTIC'!Y6)</f>
        <v>110</v>
      </c>
      <c r="X6" s="6">
        <f>+('3 Planilla Preadjudicación OTIC'!Z6)</f>
        <v>4</v>
      </c>
      <c r="Y6" s="6" t="str">
        <f>+('3 Planilla Preadjudicación OTIC'!AA6)</f>
        <v>SI</v>
      </c>
      <c r="Z6" s="6" t="str">
        <f>+('3 Planilla Preadjudicación OTIC'!AB6)</f>
        <v>NO</v>
      </c>
      <c r="AA6" s="6" t="str">
        <f>+('3 Planilla Preadjudicación OTIC'!AC6)</f>
        <v>NO</v>
      </c>
      <c r="AB6" s="8">
        <f>+('3 Planilla Preadjudicación OTIC'!AD6)</f>
        <v>0</v>
      </c>
      <c r="AC6" s="8" t="str">
        <f>+('3 Planilla Preadjudicación OTIC'!AE6)</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6" s="6" t="str">
        <f>+('3 Planilla Preadjudicación OTIC'!AF6)</f>
        <v>NO</v>
      </c>
      <c r="AE6" s="8">
        <f>+('3 Planilla Preadjudicación OTIC'!AG6)</f>
        <v>0</v>
      </c>
      <c r="AF6" s="6" t="str">
        <f>+('3 Planilla Preadjudicación OTIC'!AH6)</f>
        <v>CERRADA</v>
      </c>
      <c r="AG6" s="6">
        <f>+('3 Planilla Preadjudicación OTIC'!AI6)</f>
        <v>28</v>
      </c>
      <c r="AH6" s="6">
        <f>+('3 Planilla Preadjudicación OTIC'!AJ6)</f>
        <v>2</v>
      </c>
      <c r="AI6" s="140" t="str">
        <f>+('3 Planilla Preadjudicación OTIC'!AK6)</f>
        <v>76460844-5</v>
      </c>
      <c r="AJ6" s="8" t="str">
        <f>+('3 Planilla Preadjudicación OTIC'!AL6)</f>
        <v>Servicios de Capacitación Caitec S.A.</v>
      </c>
      <c r="AK6" s="6">
        <f>+('3 Planilla Preadjudicación OTIC'!AM6)</f>
        <v>110</v>
      </c>
      <c r="AL6" s="6">
        <f>+('3 Planilla Preadjudicación OTIC'!AN6)</f>
        <v>28</v>
      </c>
      <c r="AM6" s="16">
        <f>+('3 Planilla Preadjudicación OTIC'!AO6)</f>
        <v>5075</v>
      </c>
      <c r="AN6" s="16">
        <f>+('3 Planilla Preadjudicación OTIC'!AP6)</f>
        <v>0</v>
      </c>
      <c r="AO6" s="16">
        <f>+('3 Planilla Preadjudicación OTIC'!AQ6)</f>
        <v>0</v>
      </c>
      <c r="AP6" s="16">
        <f>+('3 Planilla Preadjudicación OTIC'!AR6)</f>
        <v>8932000</v>
      </c>
      <c r="AQ6" s="16">
        <f>+('3 Planilla Preadjudicación OTIC'!AS6)</f>
        <v>1792000</v>
      </c>
      <c r="AR6" s="16">
        <f>+('3 Planilla Preadjudicación OTIC'!AT6)</f>
        <v>0</v>
      </c>
      <c r="AS6" s="16">
        <f>+('3 Planilla Preadjudicación OTIC'!AU6)</f>
        <v>0</v>
      </c>
      <c r="AT6" s="16">
        <f>+('3 Planilla Preadjudicación OTIC'!AV6)</f>
        <v>0</v>
      </c>
      <c r="AU6" s="16">
        <f>+('3 Planilla Preadjudicación OTIC'!AW6)</f>
        <v>10724000</v>
      </c>
      <c r="AV6" s="158" t="str">
        <f>+('3 Planilla Preadjudicación OTIC'!AX6)</f>
        <v>SI</v>
      </c>
      <c r="AW6" s="8">
        <f>+('3 Planilla Preadjudicación OTIC'!AY6)</f>
        <v>0</v>
      </c>
      <c r="AX6" s="6">
        <f>+('3 Planilla Preadjudicación OTIC'!AZ6)</f>
        <v>3</v>
      </c>
      <c r="AY6" s="6">
        <f>+('3 Planilla Preadjudicación OTIC'!BA6)</f>
        <v>5</v>
      </c>
      <c r="AZ6" s="6">
        <f>+('3 Planilla Preadjudicación OTIC'!BB6)</f>
        <v>0</v>
      </c>
      <c r="BA6" s="6">
        <f>+('3 Planilla Preadjudicación OTIC'!BC6)</f>
        <v>0</v>
      </c>
      <c r="BB6" s="6">
        <f>+('3 Planilla Preadjudicación OTIC'!BD6)</f>
        <v>0</v>
      </c>
      <c r="BC6" s="6">
        <f>+('3 Planilla Preadjudicación OTIC'!BE6)</f>
        <v>0</v>
      </c>
      <c r="BD6" s="6">
        <f>+('3 Planilla Preadjudicación OTIC'!BF6)</f>
        <v>0</v>
      </c>
      <c r="BE6" s="6">
        <f>+('3 Planilla Preadjudicación OTIC'!BG6)</f>
        <v>0</v>
      </c>
      <c r="BF6" s="6">
        <f>+('3 Planilla Preadjudicación OTIC'!BH6)</f>
        <v>0</v>
      </c>
      <c r="BG6" s="6">
        <f>+('3 Planilla Preadjudicación OTIC'!BI6)</f>
        <v>7</v>
      </c>
      <c r="BH6" s="6">
        <f>+('3 Planilla Preadjudicación OTIC'!BJ6)</f>
        <v>7</v>
      </c>
      <c r="BI6" s="6">
        <f>+('3 Planilla Preadjudicación OTIC'!BK6)</f>
        <v>7</v>
      </c>
      <c r="BJ6" s="6">
        <f>+('3 Planilla Preadjudicación OTIC'!BL6)</f>
        <v>7</v>
      </c>
      <c r="BK6" s="6">
        <f>+('3 Planilla Preadjudicación OTIC'!BM6)</f>
        <v>7</v>
      </c>
      <c r="BL6" s="6">
        <f>+('3 Planilla Preadjudicación OTIC'!BN6)</f>
        <v>7</v>
      </c>
      <c r="BM6" s="108">
        <f>ROUND(('3 Planilla Preadjudicación OTIC'!BO6),1)</f>
        <v>6.4</v>
      </c>
      <c r="BN6" s="8" t="str">
        <f>+('3 Planilla Preadjudicación OTIC'!BP6)</f>
        <v>NO</v>
      </c>
      <c r="BO6" s="8" t="str">
        <f>+('3 Planilla Preadjudicación OTIC'!BQ6)</f>
        <v>Osvaldo Sotomayor Baeza</v>
      </c>
      <c r="BP6" s="8" t="str">
        <f>+('3 Planilla Preadjudicación OTIC'!BR6)</f>
        <v>gerencia@caitec.cl</v>
      </c>
      <c r="BQ6" s="8">
        <f>+('3 Planilla Preadjudicación OTIC'!BS6)</f>
        <v>722604254</v>
      </c>
      <c r="BR6" s="8" t="str">
        <f>+('3 Planilla Preadjudicación OTIC'!BT6)</f>
        <v>Avenida La hacienda N° 1589, Renca</v>
      </c>
      <c r="BS6" s="8">
        <f>+('3 Planilla Preadjudicación OTIC'!BU6)</f>
        <v>0</v>
      </c>
      <c r="BT6" s="8">
        <f>+('3 Planilla Preadjudicación OTIC'!BV6)</f>
        <v>0</v>
      </c>
      <c r="BU6" s="89">
        <f>IF(VLOOKUP(A6,'BD OFICIAL'!$A$1:$AL$2099,7,0)=D6,0,1)</f>
        <v>0</v>
      </c>
      <c r="BV6" s="89">
        <f>IF(VLOOKUP(A6,'BD OFICIAL'!$A$1:$AL$2099,11,0)=J6,0,1)</f>
        <v>0</v>
      </c>
      <c r="BW6" s="89">
        <f>IF(VLOOKUP(A6,'BD OFICIAL'!$A$1:$AL$2099,13,0)=L6,0,1)</f>
        <v>0</v>
      </c>
      <c r="BX6" s="6">
        <f>IF(VLOOKUP(A6,'BD OFICIAL'!$A$1:$AL$2099,16,0)=O6,0,1)</f>
        <v>0</v>
      </c>
      <c r="BY6" s="6">
        <f>IF(VLOOKUP(A6,'BD OFICIAL'!$A$1:$AL$2099,17,0)=P6,0,1)</f>
        <v>0</v>
      </c>
      <c r="BZ6" s="6">
        <f>IF(VLOOKUP(A6,'BD OFICIAL'!$A$1:$AL$2099,19,0)=R6,0,1)</f>
        <v>0</v>
      </c>
      <c r="CA6" s="6">
        <f>IF(VLOOKUP(A6,'BD OFICIAL'!$A$1:$AL$2099,21,0)=T6,0,1)</f>
        <v>0</v>
      </c>
      <c r="CB6" s="6">
        <f>IF(VLOOKUP(A6,'BD OFICIAL'!$A$1:$AL$2099,24,0)=AK6,0,1)</f>
        <v>0</v>
      </c>
      <c r="CC6" s="6">
        <f>IF(VLOOKUP(A6,'BD OFICIAL'!$A$1:$AL$2099,25,0)=X6,0,1)</f>
        <v>0</v>
      </c>
      <c r="CD6" s="6">
        <f>IF(VLOOKUP(A6,'BD OFICIAL'!$A$1:$AL$2099,26,0)=Y6,0,1)</f>
        <v>0</v>
      </c>
      <c r="CE6" s="6">
        <f>IF(VLOOKUP(A6,'BD OFICIAL'!$A$1:$AL$2099,27,0)=Z6,0,1)</f>
        <v>0</v>
      </c>
      <c r="CF6" s="6">
        <f>IF(VLOOKUP(A6,'BD OFICIAL'!$A$1:$AL$2099,28,0)=AA6,0,1)</f>
        <v>0</v>
      </c>
      <c r="CG6" s="6">
        <f>IF(VLOOKUP(A6,'BD OFICIAL'!$A$1:$AL$1057,33,0)=AF6,0,1)</f>
        <v>0</v>
      </c>
      <c r="CH6" s="6">
        <f>IF(VLOOKUP(A6,'BD OFICIAL'!$A$1:$AL$2099,35,0)=AH6,0,1)</f>
        <v>0</v>
      </c>
      <c r="CI6" s="89">
        <f>IF(VLOOKUP(A6,'BD OFICIAL'!$A$1:$AL$2099,34,0)=AL6,0,1)</f>
        <v>0</v>
      </c>
      <c r="CJ6" s="89">
        <f>VLOOKUP(A6,'BD OFICIAL'!$A$1:$AM$2099,36,0)*AM6-AP6</f>
        <v>0</v>
      </c>
      <c r="CK6" s="89" t="str">
        <f t="shared" si="0"/>
        <v>SSH</v>
      </c>
      <c r="CL6" s="89" t="str">
        <f t="shared" si="1"/>
        <v>SI</v>
      </c>
      <c r="CM6" s="89" t="str">
        <f t="shared" si="2"/>
        <v>NO</v>
      </c>
      <c r="CN6" s="35">
        <f t="shared" si="3"/>
        <v>0</v>
      </c>
      <c r="CO6" s="35">
        <f t="shared" si="19"/>
        <v>0</v>
      </c>
      <c r="CP6" s="35">
        <f t="shared" si="20"/>
        <v>0</v>
      </c>
      <c r="CQ6" s="35">
        <f>IF(VLOOKUP(A6,'BD OFICIAL'!$A:$AT,40,0)=AQ6,0,1)</f>
        <v>0</v>
      </c>
      <c r="CR6" s="35">
        <f>IF(VLOOKUP(A6,'BD OFICIAL'!$A:$AT,41,0)=AS6,0,1)</f>
        <v>0</v>
      </c>
      <c r="CS6" s="35">
        <f t="shared" si="21"/>
        <v>0</v>
      </c>
      <c r="CT6" s="35">
        <f t="shared" si="4"/>
        <v>0</v>
      </c>
      <c r="CU6" s="35">
        <f>IF(VLOOKUP(A6,'BD OFICIAL'!$A$1:$AL$1057,31,0)="SI",IF(AT6&gt;0,0,1),IF(AT6=0,0,1))</f>
        <v>0</v>
      </c>
      <c r="CV6" s="35">
        <f t="shared" si="5"/>
        <v>0</v>
      </c>
      <c r="CW6" s="35">
        <f t="shared" si="6"/>
        <v>0</v>
      </c>
      <c r="CX6" s="89" t="str">
        <f t="shared" si="7"/>
        <v>SI</v>
      </c>
      <c r="CY6" s="35">
        <f t="shared" si="8"/>
        <v>0</v>
      </c>
      <c r="CZ6" s="89" t="str">
        <f>IF(ISERROR(VLOOKUP(AI6,EXPERIENCIA!$A$1:$C$2100,1,0)),"NO","SI")</f>
        <v>SI</v>
      </c>
      <c r="DA6" s="89">
        <f>IF(CX6="no","NO APLICA",IF(AX6=0,"ERROR NOTA",IF(AND(AX6&gt;1,CZ6="NO"),"ERROR NOTA",IF(AND(CZ6="NO",AX6=1),0,IF(VLOOKUP(AI6,EXPERIENCIA!$A$1:$C$2100,3,0)=AX6,0,"ERROR NOTA")))))</f>
        <v>0</v>
      </c>
      <c r="DB6" s="89" t="str">
        <f>IF(ISERROR(VLOOKUP(AI6,COMPORTAMIENTO!$A$1:$C$2100,1,0)),"NO","SI")</f>
        <v>SI</v>
      </c>
      <c r="DC6" s="89">
        <f>IF(CX6="NO","NO APLICA",IF(AY6=0,"ERROR NOTA",IF(AND(DB6="NO",AY6=7),0,IF(VLOOKUP(AI6,COMPORTAMIENTO!$A$2:$H$2100,8,0)=AY6,0,"ERROR NOTA"))))</f>
        <v>0</v>
      </c>
      <c r="DD6" s="108">
        <f t="shared" si="9"/>
        <v>0.30000000000000004</v>
      </c>
      <c r="DE6" s="108">
        <f t="shared" si="10"/>
        <v>0.5</v>
      </c>
      <c r="DF6" s="89" t="str">
        <f t="shared" si="22"/>
        <v>SI</v>
      </c>
      <c r="DG6" s="89">
        <f t="shared" si="11"/>
        <v>0</v>
      </c>
      <c r="DH6" s="89">
        <f t="shared" si="12"/>
        <v>0</v>
      </c>
      <c r="DI6" s="89">
        <f t="shared" si="23"/>
        <v>0</v>
      </c>
      <c r="DJ6" s="16">
        <f t="shared" si="13"/>
        <v>7.0000000000000009</v>
      </c>
      <c r="DK6" s="11">
        <f t="shared" si="24"/>
        <v>7.0000000000000009</v>
      </c>
      <c r="DL6" s="16">
        <f t="shared" si="14"/>
        <v>5075</v>
      </c>
      <c r="DM6" s="16">
        <f>VLOOKUP(A6,'5 TD'!$A$3:$B$35,2,0)</f>
        <v>5075</v>
      </c>
      <c r="DN6" s="11">
        <f t="shared" si="25"/>
        <v>7</v>
      </c>
      <c r="DO6" s="89" t="str">
        <f t="shared" si="26"/>
        <v>APROBADO</v>
      </c>
      <c r="DP6" s="89" t="str">
        <f t="shared" si="27"/>
        <v>APROBADO</v>
      </c>
      <c r="DQ6" s="11">
        <f t="shared" si="28"/>
        <v>6.4</v>
      </c>
      <c r="DR6" s="89" t="str">
        <f t="shared" si="29"/>
        <v>APROBADO</v>
      </c>
      <c r="DS6" s="6" t="str">
        <f>+('3 Planilla Preadjudicación OTIC'!BP6)</f>
        <v>NO</v>
      </c>
      <c r="DT6" s="6">
        <f>IF(DR6="APROBADO",VLOOKUP(A6,'5 TD'!$D$3:$E$270,2,0),"NO APLICA")</f>
        <v>6.6</v>
      </c>
      <c r="DU6" s="6" t="str">
        <f t="shared" si="30"/>
        <v>NO</v>
      </c>
      <c r="DV6" s="6" t="str">
        <f>IF(DU6="SI",VLOOKUP(A6,'5 TD'!$G$3:$H$270,2,0),"NO APLICA ")</f>
        <v xml:space="preserve">NO APLICA </v>
      </c>
      <c r="DW6" s="6" t="str">
        <f t="shared" si="15"/>
        <v>NO</v>
      </c>
      <c r="DX6" s="6" t="str">
        <f>IF(DW6="SI",VLOOKUP(A6,'5 TD'!$J$4:$K$472,2,0),"NO APLICA")</f>
        <v>NO APLICA</v>
      </c>
      <c r="DY6" s="6" t="str">
        <f t="shared" si="16"/>
        <v>NO APLICA</v>
      </c>
      <c r="DZ6" s="11" t="str">
        <f>IF(DY6="SI",VLOOKUP(A6,'5 TD'!$M$4:$N$350,2,0),"NO APLICA")</f>
        <v>NO APLICA</v>
      </c>
      <c r="EA6" s="6" t="str">
        <f t="shared" si="17"/>
        <v>NO APLICA</v>
      </c>
      <c r="EB6" s="16" t="str">
        <f t="shared" si="18"/>
        <v/>
      </c>
      <c r="EC6" s="16" t="str">
        <f>IF(EA6="SI",VLOOKUP(A6,'5 TD'!$V$4:$W$479,2,0),"NO APLICA")</f>
        <v>NO APLICA</v>
      </c>
      <c r="ED6" s="6" t="str">
        <f t="shared" si="31"/>
        <v>NO</v>
      </c>
      <c r="EE6" s="83" t="str">
        <f>IF(ED6="SI",VLOOKUP(AI6,COMPORTAMIENTO!$A$1:$H$2100,7,0),"NO APLICA")</f>
        <v>NO APLICA</v>
      </c>
      <c r="EF6" s="16" t="str">
        <f>IF(ED6="SI",VLOOKUP(A6,'5 TD'!$P$2:$Q$479,2,0),"NO APLICA")</f>
        <v>NO APLICA</v>
      </c>
      <c r="EG6" s="6" t="str">
        <f t="shared" si="32"/>
        <v>NO</v>
      </c>
      <c r="EH6" s="6">
        <f>IF(CZ6="no",0,VLOOKUP(AI6,EXPERIENCIA!$A$1:$C$2100,2,0))</f>
        <v>43</v>
      </c>
      <c r="EI6" s="6">
        <f>IF(CZ6="si",VLOOKUP(A6,'5 TD'!$S$3:$T$2103,2,0),0)</f>
        <v>43</v>
      </c>
      <c r="EJ6" s="6" t="str">
        <f t="shared" si="33"/>
        <v>SI</v>
      </c>
      <c r="EK6" s="6">
        <f>+('3 Planilla Preadjudicación OTIC'!BW6)</f>
        <v>0</v>
      </c>
      <c r="EQ6" s="7"/>
    </row>
    <row r="7" spans="1:147" s="34" customFormat="1" ht="12.75" x14ac:dyDescent="0.2">
      <c r="A7" s="6">
        <f>+('3 Planilla Preadjudicación OTIC'!A7)</f>
        <v>14283</v>
      </c>
      <c r="B7" s="6" t="str">
        <f>+('3 Planilla Preadjudicación OTIC'!B7)</f>
        <v>SOFOFA</v>
      </c>
      <c r="C7" s="8">
        <f>+('3 Planilla Preadjudicación OTIC'!E7)</f>
        <v>2025</v>
      </c>
      <c r="D7" s="8" t="str">
        <f>+('3 Planilla Preadjudicación OTIC'!F7)</f>
        <v>MANDATO</v>
      </c>
      <c r="E7" s="8" t="str">
        <f>+('3 Planilla Preadjudicación OTIC'!G7)</f>
        <v>65181652-1</v>
      </c>
      <c r="F7" s="8" t="str">
        <f>+('3 Planilla Preadjudicación OTIC'!H7)</f>
        <v>SOFOFA</v>
      </c>
      <c r="G7" s="8" t="str">
        <f>+('3 Planilla Preadjudicación OTIC'!I7)</f>
        <v>53333861-5</v>
      </c>
      <c r="H7" s="8" t="str">
        <f>+('3 Planilla Preadjudicación OTIC'!J7)</f>
        <v>FUNDACIÓN DE BENEFICENCIA PÚBLICA, CIENTÍFICA Y EDUCACIONAL TRES HOJAS</v>
      </c>
      <c r="I7" s="8" t="str">
        <f>+('3 Planilla Preadjudicación OTIC'!K7)</f>
        <v>INTEGRACIÓN DE COMPETENCIAS ESPECIALIZADAS DE PRODUCCIÓN LECHERA, EN LA FORMACIÓN DE TÉCNICOS AGROPECUARIOS.</v>
      </c>
      <c r="J7" s="8" t="str">
        <f>+('3 Planilla Preadjudicación OTIC'!L7)</f>
        <v>SIN PLAN FORMATIVO</v>
      </c>
      <c r="K7" s="8" t="str">
        <f>+('3 Planilla Preadjudicación OTIC'!M7)</f>
        <v>APRESTO LABORAL PARA EL TRABAJO</v>
      </c>
      <c r="L7" s="8" t="str">
        <f>+('3 Planilla Preadjudicación OTIC'!N7)</f>
        <v>PF0916</v>
      </c>
      <c r="M7" s="6">
        <f>+('3 Planilla Preadjudicación OTIC'!O7)</f>
        <v>10</v>
      </c>
      <c r="N7" s="8">
        <f>+('3 Planilla Preadjudicación OTIC'!P7)</f>
        <v>0</v>
      </c>
      <c r="O7" s="8" t="str">
        <f>+('3 Planilla Preadjudicación OTIC'!Q7)</f>
        <v>SAN PABLO</v>
      </c>
      <c r="P7" s="8" t="str">
        <f>+('3 Planilla Preadjudicación OTIC'!R7)</f>
        <v>ESTUDIANTES DE CUARTO AÑO DE ENSEÑANZA MEDIA O DE LICEOS TÉCNICOS PROFESIONALES.</v>
      </c>
      <c r="Q7" s="8" t="str">
        <f>+('3 Planilla Preadjudicación OTIC'!S7)</f>
        <v>PRESENCIAL</v>
      </c>
      <c r="R7" s="8" t="str">
        <f>+('3 Planilla Preadjudicación OTIC'!T7)</f>
        <v>DEPENDIENTE</v>
      </c>
      <c r="S7" s="8" t="str">
        <f>+('3 Planilla Preadjudicación OTIC'!U7)</f>
        <v>07. MIÉRCOLES - MAÑANA</v>
      </c>
      <c r="T7" s="6">
        <f>+('3 Planilla Preadjudicación OTIC'!V7)</f>
        <v>20</v>
      </c>
      <c r="U7" s="6">
        <f>+('3 Planilla Preadjudicación OTIC'!W7)</f>
        <v>0</v>
      </c>
      <c r="V7" s="6">
        <f>+('3 Planilla Preadjudicación OTIC'!X7)</f>
        <v>0</v>
      </c>
      <c r="W7" s="6">
        <f>+('3 Planilla Preadjudicación OTIC'!Y7)</f>
        <v>224</v>
      </c>
      <c r="X7" s="6">
        <f>+('3 Planilla Preadjudicación OTIC'!Z7)</f>
        <v>8</v>
      </c>
      <c r="Y7" s="6" t="str">
        <f>+('3 Planilla Preadjudicación OTIC'!AA7)</f>
        <v>SI</v>
      </c>
      <c r="Z7" s="6" t="str">
        <f>+('3 Planilla Preadjudicación OTIC'!AB7)</f>
        <v>NO</v>
      </c>
      <c r="AA7" s="6" t="str">
        <f>+('3 Planilla Preadjudicación OTIC'!AC7)</f>
        <v>NO</v>
      </c>
      <c r="AB7" s="8" t="str">
        <f>+('3 Planilla Preadjudicación OTIC'!AD7)</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7" s="8" t="str">
        <f>+('3 Planilla Preadjudicación OTIC'!AE7)</f>
        <v>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7" s="6" t="str">
        <f>+('3 Planilla Preadjudicación OTIC'!AF7)</f>
        <v>NO</v>
      </c>
      <c r="AE7" s="8">
        <f>+('3 Planilla Preadjudicación OTIC'!AG7)</f>
        <v>0</v>
      </c>
      <c r="AF7" s="6" t="str">
        <f>+('3 Planilla Preadjudicación OTIC'!AH7)</f>
        <v>CERRADA</v>
      </c>
      <c r="AG7" s="6">
        <f>+('3 Planilla Preadjudicación OTIC'!AI7)</f>
        <v>28</v>
      </c>
      <c r="AH7" s="6">
        <f>+('3 Planilla Preadjudicación OTIC'!AJ7)</f>
        <v>3</v>
      </c>
      <c r="AI7" s="140" t="str">
        <f>+('3 Planilla Preadjudicación OTIC'!AK7)</f>
        <v>76715240-K</v>
      </c>
      <c r="AJ7" s="8" t="str">
        <f>+('3 Planilla Preadjudicación OTIC'!AL7)</f>
        <v>CAPACITACION INTEGRAL LTDA</v>
      </c>
      <c r="AK7" s="6">
        <f>+('3 Planilla Preadjudicación OTIC'!AM7)</f>
        <v>224</v>
      </c>
      <c r="AL7" s="6">
        <f>+('3 Planilla Preadjudicación OTIC'!AN7)</f>
        <v>28</v>
      </c>
      <c r="AM7" s="16">
        <f>+('3 Planilla Preadjudicación OTIC'!AO7)</f>
        <v>6373</v>
      </c>
      <c r="AN7" s="16">
        <f>+('3 Planilla Preadjudicación OTIC'!AP7)</f>
        <v>0</v>
      </c>
      <c r="AO7" s="16">
        <f>+('3 Planilla Preadjudicación OTIC'!AQ7)</f>
        <v>0</v>
      </c>
      <c r="AP7" s="16">
        <f>+('3 Planilla Preadjudicación OTIC'!AR7)</f>
        <v>28551040</v>
      </c>
      <c r="AQ7" s="16">
        <f>+('3 Planilla Preadjudicación OTIC'!AS7)</f>
        <v>2240000</v>
      </c>
      <c r="AR7" s="16">
        <f>+('3 Planilla Preadjudicación OTIC'!AT7)</f>
        <v>0</v>
      </c>
      <c r="AS7" s="16">
        <f>+('3 Planilla Preadjudicación OTIC'!AU7)</f>
        <v>0</v>
      </c>
      <c r="AT7" s="16">
        <f>+('3 Planilla Preadjudicación OTIC'!AV7)</f>
        <v>0</v>
      </c>
      <c r="AU7" s="16">
        <f>+('3 Planilla Preadjudicación OTIC'!AW7)</f>
        <v>30791040</v>
      </c>
      <c r="AV7" s="158" t="str">
        <f>+('3 Planilla Preadjudicación OTIC'!AX7)</f>
        <v>NO</v>
      </c>
      <c r="AW7" s="8" t="str">
        <f>+('3 Planilla Preadjudicación OTIC'!AY7)</f>
        <v>NUMERAL 6.1.2. ÍTEM 1 - NO DESARROLLA METODOLOGÍA PARA EL MODULO 10 DEL CURSO / 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7" s="6">
        <f>+('3 Planilla Preadjudicación OTIC'!AZ7)</f>
        <v>0</v>
      </c>
      <c r="AY7" s="6">
        <f>+('3 Planilla Preadjudicación OTIC'!BA7)</f>
        <v>0</v>
      </c>
      <c r="AZ7" s="6">
        <f>+('3 Planilla Preadjudicación OTIC'!BB7)</f>
        <v>0</v>
      </c>
      <c r="BA7" s="6">
        <f>+('3 Planilla Preadjudicación OTIC'!BC7)</f>
        <v>0</v>
      </c>
      <c r="BB7" s="6">
        <f>+('3 Planilla Preadjudicación OTIC'!BD7)</f>
        <v>0</v>
      </c>
      <c r="BC7" s="6">
        <f>+('3 Planilla Preadjudicación OTIC'!BE7)</f>
        <v>0</v>
      </c>
      <c r="BD7" s="6">
        <f>+('3 Planilla Preadjudicación OTIC'!BF7)</f>
        <v>0</v>
      </c>
      <c r="BE7" s="6">
        <f>+('3 Planilla Preadjudicación OTIC'!BG7)</f>
        <v>0</v>
      </c>
      <c r="BF7" s="6">
        <f>+('3 Planilla Preadjudicación OTIC'!BH7)</f>
        <v>0</v>
      </c>
      <c r="BG7" s="6">
        <f>+('3 Planilla Preadjudicación OTIC'!BI7)</f>
        <v>0</v>
      </c>
      <c r="BH7" s="6">
        <f>+('3 Planilla Preadjudicación OTIC'!BJ7)</f>
        <v>0</v>
      </c>
      <c r="BI7" s="6">
        <f>+('3 Planilla Preadjudicación OTIC'!BK7)</f>
        <v>0</v>
      </c>
      <c r="BJ7" s="6">
        <f>+('3 Planilla Preadjudicación OTIC'!BL7)</f>
        <v>0</v>
      </c>
      <c r="BK7" s="6">
        <f>+('3 Planilla Preadjudicación OTIC'!BM7)</f>
        <v>0</v>
      </c>
      <c r="BL7" s="6">
        <f>+('3 Planilla Preadjudicación OTIC'!BN7)</f>
        <v>0</v>
      </c>
      <c r="BM7" s="108">
        <f>ROUND(('3 Planilla Preadjudicación OTIC'!BO7),1)</f>
        <v>0</v>
      </c>
      <c r="BN7" s="8" t="str">
        <f>+('3 Planilla Preadjudicación OTIC'!BP7)</f>
        <v>NO</v>
      </c>
      <c r="BO7" s="8" t="str">
        <f>+('3 Planilla Preadjudicación OTIC'!BQ7)</f>
        <v>Juan Landaeta</v>
      </c>
      <c r="BP7" s="8" t="str">
        <f>+('3 Planilla Preadjudicación OTIC'!BR7)</f>
        <v>jlandaeta@capchile.cl</v>
      </c>
      <c r="BQ7" s="8">
        <f>+('3 Planilla Preadjudicación OTIC'!BS7)</f>
        <v>989200476</v>
      </c>
      <c r="BR7" s="8" t="str">
        <f>+('3 Planilla Preadjudicación OTIC'!BT7)</f>
        <v>Pilmaiquén S/N, San Pablo</v>
      </c>
      <c r="BS7" s="8">
        <f>+('3 Planilla Preadjudicación OTIC'!BU7)</f>
        <v>0</v>
      </c>
      <c r="BT7" s="8">
        <f>+('3 Planilla Preadjudicación OTIC'!BV7)</f>
        <v>0</v>
      </c>
      <c r="BU7" s="89">
        <f>IF(VLOOKUP(A7,'BD OFICIAL'!$A$1:$AL$2099,7,0)=D7,0,1)</f>
        <v>0</v>
      </c>
      <c r="BV7" s="89">
        <f>IF(VLOOKUP(A7,'BD OFICIAL'!$A$1:$AL$2099,11,0)=J7,0,1)</f>
        <v>0</v>
      </c>
      <c r="BW7" s="89">
        <f>IF(VLOOKUP(A7,'BD OFICIAL'!$A$1:$AL$2099,13,0)=L7,0,1)</f>
        <v>0</v>
      </c>
      <c r="BX7" s="6">
        <f>IF(VLOOKUP(A7,'BD OFICIAL'!$A$1:$AL$2099,16,0)=O7,0,1)</f>
        <v>0</v>
      </c>
      <c r="BY7" s="6">
        <f>IF(VLOOKUP(A7,'BD OFICIAL'!$A$1:$AL$2099,17,0)=P7,0,1)</f>
        <v>0</v>
      </c>
      <c r="BZ7" s="6">
        <f>IF(VLOOKUP(A7,'BD OFICIAL'!$A$1:$AL$2099,19,0)=R7,0,1)</f>
        <v>0</v>
      </c>
      <c r="CA7" s="6">
        <f>IF(VLOOKUP(A7,'BD OFICIAL'!$A$1:$AL$2099,21,0)=T7,0,1)</f>
        <v>0</v>
      </c>
      <c r="CB7" s="6">
        <f>IF(VLOOKUP(A7,'BD OFICIAL'!$A$1:$AL$2099,24,0)=AK7,0,1)</f>
        <v>0</v>
      </c>
      <c r="CC7" s="6">
        <f>IF(VLOOKUP(A7,'BD OFICIAL'!$A$1:$AL$2099,25,0)=X7,0,1)</f>
        <v>0</v>
      </c>
      <c r="CD7" s="6">
        <f>IF(VLOOKUP(A7,'BD OFICIAL'!$A$1:$AL$2099,26,0)=Y7,0,1)</f>
        <v>0</v>
      </c>
      <c r="CE7" s="6">
        <f>IF(VLOOKUP(A7,'BD OFICIAL'!$A$1:$AL$2099,27,0)=Z7,0,1)</f>
        <v>0</v>
      </c>
      <c r="CF7" s="6">
        <f>IF(VLOOKUP(A7,'BD OFICIAL'!$A$1:$AL$2099,28,0)=AA7,0,1)</f>
        <v>0</v>
      </c>
      <c r="CG7" s="6">
        <f>IF(VLOOKUP(A7,'BD OFICIAL'!$A$1:$AL$1057,33,0)=AF7,0,1)</f>
        <v>0</v>
      </c>
      <c r="CH7" s="6">
        <f>IF(VLOOKUP(A7,'BD OFICIAL'!$A$1:$AL$2099,35,0)=AH7,0,1)</f>
        <v>0</v>
      </c>
      <c r="CI7" s="89">
        <f>IF(VLOOKUP(A7,'BD OFICIAL'!$A$1:$AL$2099,34,0)=AL7,0,1)</f>
        <v>0</v>
      </c>
      <c r="CJ7" s="89">
        <f>VLOOKUP(A7,'BD OFICIAL'!$A$1:$AM$2099,36,0)*AM7-AP7</f>
        <v>0</v>
      </c>
      <c r="CK7" s="89" t="str">
        <f t="shared" si="0"/>
        <v>SSH</v>
      </c>
      <c r="CL7" s="89" t="str">
        <f t="shared" si="1"/>
        <v>NO</v>
      </c>
      <c r="CM7" s="89" t="str">
        <f t="shared" si="2"/>
        <v>NO</v>
      </c>
      <c r="CN7" s="35">
        <f t="shared" si="3"/>
        <v>0</v>
      </c>
      <c r="CO7" s="35">
        <f t="shared" si="19"/>
        <v>0</v>
      </c>
      <c r="CP7" s="35">
        <f t="shared" si="20"/>
        <v>0</v>
      </c>
      <c r="CQ7" s="35">
        <f>IF(VLOOKUP(A7,'BD OFICIAL'!$A:$AT,40,0)=AQ7,0,1)</f>
        <v>0</v>
      </c>
      <c r="CR7" s="35">
        <f>IF(VLOOKUP(A7,'BD OFICIAL'!$A:$AT,41,0)=AS7,0,1)</f>
        <v>0</v>
      </c>
      <c r="CS7" s="35">
        <f t="shared" si="21"/>
        <v>0</v>
      </c>
      <c r="CT7" s="35">
        <f t="shared" si="4"/>
        <v>0</v>
      </c>
      <c r="CU7" s="35">
        <f>IF(VLOOKUP(A7,'BD OFICIAL'!$A$1:$AL$1057,31,0)="SI",IF(AT7&gt;0,0,1),IF(AT7=0,0,1))</f>
        <v>0</v>
      </c>
      <c r="CV7" s="35">
        <f t="shared" si="5"/>
        <v>0</v>
      </c>
      <c r="CW7" s="35">
        <f t="shared" si="6"/>
        <v>0</v>
      </c>
      <c r="CX7" s="89" t="str">
        <f t="shared" si="7"/>
        <v>NO</v>
      </c>
      <c r="CY7" s="35">
        <f t="shared" si="8"/>
        <v>0</v>
      </c>
      <c r="CZ7" s="89" t="str">
        <f>IF(ISERROR(VLOOKUP(AI7,EXPERIENCIA!$A$1:$C$2100,1,0)),"NO","SI")</f>
        <v>SI</v>
      </c>
      <c r="DA7" s="89" t="str">
        <f>IF(CX7="no","NO APLICA",IF(AX7=0,"ERROR NOTA",IF(AND(AX7&gt;1,CZ7="NO"),"ERROR NOTA",IF(AND(CZ7="NO",AX7=1),0,IF(VLOOKUP(AI7,EXPERIENCIA!$A$1:$C$2100,3,0)=AX7,0,"ERROR NOTA")))))</f>
        <v>NO APLICA</v>
      </c>
      <c r="DB7" s="89" t="str">
        <f>IF(ISERROR(VLOOKUP(AI7,COMPORTAMIENTO!$A$1:$C$2100,1,0)),"NO","SI")</f>
        <v>SI</v>
      </c>
      <c r="DC7" s="89" t="str">
        <f>IF(CX7="NO","NO APLICA",IF(AY7=0,"ERROR NOTA",IF(AND(DB7="NO",AY7=7),0,IF(VLOOKUP(AI7,COMPORTAMIENTO!$A$2:$H$2100,8,0)=AY7,0,"ERROR NOTA"))))</f>
        <v>NO APLICA</v>
      </c>
      <c r="DD7" s="108" t="str">
        <f t="shared" si="9"/>
        <v>NO APLICA</v>
      </c>
      <c r="DE7" s="108" t="str">
        <f t="shared" si="10"/>
        <v>NO APLICA</v>
      </c>
      <c r="DF7" s="89" t="str">
        <f t="shared" si="22"/>
        <v>NO</v>
      </c>
      <c r="DG7" s="89">
        <f t="shared" si="11"/>
        <v>0</v>
      </c>
      <c r="DH7" s="89">
        <f t="shared" si="12"/>
        <v>0</v>
      </c>
      <c r="DI7" s="89" t="str">
        <f t="shared" si="23"/>
        <v>NO APLICA</v>
      </c>
      <c r="DJ7" s="16" t="str">
        <f t="shared" si="13"/>
        <v>NO APLICA</v>
      </c>
      <c r="DK7" s="11" t="str">
        <f t="shared" si="24"/>
        <v>NO APLICA</v>
      </c>
      <c r="DL7" s="16">
        <f t="shared" si="14"/>
        <v>6373</v>
      </c>
      <c r="DM7" s="16">
        <f>VLOOKUP(A7,'5 TD'!$A$3:$B$35,2,0)</f>
        <v>7434</v>
      </c>
      <c r="DN7" s="11" t="str">
        <f t="shared" si="25"/>
        <v>NO APLICA</v>
      </c>
      <c r="DO7" s="89" t="str">
        <f t="shared" si="26"/>
        <v>NO APLICA</v>
      </c>
      <c r="DP7" s="89" t="str">
        <f t="shared" si="27"/>
        <v>NO APLICA</v>
      </c>
      <c r="DQ7" s="11" t="str">
        <f t="shared" si="28"/>
        <v>NO APLICA</v>
      </c>
      <c r="DR7" s="89" t="str">
        <f t="shared" si="29"/>
        <v>NO APLICA</v>
      </c>
      <c r="DS7" s="6" t="str">
        <f>+('3 Planilla Preadjudicación OTIC'!BP7)</f>
        <v>NO</v>
      </c>
      <c r="DT7" s="6" t="str">
        <f>IF(DR7="APROBADO",VLOOKUP(A7,'5 TD'!$D$3:$E$270,2,0),"NO APLICA")</f>
        <v>NO APLICA</v>
      </c>
      <c r="DU7" s="6" t="str">
        <f t="shared" si="30"/>
        <v>NO APLICA</v>
      </c>
      <c r="DV7" s="6" t="str">
        <f>IF(DU7="SI",VLOOKUP(A7,'5 TD'!$G$3:$H$270,2,0),"NO APLICA ")</f>
        <v xml:space="preserve">NO APLICA </v>
      </c>
      <c r="DW7" s="6" t="str">
        <f t="shared" si="15"/>
        <v>NO</v>
      </c>
      <c r="DX7" s="6" t="str">
        <f>IF(DW7="SI",VLOOKUP(A7,'5 TD'!$J$4:$K$472,2,0),"NO APLICA")</f>
        <v>NO APLICA</v>
      </c>
      <c r="DY7" s="6" t="str">
        <f t="shared" si="16"/>
        <v>NO APLICA</v>
      </c>
      <c r="DZ7" s="11" t="str">
        <f>IF(DY7="SI",VLOOKUP(A7,'5 TD'!$M$4:$N$350,2,0),"NO APLICA")</f>
        <v>NO APLICA</v>
      </c>
      <c r="EA7" s="6" t="str">
        <f t="shared" si="17"/>
        <v>NO APLICA</v>
      </c>
      <c r="EB7" s="16" t="str">
        <f t="shared" si="18"/>
        <v/>
      </c>
      <c r="EC7" s="16" t="str">
        <f>IF(EA7="SI",VLOOKUP(A7,'5 TD'!$V$4:$W$479,2,0),"NO APLICA")</f>
        <v>NO APLICA</v>
      </c>
      <c r="ED7" s="6" t="str">
        <f t="shared" si="31"/>
        <v>NO</v>
      </c>
      <c r="EE7" s="83" t="str">
        <f>IF(ED7="SI",VLOOKUP(AI7,COMPORTAMIENTO!$A$1:$H$2100,7,0),"NO APLICA")</f>
        <v>NO APLICA</v>
      </c>
      <c r="EF7" s="16" t="str">
        <f>IF(ED7="SI",VLOOKUP(A7,'5 TD'!$P$2:$Q$479,2,0),"NO APLICA")</f>
        <v>NO APLICA</v>
      </c>
      <c r="EG7" s="6" t="str">
        <f t="shared" si="32"/>
        <v>NO</v>
      </c>
      <c r="EH7" s="6">
        <f>IF(CZ7="no",0,VLOOKUP(AI7,EXPERIENCIA!$A$1:$C$2100,2,0))</f>
        <v>85</v>
      </c>
      <c r="EI7" s="6">
        <f>IF(CZ7="si",VLOOKUP(A7,'5 TD'!$S$3:$T$2103,2,0),0)</f>
        <v>0</v>
      </c>
      <c r="EJ7" s="6" t="str">
        <f t="shared" si="33"/>
        <v>NO</v>
      </c>
      <c r="EK7" s="6">
        <f>+('3 Planilla Preadjudicación OTIC'!BW7)</f>
        <v>0</v>
      </c>
      <c r="EL7" s="34" t="s">
        <v>2390</v>
      </c>
      <c r="EM7" s="34" t="s">
        <v>2402</v>
      </c>
      <c r="EQ7" s="7"/>
    </row>
    <row r="8" spans="1:147" s="34" customFormat="1" ht="12.75" x14ac:dyDescent="0.2">
      <c r="A8" s="6">
        <f>+('3 Planilla Preadjudicación OTIC'!A8)</f>
        <v>14388</v>
      </c>
      <c r="B8" s="6" t="str">
        <f>+('3 Planilla Preadjudicación OTIC'!B8)</f>
        <v>SOFOFA</v>
      </c>
      <c r="C8" s="8">
        <f>+('3 Planilla Preadjudicación OTIC'!E8)</f>
        <v>2025</v>
      </c>
      <c r="D8" s="8" t="str">
        <f>+('3 Planilla Preadjudicación OTIC'!F8)</f>
        <v>MANDATO</v>
      </c>
      <c r="E8" s="8" t="str">
        <f>+('3 Planilla Preadjudicación OTIC'!G8)</f>
        <v>65181652-1</v>
      </c>
      <c r="F8" s="8" t="str">
        <f>+('3 Planilla Preadjudicación OTIC'!H8)</f>
        <v>SOFOFA</v>
      </c>
      <c r="G8" s="8" t="str">
        <f>+('3 Planilla Preadjudicación OTIC'!I8)</f>
        <v>65140022-8</v>
      </c>
      <c r="H8" s="8" t="str">
        <f>+('3 Planilla Preadjudicación OTIC'!J8)</f>
        <v>FUTURO DEL TRABAJO</v>
      </c>
      <c r="I8" s="8" t="str">
        <f>+('3 Planilla Preadjudicación OTIC'!K8)</f>
        <v>PROCESOS LOGÍSTICOS EN BODEGAS, CENTROS DE DISTRIBUCIÓN Y CENTROS DE TRANSFERENCIA</v>
      </c>
      <c r="J8" s="8" t="str">
        <f>+('3 Planilla Preadjudicación OTIC'!L8)</f>
        <v>PF1444</v>
      </c>
      <c r="K8" s="8">
        <f>+('3 Planilla Preadjudicación OTIC'!M8)</f>
        <v>0</v>
      </c>
      <c r="L8" s="8" t="str">
        <f>+('3 Planilla Preadjudicación OTIC'!N8)</f>
        <v/>
      </c>
      <c r="M8" s="6">
        <f>+('3 Planilla Preadjudicación OTIC'!O8)</f>
        <v>13</v>
      </c>
      <c r="N8" s="8">
        <f>+('3 Planilla Preadjudicación OTIC'!P8)</f>
        <v>0</v>
      </c>
      <c r="O8" s="8" t="str">
        <f>+('3 Planilla Preadjudicación OTIC'!Q8)</f>
        <v>RENCA</v>
      </c>
      <c r="P8" s="8" t="str">
        <f>+('3 Planilla Preadjudicación OTIC'!R8)</f>
        <v>ESTUDIANTES DE CUARTO AÑO DE ENSEÑANZA MEDIA O DE LICEOS TÉCNICOS PROFESIONALES.</v>
      </c>
      <c r="Q8" s="8" t="str">
        <f>+('3 Planilla Preadjudicación OTIC'!S8)</f>
        <v>PRESENCIAL</v>
      </c>
      <c r="R8" s="8" t="str">
        <f>+('3 Planilla Preadjudicación OTIC'!T8)</f>
        <v>DEPENDIENTE</v>
      </c>
      <c r="S8" s="8" t="str">
        <f>+('3 Planilla Preadjudicación OTIC'!U8)</f>
        <v>03. LUNES - VESPERTINO / 06. MARTES - VESPERTINO / 09. MIÉRCOLES - VESPERTINO / 12. JUEVES - VESPERTINO / 15. VIERNES - VESPERTINO</v>
      </c>
      <c r="T8" s="6">
        <f>+('3 Planilla Preadjudicación OTIC'!V8)</f>
        <v>16</v>
      </c>
      <c r="U8" s="6">
        <f>+('3 Planilla Preadjudicación OTIC'!W8)</f>
        <v>80</v>
      </c>
      <c r="V8" s="6">
        <f>+('3 Planilla Preadjudicación OTIC'!X8)</f>
        <v>0</v>
      </c>
      <c r="W8" s="6">
        <f>+('3 Planilla Preadjudicación OTIC'!Y8)</f>
        <v>80</v>
      </c>
      <c r="X8" s="6">
        <f>+('3 Planilla Preadjudicación OTIC'!Z8)</f>
        <v>4</v>
      </c>
      <c r="Y8" s="6" t="str">
        <f>+('3 Planilla Preadjudicación OTIC'!AA8)</f>
        <v>SI</v>
      </c>
      <c r="Z8" s="6" t="str">
        <f>+('3 Planilla Preadjudicación OTIC'!AB8)</f>
        <v>NO</v>
      </c>
      <c r="AA8" s="6" t="str">
        <f>+('3 Planilla Preadjudicación OTIC'!AC8)</f>
        <v>NO</v>
      </c>
      <c r="AB8" s="8">
        <f>+('3 Planilla Preadjudicación OTIC'!AD8)</f>
        <v>0</v>
      </c>
      <c r="AC8" s="8" t="str">
        <f>+('3 Planilla Preadjudicación OTIC'!AE8)</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8" s="6" t="str">
        <f>+('3 Planilla Preadjudicación OTIC'!AF8)</f>
        <v>NO</v>
      </c>
      <c r="AE8" s="8">
        <f>+('3 Planilla Preadjudicación OTIC'!AG8)</f>
        <v>0</v>
      </c>
      <c r="AF8" s="6" t="str">
        <f>+('3 Planilla Preadjudicación OTIC'!AH8)</f>
        <v>CERRADA</v>
      </c>
      <c r="AG8" s="6">
        <f>+('3 Planilla Preadjudicación OTIC'!AI8)</f>
        <v>20</v>
      </c>
      <c r="AH8" s="6">
        <f>+('3 Planilla Preadjudicación OTIC'!AJ8)</f>
        <v>3</v>
      </c>
      <c r="AI8" s="140" t="str">
        <f>+('3 Planilla Preadjudicación OTIC'!AK8)</f>
        <v>76460844-5</v>
      </c>
      <c r="AJ8" s="8" t="str">
        <f>+('3 Planilla Preadjudicación OTIC'!AL8)</f>
        <v>Servicios de Capacitación Caitec S.A.</v>
      </c>
      <c r="AK8" s="6">
        <f>+('3 Planilla Preadjudicación OTIC'!AM8)</f>
        <v>80</v>
      </c>
      <c r="AL8" s="6">
        <f>+('3 Planilla Preadjudicación OTIC'!AN8)</f>
        <v>20</v>
      </c>
      <c r="AM8" s="16">
        <f>+('3 Planilla Preadjudicación OTIC'!AO8)</f>
        <v>6373</v>
      </c>
      <c r="AN8" s="16">
        <f>+('3 Planilla Preadjudicación OTIC'!AP8)</f>
        <v>0</v>
      </c>
      <c r="AO8" s="16">
        <f>+('3 Planilla Preadjudicación OTIC'!AQ8)</f>
        <v>0</v>
      </c>
      <c r="AP8" s="16">
        <f>+('3 Planilla Preadjudicación OTIC'!AR8)</f>
        <v>8157440</v>
      </c>
      <c r="AQ8" s="16">
        <f>+('3 Planilla Preadjudicación OTIC'!AS8)</f>
        <v>1280000</v>
      </c>
      <c r="AR8" s="16">
        <f>+('3 Planilla Preadjudicación OTIC'!AT8)</f>
        <v>0</v>
      </c>
      <c r="AS8" s="16">
        <f>+('3 Planilla Preadjudicación OTIC'!AU8)</f>
        <v>0</v>
      </c>
      <c r="AT8" s="16">
        <f>+('3 Planilla Preadjudicación OTIC'!AV8)</f>
        <v>0</v>
      </c>
      <c r="AU8" s="16">
        <f>+('3 Planilla Preadjudicación OTIC'!AW8)</f>
        <v>9437440</v>
      </c>
      <c r="AV8" s="158" t="str">
        <f>+('3 Planilla Preadjudicación OTIC'!AX8)</f>
        <v>SI</v>
      </c>
      <c r="AW8" s="8">
        <f>+('3 Planilla Preadjudicación OTIC'!AY8)</f>
        <v>0</v>
      </c>
      <c r="AX8" s="6">
        <f>+('3 Planilla Preadjudicación OTIC'!AZ8)</f>
        <v>3</v>
      </c>
      <c r="AY8" s="6">
        <f>+('3 Planilla Preadjudicación OTIC'!BA8)</f>
        <v>5</v>
      </c>
      <c r="AZ8" s="6">
        <f>+('3 Planilla Preadjudicación OTIC'!BB8)</f>
        <v>0</v>
      </c>
      <c r="BA8" s="6">
        <f>+('3 Planilla Preadjudicación OTIC'!BC8)</f>
        <v>0</v>
      </c>
      <c r="BB8" s="6">
        <f>+('3 Planilla Preadjudicación OTIC'!BD8)</f>
        <v>0</v>
      </c>
      <c r="BC8" s="6">
        <f>+('3 Planilla Preadjudicación OTIC'!BE8)</f>
        <v>0</v>
      </c>
      <c r="BD8" s="6">
        <f>+('3 Planilla Preadjudicación OTIC'!BF8)</f>
        <v>0</v>
      </c>
      <c r="BE8" s="6">
        <f>+('3 Planilla Preadjudicación OTIC'!BG8)</f>
        <v>0</v>
      </c>
      <c r="BF8" s="6">
        <f>+('3 Planilla Preadjudicación OTIC'!BH8)</f>
        <v>0</v>
      </c>
      <c r="BG8" s="6">
        <f>+('3 Planilla Preadjudicación OTIC'!BI8)</f>
        <v>7</v>
      </c>
      <c r="BH8" s="6">
        <f>+('3 Planilla Preadjudicación OTIC'!BJ8)</f>
        <v>7</v>
      </c>
      <c r="BI8" s="6">
        <f>+('3 Planilla Preadjudicación OTIC'!BK8)</f>
        <v>7</v>
      </c>
      <c r="BJ8" s="6">
        <f>+('3 Planilla Preadjudicación OTIC'!BL8)</f>
        <v>7</v>
      </c>
      <c r="BK8" s="6">
        <f>+('3 Planilla Preadjudicación OTIC'!BM8)</f>
        <v>7</v>
      </c>
      <c r="BL8" s="6">
        <f>+('3 Planilla Preadjudicación OTIC'!BN8)</f>
        <v>7</v>
      </c>
      <c r="BM8" s="108">
        <f>ROUND(('3 Planilla Preadjudicación OTIC'!BO8),1)</f>
        <v>6.4</v>
      </c>
      <c r="BN8" s="8" t="str">
        <f>+('3 Planilla Preadjudicación OTIC'!BP8)</f>
        <v>NO</v>
      </c>
      <c r="BO8" s="8" t="str">
        <f>+('3 Planilla Preadjudicación OTIC'!BQ8)</f>
        <v>Osvaldo Sotomayor Baeza</v>
      </c>
      <c r="BP8" s="8" t="str">
        <f>+('3 Planilla Preadjudicación OTIC'!BR8)</f>
        <v>gerencia@caitec.cl</v>
      </c>
      <c r="BQ8" s="8">
        <f>+('3 Planilla Preadjudicación OTIC'!BS8)</f>
        <v>722604254</v>
      </c>
      <c r="BR8" s="8" t="str">
        <f>+('3 Planilla Preadjudicación OTIC'!BT8)</f>
        <v>Avenida La hacienda N° 1589, Renca</v>
      </c>
      <c r="BS8" s="8">
        <f>+('3 Planilla Preadjudicación OTIC'!BU8)</f>
        <v>0</v>
      </c>
      <c r="BT8" s="8">
        <f>+('3 Planilla Preadjudicación OTIC'!BV8)</f>
        <v>0</v>
      </c>
      <c r="BU8" s="89">
        <f>IF(VLOOKUP(A8,'BD OFICIAL'!$A$1:$AL$2099,7,0)=D8,0,1)</f>
        <v>0</v>
      </c>
      <c r="BV8" s="89">
        <f>IF(VLOOKUP(A8,'BD OFICIAL'!$A$1:$AL$2099,11,0)=J8,0,1)</f>
        <v>0</v>
      </c>
      <c r="BW8" s="89">
        <f>IF(VLOOKUP(A8,'BD OFICIAL'!$A$1:$AL$2099,13,0)=L8,0,1)</f>
        <v>0</v>
      </c>
      <c r="BX8" s="6">
        <f>IF(VLOOKUP(A8,'BD OFICIAL'!$A$1:$AL$2099,16,0)=O8,0,1)</f>
        <v>0</v>
      </c>
      <c r="BY8" s="6">
        <f>IF(VLOOKUP(A8,'BD OFICIAL'!$A$1:$AL$2099,17,0)=P8,0,1)</f>
        <v>0</v>
      </c>
      <c r="BZ8" s="6">
        <f>IF(VLOOKUP(A8,'BD OFICIAL'!$A$1:$AL$2099,19,0)=R8,0,1)</f>
        <v>0</v>
      </c>
      <c r="CA8" s="6">
        <f>IF(VLOOKUP(A8,'BD OFICIAL'!$A$1:$AL$2099,21,0)=T8,0,1)</f>
        <v>0</v>
      </c>
      <c r="CB8" s="6">
        <f>IF(VLOOKUP(A8,'BD OFICIAL'!$A$1:$AL$2099,24,0)=AK8,0,1)</f>
        <v>0</v>
      </c>
      <c r="CC8" s="6">
        <f>IF(VLOOKUP(A8,'BD OFICIAL'!$A$1:$AL$2099,25,0)=X8,0,1)</f>
        <v>0</v>
      </c>
      <c r="CD8" s="6">
        <f>IF(VLOOKUP(A8,'BD OFICIAL'!$A$1:$AL$2099,26,0)=Y8,0,1)</f>
        <v>0</v>
      </c>
      <c r="CE8" s="6">
        <f>IF(VLOOKUP(A8,'BD OFICIAL'!$A$1:$AL$2099,27,0)=Z8,0,1)</f>
        <v>0</v>
      </c>
      <c r="CF8" s="6">
        <f>IF(VLOOKUP(A8,'BD OFICIAL'!$A$1:$AL$2099,28,0)=AA8,0,1)</f>
        <v>0</v>
      </c>
      <c r="CG8" s="6">
        <f>IF(VLOOKUP(A8,'BD OFICIAL'!$A$1:$AL$1057,33,0)=AF8,0,1)</f>
        <v>0</v>
      </c>
      <c r="CH8" s="6">
        <f>IF(VLOOKUP(A8,'BD OFICIAL'!$A$1:$AL$2099,35,0)=AH8,0,1)</f>
        <v>0</v>
      </c>
      <c r="CI8" s="89">
        <f>IF(VLOOKUP(A8,'BD OFICIAL'!$A$1:$AL$2099,34,0)=AL8,0,1)</f>
        <v>0</v>
      </c>
      <c r="CJ8" s="89">
        <f>VLOOKUP(A8,'BD OFICIAL'!$A$1:$AM$2099,36,0)*AM8-AP8</f>
        <v>0</v>
      </c>
      <c r="CK8" s="89" t="str">
        <f t="shared" si="0"/>
        <v>SSH</v>
      </c>
      <c r="CL8" s="89" t="str">
        <f t="shared" si="1"/>
        <v>SI</v>
      </c>
      <c r="CM8" s="89" t="str">
        <f t="shared" si="2"/>
        <v>NO</v>
      </c>
      <c r="CN8" s="35">
        <f t="shared" si="3"/>
        <v>0</v>
      </c>
      <c r="CO8" s="35">
        <f t="shared" si="19"/>
        <v>0</v>
      </c>
      <c r="CP8" s="35">
        <f t="shared" si="20"/>
        <v>0</v>
      </c>
      <c r="CQ8" s="35">
        <f>IF(VLOOKUP(A8,'BD OFICIAL'!$A:$AT,40,0)=AQ8,0,1)</f>
        <v>0</v>
      </c>
      <c r="CR8" s="35">
        <f>IF(VLOOKUP(A8,'BD OFICIAL'!$A:$AT,41,0)=AS8,0,1)</f>
        <v>0</v>
      </c>
      <c r="CS8" s="35">
        <f t="shared" si="21"/>
        <v>0</v>
      </c>
      <c r="CT8" s="35">
        <f t="shared" si="4"/>
        <v>0</v>
      </c>
      <c r="CU8" s="35">
        <f>IF(VLOOKUP(A8,'BD OFICIAL'!$A$1:$AL$1057,31,0)="SI",IF(AT8&gt;0,0,1),IF(AT8=0,0,1))</f>
        <v>0</v>
      </c>
      <c r="CV8" s="35">
        <f t="shared" si="5"/>
        <v>0</v>
      </c>
      <c r="CW8" s="35">
        <f t="shared" si="6"/>
        <v>0</v>
      </c>
      <c r="CX8" s="89" t="str">
        <f t="shared" si="7"/>
        <v>SI</v>
      </c>
      <c r="CY8" s="35">
        <f t="shared" si="8"/>
        <v>0</v>
      </c>
      <c r="CZ8" s="89" t="str">
        <f>IF(ISERROR(VLOOKUP(AI8,EXPERIENCIA!$A$1:$C$2100,1,0)),"NO","SI")</f>
        <v>SI</v>
      </c>
      <c r="DA8" s="89">
        <f>IF(CX8="no","NO APLICA",IF(AX8=0,"ERROR NOTA",IF(AND(AX8&gt;1,CZ8="NO"),"ERROR NOTA",IF(AND(CZ8="NO",AX8=1),0,IF(VLOOKUP(AI8,EXPERIENCIA!$A$1:$C$2100,3,0)=AX8,0,"ERROR NOTA")))))</f>
        <v>0</v>
      </c>
      <c r="DB8" s="89" t="str">
        <f>IF(ISERROR(VLOOKUP(AI8,COMPORTAMIENTO!$A$1:$C$2100,1,0)),"NO","SI")</f>
        <v>SI</v>
      </c>
      <c r="DC8" s="89">
        <f>IF(CX8="NO","NO APLICA",IF(AY8=0,"ERROR NOTA",IF(AND(DB8="NO",AY8=7),0,IF(VLOOKUP(AI8,COMPORTAMIENTO!$A$2:$H$2100,8,0)=AY8,0,"ERROR NOTA"))))</f>
        <v>0</v>
      </c>
      <c r="DD8" s="108">
        <f t="shared" si="9"/>
        <v>0.30000000000000004</v>
      </c>
      <c r="DE8" s="108">
        <f t="shared" si="10"/>
        <v>0.5</v>
      </c>
      <c r="DF8" s="89" t="str">
        <f t="shared" si="22"/>
        <v>SI</v>
      </c>
      <c r="DG8" s="89">
        <f t="shared" si="11"/>
        <v>0</v>
      </c>
      <c r="DH8" s="89">
        <f t="shared" si="12"/>
        <v>0</v>
      </c>
      <c r="DI8" s="89">
        <f t="shared" si="23"/>
        <v>0</v>
      </c>
      <c r="DJ8" s="16">
        <f t="shared" si="13"/>
        <v>7.0000000000000009</v>
      </c>
      <c r="DK8" s="11">
        <f t="shared" si="24"/>
        <v>7.0000000000000009</v>
      </c>
      <c r="DL8" s="16">
        <f t="shared" si="14"/>
        <v>6373</v>
      </c>
      <c r="DM8" s="16">
        <f>VLOOKUP(A8,'5 TD'!$A$3:$B$35,2,0)</f>
        <v>6373</v>
      </c>
      <c r="DN8" s="11">
        <f t="shared" si="25"/>
        <v>7</v>
      </c>
      <c r="DO8" s="89" t="str">
        <f t="shared" si="26"/>
        <v>APROBADO</v>
      </c>
      <c r="DP8" s="89" t="str">
        <f t="shared" si="27"/>
        <v>APROBADO</v>
      </c>
      <c r="DQ8" s="11">
        <f t="shared" si="28"/>
        <v>6.4</v>
      </c>
      <c r="DR8" s="89" t="str">
        <f t="shared" si="29"/>
        <v>APROBADO</v>
      </c>
      <c r="DS8" s="6" t="str">
        <f>+('3 Planilla Preadjudicación OTIC'!BP8)</f>
        <v>NO</v>
      </c>
      <c r="DT8" s="6">
        <f>IF(DR8="APROBADO",VLOOKUP(A8,'5 TD'!$D$3:$E$270,2,0),"NO APLICA")</f>
        <v>7</v>
      </c>
      <c r="DU8" s="6" t="str">
        <f t="shared" si="30"/>
        <v>NO</v>
      </c>
      <c r="DV8" s="6" t="str">
        <f>IF(DU8="SI",VLOOKUP(A8,'5 TD'!$G$3:$H$270,2,0),"NO APLICA ")</f>
        <v xml:space="preserve">NO APLICA </v>
      </c>
      <c r="DW8" s="6" t="str">
        <f t="shared" si="15"/>
        <v>NO</v>
      </c>
      <c r="DX8" s="6" t="str">
        <f>IF(DW8="SI",VLOOKUP(A8,'5 TD'!$J$4:$K$472,2,0),"NO APLICA")</f>
        <v>NO APLICA</v>
      </c>
      <c r="DY8" s="6" t="str">
        <f t="shared" si="16"/>
        <v>NO APLICA</v>
      </c>
      <c r="DZ8" s="11" t="str">
        <f>IF(DY8="SI",VLOOKUP(A8,'5 TD'!$M$4:$N$350,2,0),"NO APLICA")</f>
        <v>NO APLICA</v>
      </c>
      <c r="EA8" s="6" t="str">
        <f t="shared" si="17"/>
        <v>NO APLICA</v>
      </c>
      <c r="EB8" s="16" t="str">
        <f t="shared" si="18"/>
        <v/>
      </c>
      <c r="EC8" s="16" t="str">
        <f>IF(EA8="SI",VLOOKUP(A8,'5 TD'!$V$4:$W$479,2,0),"NO APLICA")</f>
        <v>NO APLICA</v>
      </c>
      <c r="ED8" s="6" t="str">
        <f t="shared" si="31"/>
        <v>NO</v>
      </c>
      <c r="EE8" s="83" t="str">
        <f>IF(ED8="SI",VLOOKUP(AI8,COMPORTAMIENTO!$A$1:$H$2100,7,0),"NO APLICA")</f>
        <v>NO APLICA</v>
      </c>
      <c r="EF8" s="16" t="str">
        <f>IF(ED8="SI",VLOOKUP(A8,'5 TD'!$P$2:$Q$479,2,0),"NO APLICA")</f>
        <v>NO APLICA</v>
      </c>
      <c r="EG8" s="6" t="str">
        <f t="shared" si="32"/>
        <v>NO</v>
      </c>
      <c r="EH8" s="6">
        <f>IF(CZ8="no",0,VLOOKUP(AI8,EXPERIENCIA!$A$1:$C$2100,2,0))</f>
        <v>43</v>
      </c>
      <c r="EI8" s="6">
        <f>IF(CZ8="si",VLOOKUP(A8,'5 TD'!$S$3:$T$2103,2,0),0)</f>
        <v>125</v>
      </c>
      <c r="EJ8" s="6" t="str">
        <f t="shared" si="33"/>
        <v>NO</v>
      </c>
      <c r="EK8" s="6">
        <f>+('3 Planilla Preadjudicación OTIC'!BW8)</f>
        <v>0</v>
      </c>
      <c r="EQ8" s="7"/>
    </row>
    <row r="9" spans="1:147" s="34" customFormat="1" ht="12.75" x14ac:dyDescent="0.2">
      <c r="A9" s="6">
        <f>+('3 Planilla Preadjudicación OTIC'!A9)</f>
        <v>14389</v>
      </c>
      <c r="B9" s="6" t="str">
        <f>+('3 Planilla Preadjudicación OTIC'!B9)</f>
        <v>SOFOFA</v>
      </c>
      <c r="C9" s="8">
        <f>+('3 Planilla Preadjudicación OTIC'!E9)</f>
        <v>2025</v>
      </c>
      <c r="D9" s="8" t="str">
        <f>+('3 Planilla Preadjudicación OTIC'!F9)</f>
        <v>MANDATO</v>
      </c>
      <c r="E9" s="8" t="str">
        <f>+('3 Planilla Preadjudicación OTIC'!G9)</f>
        <v>65181652-1</v>
      </c>
      <c r="F9" s="8" t="str">
        <f>+('3 Planilla Preadjudicación OTIC'!H9)</f>
        <v>SOFOFA</v>
      </c>
      <c r="G9" s="8" t="str">
        <f>+('3 Planilla Preadjudicación OTIC'!I9)</f>
        <v>65140022-8</v>
      </c>
      <c r="H9" s="8" t="str">
        <f>+('3 Planilla Preadjudicación OTIC'!J9)</f>
        <v>FUTURO DEL TRABAJO</v>
      </c>
      <c r="I9" s="8" t="str">
        <f>+('3 Planilla Preadjudicación OTIC'!K9)</f>
        <v>TÉCNICAS DE SOLDADURA POR OXIGÁS, ARCO VOLTAICO, TIG Y MIG</v>
      </c>
      <c r="J9" s="8" t="str">
        <f>+('3 Planilla Preadjudicación OTIC'!L9)</f>
        <v>PF0622</v>
      </c>
      <c r="K9" s="8" t="str">
        <f>+('3 Planilla Preadjudicación OTIC'!M9)</f>
        <v>TÉCNICAS PARA EL EMPRENDIMIENTO</v>
      </c>
      <c r="L9" s="8" t="str">
        <f>+('3 Planilla Preadjudicación OTIC'!N9)</f>
        <v>PF0921</v>
      </c>
      <c r="M9" s="6">
        <f>+('3 Planilla Preadjudicación OTIC'!O9)</f>
        <v>13</v>
      </c>
      <c r="N9" s="8">
        <f>+('3 Planilla Preadjudicación OTIC'!P9)</f>
        <v>0</v>
      </c>
      <c r="O9" s="8" t="str">
        <f>+('3 Planilla Preadjudicación OTIC'!Q9)</f>
        <v>RENCA</v>
      </c>
      <c r="P9" s="8" t="str">
        <f>+('3 Planilla Preadjudicación OTIC'!R9)</f>
        <v>ESTUDIANTES DE CUARTO AÑO DE ENSEÑANZA MEDIA O DE LICEOS TÉCNICOS PROFESIONALES.</v>
      </c>
      <c r="Q9" s="8" t="str">
        <f>+('3 Planilla Preadjudicación OTIC'!S9)</f>
        <v>PRESENCIAL</v>
      </c>
      <c r="R9" s="8" t="str">
        <f>+('3 Planilla Preadjudicación OTIC'!T9)</f>
        <v>INDEPENDIENTE</v>
      </c>
      <c r="S9" s="8" t="str">
        <f>+('3 Planilla Preadjudicación OTIC'!U9)</f>
        <v>03. LUNES - VESPERTINO / 06. MARTES - VESPERTINO / 09. MIÉRCOLES - VESPERTINO / 12. JUEVES - VESPERTINO / 15. VIERNES - VESPERTINO</v>
      </c>
      <c r="T9" s="6">
        <f>+('3 Planilla Preadjudicación OTIC'!V9)</f>
        <v>14</v>
      </c>
      <c r="U9" s="6">
        <f>+('3 Planilla Preadjudicación OTIC'!W9)</f>
        <v>260</v>
      </c>
      <c r="V9" s="6">
        <f>+('3 Planilla Preadjudicación OTIC'!X9)</f>
        <v>12</v>
      </c>
      <c r="W9" s="6">
        <f>+('3 Planilla Preadjudicación OTIC'!Y9)</f>
        <v>272</v>
      </c>
      <c r="X9" s="6">
        <f>+('3 Planilla Preadjudicación OTIC'!Z9)</f>
        <v>4</v>
      </c>
      <c r="Y9" s="6" t="str">
        <f>+('3 Planilla Preadjudicación OTIC'!AA9)</f>
        <v>SI</v>
      </c>
      <c r="Z9" s="6" t="str">
        <f>+('3 Planilla Preadjudicación OTIC'!AB9)</f>
        <v>NO</v>
      </c>
      <c r="AA9" s="6" t="str">
        <f>+('3 Planilla Preadjudicación OTIC'!AC9)</f>
        <v>SI</v>
      </c>
      <c r="AB9" s="8">
        <f>+('3 Planilla Preadjudicación OTIC'!AD9)</f>
        <v>0</v>
      </c>
      <c r="AC9" s="8" t="str">
        <f>+('3 Planilla Preadjudicación OTIC'!AE9)</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9" s="6" t="str">
        <f>+('3 Planilla Preadjudicación OTIC'!AF9)</f>
        <v>SI</v>
      </c>
      <c r="AE9" s="8" t="str">
        <f>+('3 Planilla Preadjudicación OTIC'!AG9)</f>
        <v>CERTIFICACIÓN COMO SOLDADOR.</v>
      </c>
      <c r="AF9" s="6" t="str">
        <f>+('3 Planilla Preadjudicación OTIC'!AH9)</f>
        <v>CERRADA</v>
      </c>
      <c r="AG9" s="6">
        <f>+('3 Planilla Preadjudicación OTIC'!AI9)</f>
        <v>68</v>
      </c>
      <c r="AH9" s="6">
        <f>+('3 Planilla Preadjudicación OTIC'!AJ9)</f>
        <v>2</v>
      </c>
      <c r="AI9" s="140" t="str">
        <f>+('3 Planilla Preadjudicación OTIC'!AK9)</f>
        <v>76460844-5</v>
      </c>
      <c r="AJ9" s="8" t="str">
        <f>+('3 Planilla Preadjudicación OTIC'!AL9)</f>
        <v>Servicios de Capacitación Caitec S.A.</v>
      </c>
      <c r="AK9" s="6">
        <f>+('3 Planilla Preadjudicación OTIC'!AM9)</f>
        <v>272</v>
      </c>
      <c r="AL9" s="6">
        <f>+('3 Planilla Preadjudicación OTIC'!AN9)</f>
        <v>68</v>
      </c>
      <c r="AM9" s="16">
        <f>+('3 Planilla Preadjudicación OTIC'!AO9)</f>
        <v>5075</v>
      </c>
      <c r="AN9" s="16">
        <f>+('3 Planilla Preadjudicación OTIC'!AP9)</f>
        <v>250000</v>
      </c>
      <c r="AO9" s="16">
        <f>+('3 Planilla Preadjudicación OTIC'!AQ9)</f>
        <v>250000</v>
      </c>
      <c r="AP9" s="16">
        <f>+('3 Planilla Preadjudicación OTIC'!AR9)</f>
        <v>19325600</v>
      </c>
      <c r="AQ9" s="16">
        <f>+('3 Planilla Preadjudicación OTIC'!AS9)</f>
        <v>3808000</v>
      </c>
      <c r="AR9" s="16">
        <f>+('3 Planilla Preadjudicación OTIC'!AT9)</f>
        <v>3500000</v>
      </c>
      <c r="AS9" s="16">
        <f>+('3 Planilla Preadjudicación OTIC'!AU9)</f>
        <v>0</v>
      </c>
      <c r="AT9" s="16">
        <f>+('3 Planilla Preadjudicación OTIC'!AV9)</f>
        <v>3500000</v>
      </c>
      <c r="AU9" s="16">
        <f>+('3 Planilla Preadjudicación OTIC'!AW9)</f>
        <v>30133600</v>
      </c>
      <c r="AV9" s="158" t="str">
        <f>+('3 Planilla Preadjudicación OTIC'!AX9)</f>
        <v>SI</v>
      </c>
      <c r="AW9" s="8">
        <f>+('3 Planilla Preadjudicación OTIC'!AY9)</f>
        <v>0</v>
      </c>
      <c r="AX9" s="6">
        <f>+('3 Planilla Preadjudicación OTIC'!AZ9)</f>
        <v>3</v>
      </c>
      <c r="AY9" s="6">
        <f>+('3 Planilla Preadjudicación OTIC'!BA9)</f>
        <v>5</v>
      </c>
      <c r="AZ9" s="6">
        <f>+('3 Planilla Preadjudicación OTIC'!BB9)</f>
        <v>0</v>
      </c>
      <c r="BA9" s="6">
        <f>+('3 Planilla Preadjudicación OTIC'!BC9)</f>
        <v>0</v>
      </c>
      <c r="BB9" s="6">
        <f>+('3 Planilla Preadjudicación OTIC'!BD9)</f>
        <v>0</v>
      </c>
      <c r="BC9" s="6">
        <f>+('3 Planilla Preadjudicación OTIC'!BE9)</f>
        <v>0</v>
      </c>
      <c r="BD9" s="6">
        <f>+('3 Planilla Preadjudicación OTIC'!BF9)</f>
        <v>0</v>
      </c>
      <c r="BE9" s="6">
        <f>+('3 Planilla Preadjudicación OTIC'!BG9)</f>
        <v>0</v>
      </c>
      <c r="BF9" s="6">
        <f>+('3 Planilla Preadjudicación OTIC'!BH9)</f>
        <v>0</v>
      </c>
      <c r="BG9" s="6">
        <f>+('3 Planilla Preadjudicación OTIC'!BI9)</f>
        <v>7</v>
      </c>
      <c r="BH9" s="6">
        <f>+('3 Planilla Preadjudicación OTIC'!BJ9)</f>
        <v>7</v>
      </c>
      <c r="BI9" s="6">
        <f>+('3 Planilla Preadjudicación OTIC'!BK9)</f>
        <v>7</v>
      </c>
      <c r="BJ9" s="6">
        <f>+('3 Planilla Preadjudicación OTIC'!BL9)</f>
        <v>7</v>
      </c>
      <c r="BK9" s="6">
        <f>+('3 Planilla Preadjudicación OTIC'!BM9)</f>
        <v>7</v>
      </c>
      <c r="BL9" s="6">
        <f>+('3 Planilla Preadjudicación OTIC'!BN9)</f>
        <v>6.9</v>
      </c>
      <c r="BM9" s="108">
        <f>ROUND(('3 Planilla Preadjudicación OTIC'!BO9),1)</f>
        <v>6.4</v>
      </c>
      <c r="BN9" s="8" t="str">
        <f>+('3 Planilla Preadjudicación OTIC'!BP9)</f>
        <v>NO</v>
      </c>
      <c r="BO9" s="8" t="str">
        <f>+('3 Planilla Preadjudicación OTIC'!BQ9)</f>
        <v>Osvaldo Sotomayor Baeza</v>
      </c>
      <c r="BP9" s="8" t="str">
        <f>+('3 Planilla Preadjudicación OTIC'!BR9)</f>
        <v>gerencia@caitec.cl</v>
      </c>
      <c r="BQ9" s="8">
        <f>+('3 Planilla Preadjudicación OTIC'!BS9)</f>
        <v>722604254</v>
      </c>
      <c r="BR9" s="8" t="str">
        <f>+('3 Planilla Preadjudicación OTIC'!BT9)</f>
        <v>Avenida La hacienda N° 1589, Renca</v>
      </c>
      <c r="BS9" s="8">
        <f>+('3 Planilla Preadjudicación OTIC'!BU9)</f>
        <v>0</v>
      </c>
      <c r="BT9" s="8">
        <f>+('3 Planilla Preadjudicación OTIC'!BV9)</f>
        <v>0</v>
      </c>
      <c r="BU9" s="89">
        <f>IF(VLOOKUP(A9,'BD OFICIAL'!$A$1:$AL$2099,7,0)=D9,0,1)</f>
        <v>0</v>
      </c>
      <c r="BV9" s="89">
        <f>IF(VLOOKUP(A9,'BD OFICIAL'!$A$1:$AL$2099,11,0)=J9,0,1)</f>
        <v>0</v>
      </c>
      <c r="BW9" s="89">
        <f>IF(VLOOKUP(A9,'BD OFICIAL'!$A$1:$AL$2099,13,0)=L9,0,1)</f>
        <v>0</v>
      </c>
      <c r="BX9" s="6">
        <f>IF(VLOOKUP(A9,'BD OFICIAL'!$A$1:$AL$2099,16,0)=O9,0,1)</f>
        <v>0</v>
      </c>
      <c r="BY9" s="6">
        <f>IF(VLOOKUP(A9,'BD OFICIAL'!$A$1:$AL$2099,17,0)=P9,0,1)</f>
        <v>0</v>
      </c>
      <c r="BZ9" s="6">
        <f>IF(VLOOKUP(A9,'BD OFICIAL'!$A$1:$AL$2099,19,0)=R9,0,1)</f>
        <v>0</v>
      </c>
      <c r="CA9" s="6">
        <f>IF(VLOOKUP(A9,'BD OFICIAL'!$A$1:$AL$2099,21,0)=T9,0,1)</f>
        <v>0</v>
      </c>
      <c r="CB9" s="6">
        <f>IF(VLOOKUP(A9,'BD OFICIAL'!$A$1:$AL$2099,24,0)=AK9,0,1)</f>
        <v>0</v>
      </c>
      <c r="CC9" s="6">
        <f>IF(VLOOKUP(A9,'BD OFICIAL'!$A$1:$AL$2099,25,0)=X9,0,1)</f>
        <v>0</v>
      </c>
      <c r="CD9" s="6">
        <f>IF(VLOOKUP(A9,'BD OFICIAL'!$A$1:$AL$2099,26,0)=Y9,0,1)</f>
        <v>0</v>
      </c>
      <c r="CE9" s="6">
        <f>IF(VLOOKUP(A9,'BD OFICIAL'!$A$1:$AL$2099,27,0)=Z9,0,1)</f>
        <v>0</v>
      </c>
      <c r="CF9" s="6">
        <f>IF(VLOOKUP(A9,'BD OFICIAL'!$A$1:$AL$2099,28,0)=AA9,0,1)</f>
        <v>0</v>
      </c>
      <c r="CG9" s="6">
        <f>IF(VLOOKUP(A9,'BD OFICIAL'!$A$1:$AL$2099,33,0)=AF9,0,1)</f>
        <v>0</v>
      </c>
      <c r="CH9" s="6">
        <f>IF(VLOOKUP(A9,'BD OFICIAL'!$A$1:$AL$2099,35,0)=AH9,0,1)</f>
        <v>0</v>
      </c>
      <c r="CI9" s="89">
        <f>IF(VLOOKUP(A9,'BD OFICIAL'!$A$1:$AL$2099,34,0)=AL9,0,1)</f>
        <v>0</v>
      </c>
      <c r="CJ9" s="89">
        <f>VLOOKUP(A9,'BD OFICIAL'!$A$1:$AM$2099,36,0)*AM9-AP9</f>
        <v>0</v>
      </c>
      <c r="CK9" s="89" t="str">
        <f t="shared" si="0"/>
        <v>SHMAN</v>
      </c>
      <c r="CL9" s="89" t="str">
        <f t="shared" si="1"/>
        <v>SI</v>
      </c>
      <c r="CM9" s="89" t="str">
        <f t="shared" si="2"/>
        <v>NO</v>
      </c>
      <c r="CN9" s="35">
        <f t="shared" si="3"/>
        <v>0</v>
      </c>
      <c r="CO9" s="35">
        <f t="shared" si="19"/>
        <v>0</v>
      </c>
      <c r="CP9" s="35">
        <f t="shared" si="20"/>
        <v>0</v>
      </c>
      <c r="CQ9" s="35">
        <f>IF(VLOOKUP(A9,'BD OFICIAL'!$A:$AT,40,0)=AQ9,0,1)</f>
        <v>0</v>
      </c>
      <c r="CR9" s="35">
        <f>IF(VLOOKUP(A9,'BD OFICIAL'!$A:$AT,41,0)=AS9,0,1)</f>
        <v>0</v>
      </c>
      <c r="CS9" s="35">
        <f t="shared" si="21"/>
        <v>0</v>
      </c>
      <c r="CT9" s="35">
        <f t="shared" si="4"/>
        <v>0</v>
      </c>
      <c r="CU9" s="35">
        <f>IF(VLOOKUP(A9,'BD OFICIAL'!$A$1:$AL$1057,31,0)="SI",IF(AT9&gt;0,0,1),IF(AT9=0,0,1))</f>
        <v>0</v>
      </c>
      <c r="CV9" s="35">
        <f t="shared" si="5"/>
        <v>0</v>
      </c>
      <c r="CW9" s="35">
        <f t="shared" si="6"/>
        <v>0</v>
      </c>
      <c r="CX9" s="89" t="str">
        <f t="shared" si="7"/>
        <v>SI</v>
      </c>
      <c r="CY9" s="35">
        <f t="shared" si="8"/>
        <v>0</v>
      </c>
      <c r="CZ9" s="89" t="str">
        <f>IF(ISERROR(VLOOKUP(AI9,EXPERIENCIA!$A$1:$C$2100,1,0)),"NO","SI")</f>
        <v>SI</v>
      </c>
      <c r="DA9" s="89">
        <f>IF(CX9="no","NO APLICA",IF(AX9=0,"ERROR NOTA",IF(AND(AX9&gt;1,CZ9="NO"),"ERROR NOTA",IF(AND(CZ9="NO",AX9=1),0,IF(VLOOKUP(AI9,EXPERIENCIA!$A$1:$C$2100,3,0)=AX9,0,"ERROR NOTA")))))</f>
        <v>0</v>
      </c>
      <c r="DB9" s="89" t="str">
        <f>IF(ISERROR(VLOOKUP(AI9,COMPORTAMIENTO!$A$1:$C$2100,1,0)),"NO","SI")</f>
        <v>SI</v>
      </c>
      <c r="DC9" s="89">
        <f>IF(CX9="NO","NO APLICA",IF(AY9=0,"ERROR NOTA",IF(AND(DB9="NO",AY9=7),0,IF(VLOOKUP(AI9,COMPORTAMIENTO!$A$2:$H$2100,8,0)=AY9,0,"ERROR NOTA"))))</f>
        <v>0</v>
      </c>
      <c r="DD9" s="108">
        <f t="shared" si="9"/>
        <v>0.30000000000000004</v>
      </c>
      <c r="DE9" s="108">
        <f t="shared" si="10"/>
        <v>0.5</v>
      </c>
      <c r="DF9" s="89" t="str">
        <f t="shared" si="22"/>
        <v>SI</v>
      </c>
      <c r="DG9" s="89">
        <f t="shared" si="11"/>
        <v>0</v>
      </c>
      <c r="DH9" s="89">
        <f t="shared" si="12"/>
        <v>0</v>
      </c>
      <c r="DI9" s="89">
        <f t="shared" si="23"/>
        <v>0</v>
      </c>
      <c r="DJ9" s="16">
        <f t="shared" si="13"/>
        <v>7.0000000000000009</v>
      </c>
      <c r="DK9" s="11">
        <f t="shared" si="24"/>
        <v>7.0000000000000009</v>
      </c>
      <c r="DL9" s="16">
        <f t="shared" si="14"/>
        <v>5075</v>
      </c>
      <c r="DM9" s="16">
        <f>VLOOKUP(A9,'5 TD'!$A$3:$B$35,2,0)</f>
        <v>5000</v>
      </c>
      <c r="DN9" s="11">
        <f t="shared" si="25"/>
        <v>6.9</v>
      </c>
      <c r="DO9" s="89" t="str">
        <f t="shared" si="26"/>
        <v>APROBADO</v>
      </c>
      <c r="DP9" s="89" t="str">
        <f t="shared" si="27"/>
        <v>APROBADO</v>
      </c>
      <c r="DQ9" s="11">
        <f t="shared" si="28"/>
        <v>6.4</v>
      </c>
      <c r="DR9" s="89" t="str">
        <f t="shared" si="29"/>
        <v>APROBADO</v>
      </c>
      <c r="DS9" s="6" t="str">
        <f>+('3 Planilla Preadjudicación OTIC'!BP9)</f>
        <v>NO</v>
      </c>
      <c r="DT9" s="6">
        <f>IF(DR9="APROBADO",VLOOKUP(A9,'5 TD'!$D$3:$E$270,2,0),"NO APLICA")</f>
        <v>7</v>
      </c>
      <c r="DU9" s="6" t="str">
        <f t="shared" si="30"/>
        <v>NO</v>
      </c>
      <c r="DV9" s="6" t="str">
        <f>IF(DU9="SI",VLOOKUP(A9,'5 TD'!$G$3:$H$270,2,0),"NO APLICA ")</f>
        <v xml:space="preserve">NO APLICA </v>
      </c>
      <c r="DW9" s="6" t="str">
        <f t="shared" si="15"/>
        <v>NO</v>
      </c>
      <c r="DX9" s="6" t="str">
        <f>IF(DW9="SI",VLOOKUP(A9,'5 TD'!$J$4:$K$472,2,0),"NO APLICA")</f>
        <v>NO APLICA</v>
      </c>
      <c r="DY9" s="6" t="str">
        <f t="shared" si="16"/>
        <v>NO APLICA</v>
      </c>
      <c r="DZ9" s="11" t="str">
        <f>IF(DY9="SI",VLOOKUP(A9,'5 TD'!$M$4:$N$350,2,0),"NO APLICA")</f>
        <v>NO APLICA</v>
      </c>
      <c r="EA9" s="6" t="str">
        <f t="shared" si="17"/>
        <v>NO APLICA</v>
      </c>
      <c r="EB9" s="16" t="str">
        <f t="shared" si="18"/>
        <v/>
      </c>
      <c r="EC9" s="16" t="str">
        <f>IF(EA9="SI",VLOOKUP(A9,'5 TD'!$V$4:$W$479,2,0),"NO APLICA")</f>
        <v>NO APLICA</v>
      </c>
      <c r="ED9" s="6" t="str">
        <f t="shared" si="31"/>
        <v>NO</v>
      </c>
      <c r="EE9" s="83" t="str">
        <f>IF(ED9="SI",VLOOKUP(AI9,COMPORTAMIENTO!$A$1:$H$2100,7,0),"NO APLICA")</f>
        <v>NO APLICA</v>
      </c>
      <c r="EF9" s="16" t="str">
        <f>IF(ED9="SI",VLOOKUP(A9,'5 TD'!$P$2:$Q$479,2,0),"NO APLICA")</f>
        <v>NO APLICA</v>
      </c>
      <c r="EG9" s="6" t="str">
        <f t="shared" si="32"/>
        <v>NO</v>
      </c>
      <c r="EH9" s="6">
        <f>IF(CZ9="no",0,VLOOKUP(AI9,EXPERIENCIA!$A$1:$C$2100,2,0))</f>
        <v>43</v>
      </c>
      <c r="EI9" s="6">
        <f>IF(CZ9="si",VLOOKUP(A9,'5 TD'!$S$3:$T$2103,2,0),0)</f>
        <v>125</v>
      </c>
      <c r="EJ9" s="6" t="str">
        <f t="shared" si="33"/>
        <v>NO</v>
      </c>
      <c r="EK9" s="6">
        <f>+('3 Planilla Preadjudicación OTIC'!BW9)</f>
        <v>0</v>
      </c>
      <c r="EQ9" s="7"/>
    </row>
    <row r="10" spans="1:147" s="34" customFormat="1" ht="12.75" x14ac:dyDescent="0.2">
      <c r="A10" s="6">
        <f>+('3 Planilla Preadjudicación OTIC'!A10)</f>
        <v>14337</v>
      </c>
      <c r="B10" s="6" t="str">
        <f>+('3 Planilla Preadjudicación OTIC'!B10)</f>
        <v>SOFOFA</v>
      </c>
      <c r="C10" s="8">
        <f>+('3 Planilla Preadjudicación OTIC'!E10)</f>
        <v>2025</v>
      </c>
      <c r="D10" s="8" t="str">
        <f>+('3 Planilla Preadjudicación OTIC'!F10)</f>
        <v>MANDATO</v>
      </c>
      <c r="E10" s="8" t="str">
        <f>+('3 Planilla Preadjudicación OTIC'!G10)</f>
        <v>65181652-1</v>
      </c>
      <c r="F10" s="8" t="str">
        <f>+('3 Planilla Preadjudicación OTIC'!H10)</f>
        <v>SOFOFA</v>
      </c>
      <c r="G10" s="8" t="str">
        <f>+('3 Planilla Preadjudicación OTIC'!I10)</f>
        <v>70417500-0</v>
      </c>
      <c r="H10" s="8" t="str">
        <f>+('3 Planilla Preadjudicación OTIC'!J10)</f>
        <v>CORPORACION DE CAPACITACION Y EMPLEO SOFOFA (LICEOS)</v>
      </c>
      <c r="I10" s="8" t="str">
        <f>+('3 Planilla Preadjudicación OTIC'!K10)</f>
        <v>CURSO CONVENCIONAL CONDUCENTE A LICENCIA DE CONDUCIR CLASE B</v>
      </c>
      <c r="J10" s="8" t="str">
        <f>+('3 Planilla Preadjudicación OTIC'!L10)</f>
        <v>PF1454</v>
      </c>
      <c r="K10" s="8">
        <f>+('3 Planilla Preadjudicación OTIC'!M10)</f>
        <v>0</v>
      </c>
      <c r="L10" s="8" t="str">
        <f>+('3 Planilla Preadjudicación OTIC'!N10)</f>
        <v/>
      </c>
      <c r="M10" s="6">
        <f>+('3 Planilla Preadjudicación OTIC'!O10)</f>
        <v>13</v>
      </c>
      <c r="N10" s="8">
        <f>+('3 Planilla Preadjudicación OTIC'!P10)</f>
        <v>0</v>
      </c>
      <c r="O10" s="8" t="str">
        <f>+('3 Planilla Preadjudicación OTIC'!Q10)</f>
        <v>SANTIAGO</v>
      </c>
      <c r="P10" s="8" t="str">
        <f>+('3 Planilla Preadjudicación OTIC'!R10)</f>
        <v>ESTUDIANTES DE CUARTO AÑO DE ENSEÑANZA MEDIA O DE LICEOS TÉCNICOS PROFESIONALES.</v>
      </c>
      <c r="Q10" s="8" t="str">
        <f>+('3 Planilla Preadjudicación OTIC'!S10)</f>
        <v>PRESENCIAL</v>
      </c>
      <c r="R10" s="8" t="str">
        <f>+('3 Planilla Preadjudicación OTIC'!T10)</f>
        <v>INDEPENDIENTE</v>
      </c>
      <c r="S10" s="8" t="str">
        <f>+('3 Planilla Preadjudicación OTIC'!U10)</f>
        <v>02. LUNES - TARDE / 05. MARTES - TARDE / 08. MIÉRCOLES - TARDE / 11. JUEVES - TARDE / 14. VIERNES - TARDE</v>
      </c>
      <c r="T10" s="6">
        <f>+('3 Planilla Preadjudicación OTIC'!V10)</f>
        <v>18</v>
      </c>
      <c r="U10" s="6">
        <f>+('3 Planilla Preadjudicación OTIC'!W10)</f>
        <v>24</v>
      </c>
      <c r="V10" s="6">
        <f>+('3 Planilla Preadjudicación OTIC'!X10)</f>
        <v>0</v>
      </c>
      <c r="W10" s="6">
        <f>+('3 Planilla Preadjudicación OTIC'!Y10)</f>
        <v>24</v>
      </c>
      <c r="X10" s="6">
        <f>+('3 Planilla Preadjudicación OTIC'!Z10)</f>
        <v>4</v>
      </c>
      <c r="Y10" s="6" t="str">
        <f>+('3 Planilla Preadjudicación OTIC'!AA10)</f>
        <v>SI</v>
      </c>
      <c r="Z10" s="6" t="str">
        <f>+('3 Planilla Preadjudicación OTIC'!AB10)</f>
        <v>NO</v>
      </c>
      <c r="AA10" s="6" t="str">
        <f>+('3 Planilla Preadjudicación OTIC'!AC10)</f>
        <v>NO</v>
      </c>
      <c r="AB10" s="8">
        <f>+('3 Planilla Preadjudicación OTIC'!AD10)</f>
        <v>0</v>
      </c>
      <c r="AC10" s="8" t="str">
        <f>+('3 Planilla Preadjudicación OTIC'!AE10)</f>
        <v>HOMBRE Y MUJERES DE 18 AÑOS, ALUMNOS DE CUARTO AÑO MEDIO DE LOS DISTINTOS LICEOS TECNICO PROFESIONALES DE LA CIUDAD DE SANTIAGO QUE SON ADMINISTRADOS POR CORPORACION SOFOFA</v>
      </c>
      <c r="AD10" s="6" t="str">
        <f>+('3 Planilla Preadjudicación OTIC'!AF10)</f>
        <v>SI</v>
      </c>
      <c r="AE10" s="8" t="str">
        <f>+('3 Planilla Preadjudicación OTIC'!AG10)</f>
        <v>LICENCIA DE CONDUCIR CLASE B.</v>
      </c>
      <c r="AF10" s="6" t="str">
        <f>+('3 Planilla Preadjudicación OTIC'!AH10)</f>
        <v>CERRADA</v>
      </c>
      <c r="AG10" s="6">
        <f>+('3 Planilla Preadjudicación OTIC'!AI10)</f>
        <v>15</v>
      </c>
      <c r="AH10" s="6">
        <f>+('3 Planilla Preadjudicación OTIC'!AJ10)</f>
        <v>3</v>
      </c>
      <c r="AI10" s="140" t="str">
        <f>+('3 Planilla Preadjudicación OTIC'!AK10)</f>
        <v>65088432-9</v>
      </c>
      <c r="AJ10" s="8" t="str">
        <f>+('3 Planilla Preadjudicación OTIC'!AL10)</f>
        <v>corporación Nueva Ciaspo</v>
      </c>
      <c r="AK10" s="6">
        <f>+('3 Planilla Preadjudicación OTIC'!AM10)</f>
        <v>24</v>
      </c>
      <c r="AL10" s="6">
        <f>+('3 Planilla Preadjudicación OTIC'!AN10)</f>
        <v>15</v>
      </c>
      <c r="AM10" s="16">
        <f>+('3 Planilla Preadjudicación OTIC'!AO10)</f>
        <v>6373</v>
      </c>
      <c r="AN10" s="16">
        <f>+('3 Planilla Preadjudicación OTIC'!AP10)</f>
        <v>0</v>
      </c>
      <c r="AO10" s="16">
        <f>+('3 Planilla Preadjudicación OTIC'!AQ10)</f>
        <v>50000</v>
      </c>
      <c r="AP10" s="16">
        <f>+('3 Planilla Preadjudicación OTIC'!AR10)</f>
        <v>2753136</v>
      </c>
      <c r="AQ10" s="16">
        <f>+('3 Planilla Preadjudicación OTIC'!AS10)</f>
        <v>1080000</v>
      </c>
      <c r="AR10" s="16">
        <f>+('3 Planilla Preadjudicación OTIC'!AT10)</f>
        <v>0</v>
      </c>
      <c r="AS10" s="16">
        <f>+('3 Planilla Preadjudicación OTIC'!AU10)</f>
        <v>0</v>
      </c>
      <c r="AT10" s="16">
        <f>+('3 Planilla Preadjudicación OTIC'!AV10)</f>
        <v>900000</v>
      </c>
      <c r="AU10" s="16">
        <f>+('3 Planilla Preadjudicación OTIC'!AW10)</f>
        <v>4733136</v>
      </c>
      <c r="AV10" s="158" t="str">
        <f>+('3 Planilla Preadjudicación OTIC'!AX10)</f>
        <v>SI</v>
      </c>
      <c r="AW10" s="8">
        <f>+('3 Planilla Preadjudicación OTIC'!AY10)</f>
        <v>0</v>
      </c>
      <c r="AX10" s="6">
        <f>+('3 Planilla Preadjudicación OTIC'!AZ10)</f>
        <v>7</v>
      </c>
      <c r="AY10" s="6">
        <f>+('3 Planilla Preadjudicación OTIC'!BA10)</f>
        <v>7</v>
      </c>
      <c r="AZ10" s="6">
        <f>+('3 Planilla Preadjudicación OTIC'!BB10)</f>
        <v>0</v>
      </c>
      <c r="BA10" s="6">
        <f>+('3 Planilla Preadjudicación OTIC'!BC10)</f>
        <v>0</v>
      </c>
      <c r="BB10" s="6">
        <f>+('3 Planilla Preadjudicación OTIC'!BD10)</f>
        <v>0</v>
      </c>
      <c r="BC10" s="6">
        <f>+('3 Planilla Preadjudicación OTIC'!BE10)</f>
        <v>0</v>
      </c>
      <c r="BD10" s="6">
        <f>+('3 Planilla Preadjudicación OTIC'!BF10)</f>
        <v>0</v>
      </c>
      <c r="BE10" s="6">
        <f>+('3 Planilla Preadjudicación OTIC'!BG10)</f>
        <v>0</v>
      </c>
      <c r="BF10" s="6">
        <f>+('3 Planilla Preadjudicación OTIC'!BH10)</f>
        <v>0</v>
      </c>
      <c r="BG10" s="6">
        <f>+('3 Planilla Preadjudicación OTIC'!BI10)</f>
        <v>7</v>
      </c>
      <c r="BH10" s="6">
        <f>+('3 Planilla Preadjudicación OTIC'!BJ10)</f>
        <v>7</v>
      </c>
      <c r="BI10" s="6">
        <f>+('3 Planilla Preadjudicación OTIC'!BK10)</f>
        <v>7</v>
      </c>
      <c r="BJ10" s="6">
        <f>+('3 Planilla Preadjudicación OTIC'!BL10)</f>
        <v>7</v>
      </c>
      <c r="BK10" s="6">
        <f>+('3 Planilla Preadjudicación OTIC'!BM10)</f>
        <v>7</v>
      </c>
      <c r="BL10" s="6">
        <f>+('3 Planilla Preadjudicación OTIC'!BN10)</f>
        <v>7</v>
      </c>
      <c r="BM10" s="108">
        <f>ROUND(('3 Planilla Preadjudicación OTIC'!BO10),1)</f>
        <v>7</v>
      </c>
      <c r="BN10" s="8" t="str">
        <f>+('3 Planilla Preadjudicación OTIC'!BP10)</f>
        <v>SI</v>
      </c>
      <c r="BO10" s="8" t="str">
        <f>+('3 Planilla Preadjudicación OTIC'!BQ10)</f>
        <v>Marcela Guerrero Rojas</v>
      </c>
      <c r="BP10" s="8" t="str">
        <f>+('3 Planilla Preadjudicación OTIC'!BR10)</f>
        <v>mliriag@gmail.com</v>
      </c>
      <c r="BQ10" s="8">
        <f>+('3 Planilla Preadjudicación OTIC'!BS10)</f>
        <v>950110805</v>
      </c>
      <c r="BR10" s="8" t="str">
        <f>+('3 Planilla Preadjudicación OTIC'!BT10)</f>
        <v>Dieciocho 182, Santiago</v>
      </c>
      <c r="BS10" s="8" t="str">
        <f>+('3 Planilla Preadjudicación OTIC'!BU10)</f>
        <v>Formar conductores responsables y seguros, capaces de operar vehículos motorizados livianos bajo normativa vigente, aplicando técnicas de conducción preventiva y respetando las reglas del tránsito</v>
      </c>
      <c r="BT10" s="8" t="str">
        <f>+('3 Planilla Preadjudicación OTIC'!BV10)</f>
        <v>Este curso entrega conocimientos teóricos, prácticos y psicométricos para obtener la Licencia Clase B, incluyendo normativa vial, señalética, mecánica básica, conducción defensiva y evaluación de habilidades psicofísicas.</v>
      </c>
      <c r="BU10" s="89">
        <f>IF(VLOOKUP(A10,'BD OFICIAL'!$A$1:$AL$2099,7,0)=D10,0,1)</f>
        <v>0</v>
      </c>
      <c r="BV10" s="89">
        <f>IF(VLOOKUP(A10,'BD OFICIAL'!$A$1:$AL$2099,11,0)=J10,0,1)</f>
        <v>0</v>
      </c>
      <c r="BW10" s="89">
        <f>IF(VLOOKUP(A10,'BD OFICIAL'!$A$1:$AL$2099,13,0)=L10,0,1)</f>
        <v>0</v>
      </c>
      <c r="BX10" s="6">
        <f>IF(VLOOKUP(A10,'BD OFICIAL'!$A$1:$AL$2099,16,0)=O10,0,1)</f>
        <v>0</v>
      </c>
      <c r="BY10" s="6">
        <f>IF(VLOOKUP(A10,'BD OFICIAL'!$A$1:$AL$2099,17,0)=P10,0,1)</f>
        <v>0</v>
      </c>
      <c r="BZ10" s="6">
        <f>IF(VLOOKUP(A10,'BD OFICIAL'!$A$1:$AL$2099,19,0)=R10,0,1)</f>
        <v>0</v>
      </c>
      <c r="CA10" s="6">
        <f>IF(VLOOKUP(A10,'BD OFICIAL'!$A$1:$AL$2099,21,0)=T10,0,1)</f>
        <v>0</v>
      </c>
      <c r="CB10" s="6">
        <f>IF(VLOOKUP(A10,'BD OFICIAL'!$A$1:$AL$2099,24,0)=AK10,0,1)</f>
        <v>0</v>
      </c>
      <c r="CC10" s="6">
        <f>IF(VLOOKUP(A10,'BD OFICIAL'!$A$1:$AL$2099,25,0)=X10,0,1)</f>
        <v>0</v>
      </c>
      <c r="CD10" s="6">
        <f>IF(VLOOKUP(A10,'BD OFICIAL'!$A$1:$AL$2099,26,0)=Y10,0,1)</f>
        <v>0</v>
      </c>
      <c r="CE10" s="6">
        <f>IF(VLOOKUP(A10,'BD OFICIAL'!$A$1:$AL$2099,27,0)=Z10,0,1)</f>
        <v>0</v>
      </c>
      <c r="CF10" s="6">
        <f>IF(VLOOKUP(A10,'BD OFICIAL'!$A$1:$AL$2099,28,0)=AA10,0,1)</f>
        <v>0</v>
      </c>
      <c r="CG10" s="6">
        <f>IF(VLOOKUP(A10,'BD OFICIAL'!$A$1:$AL$2099,33,0)=AF10,0,1)</f>
        <v>0</v>
      </c>
      <c r="CH10" s="6">
        <f>IF(VLOOKUP(A10,'BD OFICIAL'!$A$1:$AL$2099,35,0)=AH10,0,1)</f>
        <v>0</v>
      </c>
      <c r="CI10" s="89">
        <f>IF(VLOOKUP(A10,'BD OFICIAL'!$A$1:$AL$2099,34,0)=AL10,0,1)</f>
        <v>0</v>
      </c>
      <c r="CJ10" s="89">
        <f>VLOOKUP(A10,'BD OFICIAL'!$A$1:$AM$2099,36,0)*AM10-AP10</f>
        <v>0</v>
      </c>
      <c r="CK10" s="89" t="str">
        <f t="shared" si="0"/>
        <v>SSH</v>
      </c>
      <c r="CL10" s="89" t="str">
        <f t="shared" si="1"/>
        <v>SI</v>
      </c>
      <c r="CM10" s="89" t="str">
        <f t="shared" si="2"/>
        <v>NO</v>
      </c>
      <c r="CN10" s="35">
        <f t="shared" si="3"/>
        <v>0</v>
      </c>
      <c r="CO10" s="35">
        <f t="shared" si="19"/>
        <v>0</v>
      </c>
      <c r="CP10" s="35">
        <f t="shared" si="20"/>
        <v>0</v>
      </c>
      <c r="CQ10" s="35">
        <f>IF(VLOOKUP(A10,'BD OFICIAL'!$A:$AT,40,0)=AQ10,0,1)</f>
        <v>0</v>
      </c>
      <c r="CR10" s="35">
        <f>IF(VLOOKUP(A10,'BD OFICIAL'!$A:$AT,41,0)=AS10,0,1)</f>
        <v>0</v>
      </c>
      <c r="CS10" s="35">
        <f t="shared" si="21"/>
        <v>0</v>
      </c>
      <c r="CT10" s="35">
        <f t="shared" si="4"/>
        <v>0</v>
      </c>
      <c r="CU10" s="35">
        <f>IF(VLOOKUP(A10,'BD OFICIAL'!$A$1:$AL$1057,31,0)="SI",IF(AT10&gt;0,0,1),IF(AT10=0,0,1))</f>
        <v>0</v>
      </c>
      <c r="CV10" s="35">
        <f t="shared" si="5"/>
        <v>0</v>
      </c>
      <c r="CW10" s="35">
        <f t="shared" si="6"/>
        <v>0</v>
      </c>
      <c r="CX10" s="89" t="str">
        <f t="shared" si="7"/>
        <v>SI</v>
      </c>
      <c r="CY10" s="35">
        <f t="shared" si="8"/>
        <v>0</v>
      </c>
      <c r="CZ10" s="89" t="str">
        <f>IF(ISERROR(VLOOKUP(AI10,EXPERIENCIA!$A$1:$C$2100,1,0)),"NO","SI")</f>
        <v>SI</v>
      </c>
      <c r="DA10" s="89">
        <f>IF(CX10="no","NO APLICA",IF(AX10=0,"ERROR NOTA",IF(AND(AX10&gt;1,CZ10="NO"),"ERROR NOTA",IF(AND(CZ10="NO",AX10=1),0,IF(VLOOKUP(AI10,EXPERIENCIA!$A$1:$C$2100,3,0)=AX10,0,"ERROR NOTA")))))</f>
        <v>0</v>
      </c>
      <c r="DB10" s="89" t="str">
        <f>IF(ISERROR(VLOOKUP(AI10,COMPORTAMIENTO!$A$1:$C$2100,1,0)),"NO","SI")</f>
        <v>SI</v>
      </c>
      <c r="DC10" s="89">
        <f>IF(CX10="NO","NO APLICA",IF(AY10=0,"ERROR NOTA",IF(AND(DB10="NO",AY10=7),0,IF(VLOOKUP(AI10,COMPORTAMIENTO!$A$2:$H$2100,8,0)=AY10,0,"ERROR NOTA"))))</f>
        <v>0</v>
      </c>
      <c r="DD10" s="108">
        <f t="shared" si="9"/>
        <v>0.70000000000000007</v>
      </c>
      <c r="DE10" s="108">
        <f t="shared" si="10"/>
        <v>0.70000000000000007</v>
      </c>
      <c r="DF10" s="89" t="str">
        <f t="shared" si="22"/>
        <v>SI</v>
      </c>
      <c r="DG10" s="89">
        <f t="shared" si="11"/>
        <v>0</v>
      </c>
      <c r="DH10" s="89">
        <f t="shared" si="12"/>
        <v>0</v>
      </c>
      <c r="DI10" s="89">
        <f t="shared" si="23"/>
        <v>0</v>
      </c>
      <c r="DJ10" s="16">
        <f t="shared" si="13"/>
        <v>7.0000000000000009</v>
      </c>
      <c r="DK10" s="11">
        <f t="shared" si="24"/>
        <v>7.0000000000000009</v>
      </c>
      <c r="DL10" s="16">
        <f t="shared" si="14"/>
        <v>6373</v>
      </c>
      <c r="DM10" s="16">
        <f>VLOOKUP(A10,'5 TD'!$A$3:$B$35,2,0)</f>
        <v>6373</v>
      </c>
      <c r="DN10" s="11">
        <f t="shared" si="25"/>
        <v>7</v>
      </c>
      <c r="DO10" s="89" t="str">
        <f t="shared" si="26"/>
        <v>APROBADO</v>
      </c>
      <c r="DP10" s="89" t="str">
        <f t="shared" si="27"/>
        <v>APROBADO</v>
      </c>
      <c r="DQ10" s="11">
        <f t="shared" si="28"/>
        <v>7</v>
      </c>
      <c r="DR10" s="89" t="str">
        <f t="shared" si="29"/>
        <v>APROBADO</v>
      </c>
      <c r="DS10" s="6" t="str">
        <f>+('3 Planilla Preadjudicación OTIC'!BP10)</f>
        <v>SI</v>
      </c>
      <c r="DT10" s="6">
        <f>IF(DR10="APROBADO",VLOOKUP(A10,'5 TD'!$D$3:$E$270,2,0),"NO APLICA")</f>
        <v>7</v>
      </c>
      <c r="DU10" s="6" t="str">
        <f t="shared" si="30"/>
        <v>SI</v>
      </c>
      <c r="DV10" s="6" t="e">
        <f>IF(DU10="SI",VLOOKUP(A10,'5 TD'!$G$3:$H$270,2,0),"NO APLICA ")</f>
        <v>#N/A</v>
      </c>
      <c r="DW10" s="6" t="e">
        <f t="shared" si="15"/>
        <v>#N/A</v>
      </c>
      <c r="DX10" s="6" t="e">
        <f>IF(DW10="SI",VLOOKUP(A10,'5 TD'!$J$4:$K$472,2,0),"NO APLICA")</f>
        <v>#N/A</v>
      </c>
      <c r="DY10" s="6" t="e">
        <f t="shared" si="16"/>
        <v>#N/A</v>
      </c>
      <c r="DZ10" s="11" t="e">
        <f>IF(DY10="SI",VLOOKUP(A10,'5 TD'!$M$4:$N$350,2,0),"NO APLICA")</f>
        <v>#N/A</v>
      </c>
      <c r="EA10" s="6" t="e">
        <f t="shared" si="17"/>
        <v>#N/A</v>
      </c>
      <c r="EB10" s="16" t="e">
        <f t="shared" si="18"/>
        <v>#N/A</v>
      </c>
      <c r="EC10" s="16" t="e">
        <f>IF(EA10="SI",VLOOKUP(A10,'5 TD'!$V$4:$W$479,2,0),"NO APLICA")</f>
        <v>#N/A</v>
      </c>
      <c r="ED10" s="6" t="e">
        <f t="shared" si="31"/>
        <v>#N/A</v>
      </c>
      <c r="EE10" s="83" t="e">
        <f>IF(ED10="SI",VLOOKUP(AI10,COMPORTAMIENTO!$A$1:$H$2100,7,0),"NO APLICA")</f>
        <v>#N/A</v>
      </c>
      <c r="EF10" s="16" t="e">
        <f>IF(ED10="SI",VLOOKUP(A10,'5 TD'!$P$2:$Q$479,2,0),"NO APLICA")</f>
        <v>#N/A</v>
      </c>
      <c r="EG10" s="6" t="e">
        <f t="shared" si="32"/>
        <v>#N/A</v>
      </c>
      <c r="EH10" s="6">
        <f>IF(CZ10="no",0,VLOOKUP(AI10,EXPERIENCIA!$A$1:$C$2100,2,0))</f>
        <v>89</v>
      </c>
      <c r="EI10" s="6">
        <f>IF(CZ10="si",VLOOKUP(A10,'5 TD'!$S$3:$T$2103,2,0),0)</f>
        <v>89</v>
      </c>
      <c r="EJ10" s="6" t="str">
        <f t="shared" si="33"/>
        <v>SI</v>
      </c>
      <c r="EK10" s="6">
        <f>+('3 Planilla Preadjudicación OTIC'!BW10)</f>
        <v>0</v>
      </c>
      <c r="EL10" s="34" t="s">
        <v>2391</v>
      </c>
      <c r="EM10" s="34" t="s">
        <v>2405</v>
      </c>
      <c r="EQ10" s="7"/>
    </row>
    <row r="11" spans="1:147" s="34" customFormat="1" ht="12.75" x14ac:dyDescent="0.2">
      <c r="A11" s="6">
        <f>+('3 Planilla Preadjudicación OTIC'!A11)</f>
        <v>14339</v>
      </c>
      <c r="B11" s="6" t="str">
        <f>+('3 Planilla Preadjudicación OTIC'!B11)</f>
        <v>SOFOFA</v>
      </c>
      <c r="C11" s="8">
        <f>+('3 Planilla Preadjudicación OTIC'!E11)</f>
        <v>2025</v>
      </c>
      <c r="D11" s="8" t="str">
        <f>+('3 Planilla Preadjudicación OTIC'!F11)</f>
        <v>MANDATO</v>
      </c>
      <c r="E11" s="8" t="str">
        <f>+('3 Planilla Preadjudicación OTIC'!G11)</f>
        <v>65181652-1</v>
      </c>
      <c r="F11" s="8" t="str">
        <f>+('3 Planilla Preadjudicación OTIC'!H11)</f>
        <v>SOFOFA</v>
      </c>
      <c r="G11" s="8" t="str">
        <f>+('3 Planilla Preadjudicación OTIC'!I11)</f>
        <v>70417500-0</v>
      </c>
      <c r="H11" s="8" t="str">
        <f>+('3 Planilla Preadjudicación OTIC'!J11)</f>
        <v>CORPORACION DE CAPACITACION Y EMPLEO SOFOFA (LICEOS)</v>
      </c>
      <c r="I11" s="8" t="str">
        <f>+('3 Planilla Preadjudicación OTIC'!K11)</f>
        <v>CURSO CONVENCIONAL CONDUCENTE A LICENCIA DE CONDUCIR CLASE B</v>
      </c>
      <c r="J11" s="8" t="str">
        <f>+('3 Planilla Preadjudicación OTIC'!L11)</f>
        <v>PF1454</v>
      </c>
      <c r="K11" s="8">
        <f>+('3 Planilla Preadjudicación OTIC'!M11)</f>
        <v>0</v>
      </c>
      <c r="L11" s="8" t="str">
        <f>+('3 Planilla Preadjudicación OTIC'!N11)</f>
        <v/>
      </c>
      <c r="M11" s="6">
        <f>+('3 Planilla Preadjudicación OTIC'!O11)</f>
        <v>13</v>
      </c>
      <c r="N11" s="8">
        <f>+('3 Planilla Preadjudicación OTIC'!P11)</f>
        <v>0</v>
      </c>
      <c r="O11" s="8" t="str">
        <f>+('3 Planilla Preadjudicación OTIC'!Q11)</f>
        <v>SANTIAGO</v>
      </c>
      <c r="P11" s="8" t="str">
        <f>+('3 Planilla Preadjudicación OTIC'!R11)</f>
        <v>ESTUDIANTES DE CUARTO AÑO DE ENSEÑANZA MEDIA O DE LICEOS TÉCNICOS PROFESIONALES.</v>
      </c>
      <c r="Q11" s="8" t="str">
        <f>+('3 Planilla Preadjudicación OTIC'!S11)</f>
        <v>PRESENCIAL</v>
      </c>
      <c r="R11" s="8" t="str">
        <f>+('3 Planilla Preadjudicación OTIC'!T11)</f>
        <v>INDEPENDIENTE</v>
      </c>
      <c r="S11" s="8" t="str">
        <f>+('3 Planilla Preadjudicación OTIC'!U11)</f>
        <v>02. LUNES - TARDE / 05. MARTES - TARDE / 08. MIÉRCOLES - TARDE / 11. JUEVES - TARDE / 14. VIERNES - TARDE</v>
      </c>
      <c r="T11" s="6">
        <f>+('3 Planilla Preadjudicación OTIC'!V11)</f>
        <v>18</v>
      </c>
      <c r="U11" s="6">
        <f>+('3 Planilla Preadjudicación OTIC'!W11)</f>
        <v>24</v>
      </c>
      <c r="V11" s="6">
        <f>+('3 Planilla Preadjudicación OTIC'!X11)</f>
        <v>0</v>
      </c>
      <c r="W11" s="6">
        <f>+('3 Planilla Preadjudicación OTIC'!Y11)</f>
        <v>24</v>
      </c>
      <c r="X11" s="6">
        <f>+('3 Planilla Preadjudicación OTIC'!Z11)</f>
        <v>4</v>
      </c>
      <c r="Y11" s="6" t="str">
        <f>+('3 Planilla Preadjudicación OTIC'!AA11)</f>
        <v>SI</v>
      </c>
      <c r="Z11" s="6" t="str">
        <f>+('3 Planilla Preadjudicación OTIC'!AB11)</f>
        <v>NO</v>
      </c>
      <c r="AA11" s="6" t="str">
        <f>+('3 Planilla Preadjudicación OTIC'!AC11)</f>
        <v>NO</v>
      </c>
      <c r="AB11" s="8">
        <f>+('3 Planilla Preadjudicación OTIC'!AD11)</f>
        <v>0</v>
      </c>
      <c r="AC11" s="8" t="str">
        <f>+('3 Planilla Preadjudicación OTIC'!AE11)</f>
        <v>HOMBRE Y MUJERES DE 18 AÑOS, ALUMNOS DE CUARTO AÑO MEDIO DE LOS DISTINTOS LICEOS TECNICO PROFESIONALES DE LA CIUDAD DE SANTIAGO QUE SON ADMINISTRADOS POR CORPORACION SOFOFA</v>
      </c>
      <c r="AD11" s="6" t="str">
        <f>+('3 Planilla Preadjudicación OTIC'!AF11)</f>
        <v>SI</v>
      </c>
      <c r="AE11" s="8" t="str">
        <f>+('3 Planilla Preadjudicación OTIC'!AG11)</f>
        <v>LICENCIA DE CONDUCIR CLASE B.</v>
      </c>
      <c r="AF11" s="6" t="str">
        <f>+('3 Planilla Preadjudicación OTIC'!AH11)</f>
        <v>CERRADA</v>
      </c>
      <c r="AG11" s="6">
        <f>+('3 Planilla Preadjudicación OTIC'!AI11)</f>
        <v>15</v>
      </c>
      <c r="AH11" s="6">
        <f>+('3 Planilla Preadjudicación OTIC'!AJ11)</f>
        <v>3</v>
      </c>
      <c r="AI11" s="140" t="str">
        <f>+('3 Planilla Preadjudicación OTIC'!AK11)</f>
        <v>65088432-9</v>
      </c>
      <c r="AJ11" s="8" t="str">
        <f>+('3 Planilla Preadjudicación OTIC'!AL11)</f>
        <v>corporación Nueva Ciaspo</v>
      </c>
      <c r="AK11" s="6">
        <f>+('3 Planilla Preadjudicación OTIC'!AM11)</f>
        <v>24</v>
      </c>
      <c r="AL11" s="6">
        <f>+('3 Planilla Preadjudicación OTIC'!AN11)</f>
        <v>15</v>
      </c>
      <c r="AM11" s="16">
        <f>+('3 Planilla Preadjudicación OTIC'!AO11)</f>
        <v>6373</v>
      </c>
      <c r="AN11" s="16">
        <f>+('3 Planilla Preadjudicación OTIC'!AP11)</f>
        <v>0</v>
      </c>
      <c r="AO11" s="16">
        <f>+('3 Planilla Preadjudicación OTIC'!AQ11)</f>
        <v>50000</v>
      </c>
      <c r="AP11" s="16">
        <f>+('3 Planilla Preadjudicación OTIC'!AR11)</f>
        <v>2753136</v>
      </c>
      <c r="AQ11" s="16">
        <f>+('3 Planilla Preadjudicación OTIC'!AS11)</f>
        <v>1080000</v>
      </c>
      <c r="AR11" s="16">
        <f>+('3 Planilla Preadjudicación OTIC'!AT11)</f>
        <v>0</v>
      </c>
      <c r="AS11" s="16">
        <f>+('3 Planilla Preadjudicación OTIC'!AU11)</f>
        <v>0</v>
      </c>
      <c r="AT11" s="16">
        <f>+('3 Planilla Preadjudicación OTIC'!AV11)</f>
        <v>900000</v>
      </c>
      <c r="AU11" s="16">
        <f>+('3 Planilla Preadjudicación OTIC'!AW11)</f>
        <v>4733136</v>
      </c>
      <c r="AV11" s="158" t="str">
        <f>+('3 Planilla Preadjudicación OTIC'!AX11)</f>
        <v>SI</v>
      </c>
      <c r="AW11" s="8">
        <f>+('3 Planilla Preadjudicación OTIC'!AY11)</f>
        <v>0</v>
      </c>
      <c r="AX11" s="6">
        <f>+('3 Planilla Preadjudicación OTIC'!AZ11)</f>
        <v>7</v>
      </c>
      <c r="AY11" s="6">
        <f>+('3 Planilla Preadjudicación OTIC'!BA11)</f>
        <v>7</v>
      </c>
      <c r="AZ11" s="6">
        <f>+('3 Planilla Preadjudicación OTIC'!BB11)</f>
        <v>0</v>
      </c>
      <c r="BA11" s="6">
        <f>+('3 Planilla Preadjudicación OTIC'!BC11)</f>
        <v>0</v>
      </c>
      <c r="BB11" s="6">
        <f>+('3 Planilla Preadjudicación OTIC'!BD11)</f>
        <v>0</v>
      </c>
      <c r="BC11" s="6">
        <f>+('3 Planilla Preadjudicación OTIC'!BE11)</f>
        <v>0</v>
      </c>
      <c r="BD11" s="6">
        <f>+('3 Planilla Preadjudicación OTIC'!BF11)</f>
        <v>0</v>
      </c>
      <c r="BE11" s="6">
        <f>+('3 Planilla Preadjudicación OTIC'!BG11)</f>
        <v>0</v>
      </c>
      <c r="BF11" s="6">
        <f>+('3 Planilla Preadjudicación OTIC'!BH11)</f>
        <v>0</v>
      </c>
      <c r="BG11" s="6">
        <f>+('3 Planilla Preadjudicación OTIC'!BI11)</f>
        <v>7</v>
      </c>
      <c r="BH11" s="6">
        <f>+('3 Planilla Preadjudicación OTIC'!BJ11)</f>
        <v>7</v>
      </c>
      <c r="BI11" s="6">
        <f>+('3 Planilla Preadjudicación OTIC'!BK11)</f>
        <v>7</v>
      </c>
      <c r="BJ11" s="6">
        <f>+('3 Planilla Preadjudicación OTIC'!BL11)</f>
        <v>7</v>
      </c>
      <c r="BK11" s="6">
        <f>+('3 Planilla Preadjudicación OTIC'!BM11)</f>
        <v>7</v>
      </c>
      <c r="BL11" s="6">
        <f>+('3 Planilla Preadjudicación OTIC'!BN11)</f>
        <v>7</v>
      </c>
      <c r="BM11" s="108">
        <f>ROUND(('3 Planilla Preadjudicación OTIC'!BO11),1)</f>
        <v>7</v>
      </c>
      <c r="BN11" s="8" t="str">
        <f>+('3 Planilla Preadjudicación OTIC'!BP11)</f>
        <v>SI</v>
      </c>
      <c r="BO11" s="8" t="str">
        <f>+('3 Planilla Preadjudicación OTIC'!BQ11)</f>
        <v>Marcela Guerrero Rojas</v>
      </c>
      <c r="BP11" s="8" t="str">
        <f>+('3 Planilla Preadjudicación OTIC'!BR11)</f>
        <v>mliriag@gmail.com</v>
      </c>
      <c r="BQ11" s="8">
        <f>+('3 Planilla Preadjudicación OTIC'!BS11)</f>
        <v>950110805</v>
      </c>
      <c r="BR11" s="8" t="str">
        <f>+('3 Planilla Preadjudicación OTIC'!BT11)</f>
        <v>Dieciocho 182, Santiago</v>
      </c>
      <c r="BS11" s="8" t="str">
        <f>+('3 Planilla Preadjudicación OTIC'!BU11)</f>
        <v>Formar conductores responsables y seguros, capaces de operar vehículos motorizados livianos bajo normativa vigente, aplicando técnicas de conducción preventiva y respetando las reglas del tránsito</v>
      </c>
      <c r="BT11" s="8" t="str">
        <f>+('3 Planilla Preadjudicación OTIC'!BV11)</f>
        <v>Este curso entrega conocimientos teóricos, prácticos y psicométricos para obtener la Licencia Clase B, incluyendo normativa vial, señalética, mecánica básica, conducción defensiva y evaluación de habilidades psicofísicas.</v>
      </c>
      <c r="BU11" s="89">
        <f>IF(VLOOKUP(A11,'BD OFICIAL'!$A$1:$AL$2099,7,0)=D11,0,1)</f>
        <v>0</v>
      </c>
      <c r="BV11" s="89">
        <f>IF(VLOOKUP(A11,'BD OFICIAL'!$A$1:$AL$2099,11,0)=J11,0,1)</f>
        <v>0</v>
      </c>
      <c r="BW11" s="89">
        <f>IF(VLOOKUP(A11,'BD OFICIAL'!$A$1:$AL$2099,13,0)=L11,0,1)</f>
        <v>0</v>
      </c>
      <c r="BX11" s="6">
        <f>IF(VLOOKUP(A11,'BD OFICIAL'!$A$1:$AL$2099,16,0)=O11,0,1)</f>
        <v>0</v>
      </c>
      <c r="BY11" s="6">
        <f>IF(VLOOKUP(A11,'BD OFICIAL'!$A$1:$AL$2099,17,0)=P11,0,1)</f>
        <v>0</v>
      </c>
      <c r="BZ11" s="6">
        <f>IF(VLOOKUP(A11,'BD OFICIAL'!$A$1:$AL$2099,19,0)=R11,0,1)</f>
        <v>0</v>
      </c>
      <c r="CA11" s="6">
        <f>IF(VLOOKUP(A11,'BD OFICIAL'!$A$1:$AL$2099,21,0)=T11,0,1)</f>
        <v>0</v>
      </c>
      <c r="CB11" s="6">
        <f>IF(VLOOKUP(A11,'BD OFICIAL'!$A$1:$AL$2099,24,0)=AK11,0,1)</f>
        <v>0</v>
      </c>
      <c r="CC11" s="6">
        <f>IF(VLOOKUP(A11,'BD OFICIAL'!$A$1:$AL$2099,25,0)=X11,0,1)</f>
        <v>0</v>
      </c>
      <c r="CD11" s="6">
        <f>IF(VLOOKUP(A11,'BD OFICIAL'!$A$1:$AL$2099,26,0)=Y11,0,1)</f>
        <v>0</v>
      </c>
      <c r="CE11" s="6">
        <f>IF(VLOOKUP(A11,'BD OFICIAL'!$A$1:$AL$2099,27,0)=Z11,0,1)</f>
        <v>0</v>
      </c>
      <c r="CF11" s="6">
        <f>IF(VLOOKUP(A11,'BD OFICIAL'!$A$1:$AL$2099,28,0)=AA11,0,1)</f>
        <v>0</v>
      </c>
      <c r="CG11" s="6">
        <f>IF(VLOOKUP(A11,'BD OFICIAL'!$A$1:$AL$2099,33,0)=AF11,0,1)</f>
        <v>0</v>
      </c>
      <c r="CH11" s="6">
        <f>IF(VLOOKUP(A11,'BD OFICIAL'!$A$1:$AL$2099,35,0)=AH11,0,1)</f>
        <v>0</v>
      </c>
      <c r="CI11" s="89">
        <f>IF(VLOOKUP(A11,'BD OFICIAL'!$A$1:$AL$2099,34,0)=AL11,0,1)</f>
        <v>0</v>
      </c>
      <c r="CJ11" s="89">
        <f>VLOOKUP(A11,'BD OFICIAL'!$A$1:$AM$2099,36,0)*AM11-AP11</f>
        <v>0</v>
      </c>
      <c r="CK11" s="89" t="str">
        <f t="shared" si="0"/>
        <v>SSH</v>
      </c>
      <c r="CL11" s="89" t="str">
        <f t="shared" si="1"/>
        <v>SI</v>
      </c>
      <c r="CM11" s="89" t="str">
        <f t="shared" si="2"/>
        <v>NO</v>
      </c>
      <c r="CN11" s="35">
        <f t="shared" si="3"/>
        <v>0</v>
      </c>
      <c r="CO11" s="35">
        <f t="shared" si="19"/>
        <v>0</v>
      </c>
      <c r="CP11" s="35">
        <f t="shared" si="20"/>
        <v>0</v>
      </c>
      <c r="CQ11" s="35">
        <f>IF(VLOOKUP(A11,'BD OFICIAL'!$A:$AT,40,0)=AQ11,0,1)</f>
        <v>0</v>
      </c>
      <c r="CR11" s="35">
        <f>IF(VLOOKUP(A11,'BD OFICIAL'!$A:$AT,41,0)=AS11,0,1)</f>
        <v>0</v>
      </c>
      <c r="CS11" s="35">
        <f t="shared" si="21"/>
        <v>0</v>
      </c>
      <c r="CT11" s="35">
        <f t="shared" si="4"/>
        <v>0</v>
      </c>
      <c r="CU11" s="35">
        <f>IF(VLOOKUP(A11,'BD OFICIAL'!$A$1:$AL$1057,31,0)="SI",IF(AT11&gt;0,0,1),IF(AT11=0,0,1))</f>
        <v>0</v>
      </c>
      <c r="CV11" s="35">
        <f t="shared" si="5"/>
        <v>0</v>
      </c>
      <c r="CW11" s="35">
        <f t="shared" si="6"/>
        <v>0</v>
      </c>
      <c r="CX11" s="89" t="str">
        <f t="shared" si="7"/>
        <v>SI</v>
      </c>
      <c r="CY11" s="35">
        <f t="shared" si="8"/>
        <v>0</v>
      </c>
      <c r="CZ11" s="89" t="str">
        <f>IF(ISERROR(VLOOKUP(AI11,EXPERIENCIA!$A$1:$C$2100,1,0)),"NO","SI")</f>
        <v>SI</v>
      </c>
      <c r="DA11" s="89">
        <f>IF(CX11="no","NO APLICA",IF(AX11=0,"ERROR NOTA",IF(AND(AX11&gt;1,CZ11="NO"),"ERROR NOTA",IF(AND(CZ11="NO",AX11=1),0,IF(VLOOKUP(AI11,EXPERIENCIA!$A$1:$C$2100,3,0)=AX11,0,"ERROR NOTA")))))</f>
        <v>0</v>
      </c>
      <c r="DB11" s="89" t="str">
        <f>IF(ISERROR(VLOOKUP(AI11,COMPORTAMIENTO!$A$1:$C$2100,1,0)),"NO","SI")</f>
        <v>SI</v>
      </c>
      <c r="DC11" s="89">
        <f>IF(CX11="NO","NO APLICA",IF(AY11=0,"ERROR NOTA",IF(AND(DB11="NO",AY11=7),0,IF(VLOOKUP(AI11,COMPORTAMIENTO!$A$2:$H$2100,8,0)=AY11,0,"ERROR NOTA"))))</f>
        <v>0</v>
      </c>
      <c r="DD11" s="108">
        <f t="shared" si="9"/>
        <v>0.70000000000000007</v>
      </c>
      <c r="DE11" s="108">
        <f t="shared" si="10"/>
        <v>0.70000000000000007</v>
      </c>
      <c r="DF11" s="89" t="str">
        <f t="shared" si="22"/>
        <v>SI</v>
      </c>
      <c r="DG11" s="89">
        <f t="shared" si="11"/>
        <v>0</v>
      </c>
      <c r="DH11" s="89">
        <f t="shared" si="12"/>
        <v>0</v>
      </c>
      <c r="DI11" s="89">
        <f t="shared" si="23"/>
        <v>0</v>
      </c>
      <c r="DJ11" s="16">
        <f t="shared" si="13"/>
        <v>7.0000000000000009</v>
      </c>
      <c r="DK11" s="11">
        <f t="shared" si="24"/>
        <v>7.0000000000000009</v>
      </c>
      <c r="DL11" s="16">
        <f t="shared" si="14"/>
        <v>6373</v>
      </c>
      <c r="DM11" s="16">
        <f>VLOOKUP(A11,'5 TD'!$A$3:$B$35,2,0)</f>
        <v>6373</v>
      </c>
      <c r="DN11" s="11">
        <f t="shared" si="25"/>
        <v>7</v>
      </c>
      <c r="DO11" s="89" t="str">
        <f t="shared" si="26"/>
        <v>APROBADO</v>
      </c>
      <c r="DP11" s="89" t="str">
        <f t="shared" si="27"/>
        <v>APROBADO</v>
      </c>
      <c r="DQ11" s="11">
        <f t="shared" si="28"/>
        <v>7</v>
      </c>
      <c r="DR11" s="89" t="str">
        <f t="shared" si="29"/>
        <v>APROBADO</v>
      </c>
      <c r="DS11" s="6" t="str">
        <f>+('3 Planilla Preadjudicación OTIC'!BP11)</f>
        <v>SI</v>
      </c>
      <c r="DT11" s="6">
        <f>IF(DR11="APROBADO",VLOOKUP(A11,'5 TD'!$D$3:$E$270,2,0),"NO APLICA")</f>
        <v>7</v>
      </c>
      <c r="DU11" s="6" t="str">
        <f t="shared" si="30"/>
        <v>SI</v>
      </c>
      <c r="DV11" s="6">
        <f>IF(DU11="SI",VLOOKUP(A11,'5 TD'!$G$3:$H$270,2,0),"NO APLICA ")</f>
        <v>7.0000000000000009</v>
      </c>
      <c r="DW11" s="6" t="str">
        <f t="shared" si="15"/>
        <v>SI</v>
      </c>
      <c r="DX11" s="6">
        <f>IF(DW11="SI",VLOOKUP(A11,'5 TD'!$J$4:$K$472,2,0),"NO APLICA")</f>
        <v>7</v>
      </c>
      <c r="DY11" s="6" t="str">
        <f t="shared" si="16"/>
        <v>SI</v>
      </c>
      <c r="DZ11" s="11">
        <f>IF(DY11="SI",VLOOKUP(A11,'5 TD'!$M$4:$N$350,2,0),"NO APLICA")</f>
        <v>7</v>
      </c>
      <c r="EA11" s="6" t="str">
        <f t="shared" si="17"/>
        <v>SI</v>
      </c>
      <c r="EB11" s="16">
        <f t="shared" si="18"/>
        <v>6373</v>
      </c>
      <c r="EC11" s="16">
        <f>IF(EA11="SI",VLOOKUP(A11,'5 TD'!$V$4:$W$479,2,0),"NO APLICA")</f>
        <v>6373</v>
      </c>
      <c r="ED11" s="6" t="str">
        <f t="shared" si="31"/>
        <v>SI</v>
      </c>
      <c r="EE11" s="83">
        <f>IF(ED11="SI",VLOOKUP(AI11,COMPORTAMIENTO!$A$1:$H$2100,7,0),"NO APLICA")</f>
        <v>0</v>
      </c>
      <c r="EF11" s="16">
        <f>IF(ED11="SI",VLOOKUP(A11,'5 TD'!$P$2:$Q$479,2,0),"NO APLICA")</f>
        <v>0</v>
      </c>
      <c r="EG11" s="6" t="str">
        <f t="shared" si="32"/>
        <v>SI</v>
      </c>
      <c r="EH11" s="6">
        <f>IF(CZ11="no",0,VLOOKUP(AI11,EXPERIENCIA!$A$1:$C$2100,2,0))</f>
        <v>89</v>
      </c>
      <c r="EI11" s="6">
        <f>IF(CZ11="si",VLOOKUP(A11,'5 TD'!$S$3:$T$2103,2,0),0)</f>
        <v>89</v>
      </c>
      <c r="EJ11" s="6" t="str">
        <f t="shared" si="33"/>
        <v>SI</v>
      </c>
      <c r="EK11" s="6">
        <f>+('3 Planilla Preadjudicación OTIC'!BW11)</f>
        <v>0</v>
      </c>
      <c r="EL11" s="34" t="s">
        <v>2391</v>
      </c>
      <c r="EM11" s="34" t="s">
        <v>2405</v>
      </c>
      <c r="EQ11" s="7"/>
    </row>
    <row r="12" spans="1:147" s="7" customFormat="1" ht="25.5" customHeight="1" x14ac:dyDescent="0.2">
      <c r="A12" s="6">
        <f>+('3 Planilla Preadjudicación OTIC'!A12)</f>
        <v>14281</v>
      </c>
      <c r="B12" s="6" t="str">
        <f>+('3 Planilla Preadjudicación OTIC'!B12)</f>
        <v>SOFOFA</v>
      </c>
      <c r="C12" s="8">
        <f>+('3 Planilla Preadjudicación OTIC'!E12)</f>
        <v>2025</v>
      </c>
      <c r="D12" s="8" t="str">
        <f>+('3 Planilla Preadjudicación OTIC'!F12)</f>
        <v>MANDATO</v>
      </c>
      <c r="E12" s="8" t="str">
        <f>+('3 Planilla Preadjudicación OTIC'!G12)</f>
        <v>65181652-1</v>
      </c>
      <c r="F12" s="8" t="str">
        <f>+('3 Planilla Preadjudicación OTIC'!H12)</f>
        <v>SOFOFA</v>
      </c>
      <c r="G12" s="8" t="str">
        <f>+('3 Planilla Preadjudicación OTIC'!I12)</f>
        <v>53333861-5</v>
      </c>
      <c r="H12" s="8" t="str">
        <f>+('3 Planilla Preadjudicación OTIC'!J12)</f>
        <v>FUNDACIÓN DE BENEFICENCIA PÚBLICA, CIENTÍFICA Y EDUCACIONAL TRES HOJAS</v>
      </c>
      <c r="I12" s="8" t="str">
        <f>+('3 Planilla Preadjudicación OTIC'!K12)</f>
        <v>INTEGRACIÓN DE COMPETENCIAS ESPECIALIZADAS DE PRODUCCIÓN LECHERA, EN LA FORMACIÓN DE TÉCNICOS AGROPECUARIOS.</v>
      </c>
      <c r="J12" s="8" t="str">
        <f>+('3 Planilla Preadjudicación OTIC'!L12)</f>
        <v>SIN PLAN FORMATIVO</v>
      </c>
      <c r="K12" s="8" t="str">
        <f>+('3 Planilla Preadjudicación OTIC'!M12)</f>
        <v>APRESTO LABORAL PARA EL TRABAJO</v>
      </c>
      <c r="L12" s="8" t="str">
        <f>+('3 Planilla Preadjudicación OTIC'!N12)</f>
        <v>PF0916</v>
      </c>
      <c r="M12" s="6">
        <f>+('3 Planilla Preadjudicación OTIC'!O12)</f>
        <v>10</v>
      </c>
      <c r="N12" s="8">
        <f>+('3 Planilla Preadjudicación OTIC'!P12)</f>
        <v>0</v>
      </c>
      <c r="O12" s="8" t="str">
        <f>+('3 Planilla Preadjudicación OTIC'!Q12)</f>
        <v>OSORNO</v>
      </c>
      <c r="P12" s="8" t="str">
        <f>+('3 Planilla Preadjudicación OTIC'!R12)</f>
        <v>ESTUDIANTES DE CUARTO AÑO DE ENSEÑANZA MEDIA O DE LICEOS TÉCNICOS PROFESIONALES.</v>
      </c>
      <c r="Q12" s="8" t="str">
        <f>+('3 Planilla Preadjudicación OTIC'!S12)</f>
        <v>PRESENCIAL</v>
      </c>
      <c r="R12" s="8" t="str">
        <f>+('3 Planilla Preadjudicación OTIC'!T12)</f>
        <v>DEPENDIENTE</v>
      </c>
      <c r="S12" s="8" t="str">
        <f>+('3 Planilla Preadjudicación OTIC'!U12)</f>
        <v>07. MIÉRCOLES - MAÑANA</v>
      </c>
      <c r="T12" s="6">
        <f>+('3 Planilla Preadjudicación OTIC'!V12)</f>
        <v>20</v>
      </c>
      <c r="U12" s="6">
        <f>+('3 Planilla Preadjudicación OTIC'!W12)</f>
        <v>0</v>
      </c>
      <c r="V12" s="6">
        <f>+('3 Planilla Preadjudicación OTIC'!X12)</f>
        <v>0</v>
      </c>
      <c r="W12" s="6">
        <f>+('3 Planilla Preadjudicación OTIC'!Y12)</f>
        <v>224</v>
      </c>
      <c r="X12" s="6">
        <f>+('3 Planilla Preadjudicación OTIC'!Z12)</f>
        <v>8</v>
      </c>
      <c r="Y12" s="6" t="str">
        <f>+('3 Planilla Preadjudicación OTIC'!AA12)</f>
        <v>SI</v>
      </c>
      <c r="Z12" s="6" t="str">
        <f>+('3 Planilla Preadjudicación OTIC'!AB12)</f>
        <v>NO</v>
      </c>
      <c r="AA12" s="6" t="str">
        <f>+('3 Planilla Preadjudicación OTIC'!AC12)</f>
        <v>NO</v>
      </c>
      <c r="AB12" s="8" t="str">
        <f>+('3 Planilla Preadjudicación OTIC'!AD12)</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12" s="8" t="str">
        <f>+('3 Planilla Preadjudicación OTIC'!AE12)</f>
        <v>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12" s="6" t="str">
        <f>+('3 Planilla Preadjudicación OTIC'!AF12)</f>
        <v>NO</v>
      </c>
      <c r="AE12" s="8">
        <f>+('3 Planilla Preadjudicación OTIC'!AG12)</f>
        <v>0</v>
      </c>
      <c r="AF12" s="6" t="str">
        <f>+('3 Planilla Preadjudicación OTIC'!AH12)</f>
        <v>CERRADA</v>
      </c>
      <c r="AG12" s="6">
        <f>+('3 Planilla Preadjudicación OTIC'!AI12)</f>
        <v>28</v>
      </c>
      <c r="AH12" s="6">
        <f>+('3 Planilla Preadjudicación OTIC'!AJ12)</f>
        <v>3</v>
      </c>
      <c r="AI12" s="140" t="str">
        <f>+('3 Planilla Preadjudicación OTIC'!AK12)</f>
        <v>76715240-K</v>
      </c>
      <c r="AJ12" s="8" t="str">
        <f>+('3 Planilla Preadjudicación OTIC'!AL12)</f>
        <v>CAPACITACION INTEGRAL LTDA</v>
      </c>
      <c r="AK12" s="6">
        <f>+('3 Planilla Preadjudicación OTIC'!AM12)</f>
        <v>224</v>
      </c>
      <c r="AL12" s="6">
        <f>+('3 Planilla Preadjudicación OTIC'!AN12)</f>
        <v>28</v>
      </c>
      <c r="AM12" s="16">
        <f>+('3 Planilla Preadjudicación OTIC'!AO12)</f>
        <v>6373</v>
      </c>
      <c r="AN12" s="16">
        <f>+('3 Planilla Preadjudicación OTIC'!AP12)</f>
        <v>0</v>
      </c>
      <c r="AO12" s="16">
        <f>+('3 Planilla Preadjudicación OTIC'!AQ12)</f>
        <v>0</v>
      </c>
      <c r="AP12" s="16">
        <f>+('3 Planilla Preadjudicación OTIC'!AR12)</f>
        <v>28551040</v>
      </c>
      <c r="AQ12" s="16">
        <f>+('3 Planilla Preadjudicación OTIC'!AS12)</f>
        <v>2240000</v>
      </c>
      <c r="AR12" s="16">
        <f>+('3 Planilla Preadjudicación OTIC'!AT12)</f>
        <v>0</v>
      </c>
      <c r="AS12" s="16">
        <f>+('3 Planilla Preadjudicación OTIC'!AU12)</f>
        <v>0</v>
      </c>
      <c r="AT12" s="16">
        <f>+('3 Planilla Preadjudicación OTIC'!AV12)</f>
        <v>0</v>
      </c>
      <c r="AU12" s="16">
        <f>+('3 Planilla Preadjudicación OTIC'!AW12)</f>
        <v>30791040</v>
      </c>
      <c r="AV12" s="158" t="str">
        <f>+('3 Planilla Preadjudicación OTIC'!AX12)</f>
        <v>NO</v>
      </c>
      <c r="AW12" s="8" t="str">
        <f>+('3 Planilla Preadjudicación OTIC'!AY12)</f>
        <v>NUMERAL 6.1.2. ÍTEM 1 - NO DESARROLLA METODOLOGÍA PARA EL MODULO 10 DEL CURSO
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12" s="6">
        <f>+('3 Planilla Preadjudicación OTIC'!AZ12)</f>
        <v>0</v>
      </c>
      <c r="AY12" s="6">
        <f>+('3 Planilla Preadjudicación OTIC'!BA12)</f>
        <v>0</v>
      </c>
      <c r="AZ12" s="6">
        <f>+('3 Planilla Preadjudicación OTIC'!BB12)</f>
        <v>0</v>
      </c>
      <c r="BA12" s="6">
        <f>+('3 Planilla Preadjudicación OTIC'!BC12)</f>
        <v>0</v>
      </c>
      <c r="BB12" s="6">
        <f>+('3 Planilla Preadjudicación OTIC'!BD12)</f>
        <v>0</v>
      </c>
      <c r="BC12" s="6">
        <f>+('3 Planilla Preadjudicación OTIC'!BE12)</f>
        <v>0</v>
      </c>
      <c r="BD12" s="6">
        <f>+('3 Planilla Preadjudicación OTIC'!BF12)</f>
        <v>0</v>
      </c>
      <c r="BE12" s="6">
        <f>+('3 Planilla Preadjudicación OTIC'!BG12)</f>
        <v>0</v>
      </c>
      <c r="BF12" s="6">
        <f>+('3 Planilla Preadjudicación OTIC'!BH12)</f>
        <v>0</v>
      </c>
      <c r="BG12" s="6">
        <f>+('3 Planilla Preadjudicación OTIC'!BI12)</f>
        <v>0</v>
      </c>
      <c r="BH12" s="6">
        <f>+('3 Planilla Preadjudicación OTIC'!BJ12)</f>
        <v>0</v>
      </c>
      <c r="BI12" s="6">
        <f>+('3 Planilla Preadjudicación OTIC'!BK12)</f>
        <v>0</v>
      </c>
      <c r="BJ12" s="6">
        <f>+('3 Planilla Preadjudicación OTIC'!BL12)</f>
        <v>0</v>
      </c>
      <c r="BK12" s="6">
        <f>+('3 Planilla Preadjudicación OTIC'!BM12)</f>
        <v>0</v>
      </c>
      <c r="BL12" s="6">
        <f>+('3 Planilla Preadjudicación OTIC'!BN12)</f>
        <v>0</v>
      </c>
      <c r="BM12" s="108">
        <f>ROUND(('3 Planilla Preadjudicación OTIC'!BO12),1)</f>
        <v>0</v>
      </c>
      <c r="BN12" s="8" t="str">
        <f>+('3 Planilla Preadjudicación OTIC'!BP12)</f>
        <v>NO</v>
      </c>
      <c r="BO12" s="8" t="str">
        <f>+('3 Planilla Preadjudicación OTIC'!BQ12)</f>
        <v>Juan Landaeta</v>
      </c>
      <c r="BP12" s="8" t="str">
        <f>+('3 Planilla Preadjudicación OTIC'!BR12)</f>
        <v>jlandaeta@capchile.cl</v>
      </c>
      <c r="BQ12" s="8">
        <f>+('3 Planilla Preadjudicación OTIC'!BS12)</f>
        <v>989200476</v>
      </c>
      <c r="BR12" s="8" t="str">
        <f>+('3 Planilla Preadjudicación OTIC'!BT12)</f>
        <v>Patricio Lynch 1866, Osorno</v>
      </c>
      <c r="BS12" s="8">
        <f>+('3 Planilla Preadjudicación OTIC'!BU12)</f>
        <v>0</v>
      </c>
      <c r="BT12" s="8">
        <f>+('3 Planilla Preadjudicación OTIC'!BV12)</f>
        <v>0</v>
      </c>
      <c r="BU12" s="89">
        <f>IF(VLOOKUP(A12,'BD OFICIAL'!$A$1:$AL$2099,7,0)=D12,0,1)</f>
        <v>0</v>
      </c>
      <c r="BV12" s="89">
        <f>IF(VLOOKUP(A12,'BD OFICIAL'!$A$1:$AL$2099,11,0)=J12,0,1)</f>
        <v>0</v>
      </c>
      <c r="BW12" s="89">
        <f>IF(VLOOKUP(A12,'BD OFICIAL'!$A$1:$AL$2099,13,0)=L12,0,1)</f>
        <v>0</v>
      </c>
      <c r="BX12" s="6">
        <f>IF(VLOOKUP(A12,'BD OFICIAL'!$A$1:$AL$2099,16,0)=O12,0,1)</f>
        <v>0</v>
      </c>
      <c r="BY12" s="6">
        <f>IF(VLOOKUP(A12,'BD OFICIAL'!$A$1:$AL$2099,17,0)=P12,0,1)</f>
        <v>0</v>
      </c>
      <c r="BZ12" s="6">
        <f>IF(VLOOKUP(A12,'BD OFICIAL'!$A$1:$AL$2099,19,0)=R12,0,1)</f>
        <v>0</v>
      </c>
      <c r="CA12" s="6">
        <f>IF(VLOOKUP(A12,'BD OFICIAL'!$A$1:$AL$2099,21,0)=T12,0,1)</f>
        <v>0</v>
      </c>
      <c r="CB12" s="6">
        <f>IF(VLOOKUP(A12,'BD OFICIAL'!$A$1:$AL$2099,24,0)=AK12,0,1)</f>
        <v>0</v>
      </c>
      <c r="CC12" s="6">
        <f>IF(VLOOKUP(A12,'BD OFICIAL'!$A$1:$AL$2099,25,0)=X12,0,1)</f>
        <v>0</v>
      </c>
      <c r="CD12" s="6">
        <f>IF(VLOOKUP(A12,'BD OFICIAL'!$A$1:$AL$2099,26,0)=Y12,0,1)</f>
        <v>0</v>
      </c>
      <c r="CE12" s="6">
        <f>IF(VLOOKUP(A12,'BD OFICIAL'!$A$1:$AL$2099,27,0)=Z12,0,1)</f>
        <v>0</v>
      </c>
      <c r="CF12" s="6">
        <f>IF(VLOOKUP(A12,'BD OFICIAL'!$A$1:$AL$2099,28,0)=AA12,0,1)</f>
        <v>0</v>
      </c>
      <c r="CG12" s="6">
        <f>IF(VLOOKUP(A12,'BD OFICIAL'!$A$1:$AL$2099,33,0)=AF12,0,1)</f>
        <v>0</v>
      </c>
      <c r="CH12" s="6">
        <f>IF(VLOOKUP(A12,'BD OFICIAL'!$A$1:$AL$2099,35,0)=AH12,0,1)</f>
        <v>0</v>
      </c>
      <c r="CI12" s="89">
        <f>IF(VLOOKUP(A12,'BD OFICIAL'!$A$1:$AL$2099,34,0)=AL12,0,1)</f>
        <v>0</v>
      </c>
      <c r="CJ12" s="89">
        <f>VLOOKUP(A12,'BD OFICIAL'!$A$1:$AM$2099,36,0)*AM12-AP12</f>
        <v>0</v>
      </c>
      <c r="CK12" s="89" t="str">
        <f t="shared" si="0"/>
        <v>SSH</v>
      </c>
      <c r="CL12" s="89" t="str">
        <f t="shared" si="1"/>
        <v>NO</v>
      </c>
      <c r="CM12" s="89" t="str">
        <f t="shared" si="2"/>
        <v>NO</v>
      </c>
      <c r="CN12" s="35">
        <f t="shared" si="3"/>
        <v>0</v>
      </c>
      <c r="CO12" s="35">
        <f t="shared" si="19"/>
        <v>0</v>
      </c>
      <c r="CP12" s="35">
        <f t="shared" si="20"/>
        <v>0</v>
      </c>
      <c r="CQ12" s="35">
        <f>IF(VLOOKUP(A12,'BD OFICIAL'!$A:$AT,40,0)=AQ12,0,1)</f>
        <v>0</v>
      </c>
      <c r="CR12" s="35">
        <f>IF(VLOOKUP(A12,'BD OFICIAL'!$A:$AT,41,0)=AS12,0,1)</f>
        <v>0</v>
      </c>
      <c r="CS12" s="35">
        <f t="shared" si="21"/>
        <v>0</v>
      </c>
      <c r="CT12" s="35">
        <f t="shared" si="4"/>
        <v>0</v>
      </c>
      <c r="CU12" s="35">
        <f>IF(VLOOKUP(A12,'BD OFICIAL'!$A$1:$AL$1057,31,0)="SI",IF(AT12&gt;0,0,1),IF(AT12=0,0,1))</f>
        <v>0</v>
      </c>
      <c r="CV12" s="35">
        <f t="shared" si="5"/>
        <v>0</v>
      </c>
      <c r="CW12" s="35">
        <f t="shared" si="6"/>
        <v>0</v>
      </c>
      <c r="CX12" s="89" t="str">
        <f t="shared" si="7"/>
        <v>NO</v>
      </c>
      <c r="CY12" s="35">
        <f t="shared" si="8"/>
        <v>0</v>
      </c>
      <c r="CZ12" s="89" t="str">
        <f>IF(ISERROR(VLOOKUP(AI12,EXPERIENCIA!$A$1:$C$2100,1,0)),"NO","SI")</f>
        <v>SI</v>
      </c>
      <c r="DA12" s="89" t="str">
        <f>IF(CX12="no","NO APLICA",IF(AX12=0,"ERROR NOTA",IF(AND(AX12&gt;1,CZ12="NO"),"ERROR NOTA",IF(AND(CZ12="NO",AX12=1),0,IF(VLOOKUP(AI12,EXPERIENCIA!$A$1:$C$2100,3,0)=AX12,0,"ERROR NOTA")))))</f>
        <v>NO APLICA</v>
      </c>
      <c r="DB12" s="89" t="str">
        <f>IF(ISERROR(VLOOKUP(AI12,COMPORTAMIENTO!$A$1:$C$2100,1,0)),"NO","SI")</f>
        <v>SI</v>
      </c>
      <c r="DC12" s="89" t="str">
        <f>IF(CX12="NO","NO APLICA",IF(AY12=0,"ERROR NOTA",IF(AND(DB12="NO",AY12=7),0,IF(VLOOKUP(AI12,COMPORTAMIENTO!$A$2:$H$2100,8,0)=AY12,0,"ERROR NOTA"))))</f>
        <v>NO APLICA</v>
      </c>
      <c r="DD12" s="108" t="str">
        <f t="shared" si="9"/>
        <v>NO APLICA</v>
      </c>
      <c r="DE12" s="108" t="str">
        <f t="shared" si="10"/>
        <v>NO APLICA</v>
      </c>
      <c r="DF12" s="89" t="str">
        <f t="shared" si="22"/>
        <v>NO</v>
      </c>
      <c r="DG12" s="89">
        <f t="shared" si="11"/>
        <v>0</v>
      </c>
      <c r="DH12" s="89">
        <f t="shared" si="12"/>
        <v>0</v>
      </c>
      <c r="DI12" s="89" t="str">
        <f t="shared" si="23"/>
        <v>NO APLICA</v>
      </c>
      <c r="DJ12" s="16" t="str">
        <f t="shared" si="13"/>
        <v>NO APLICA</v>
      </c>
      <c r="DK12" s="11" t="str">
        <f t="shared" si="24"/>
        <v>NO APLICA</v>
      </c>
      <c r="DL12" s="16">
        <f t="shared" si="14"/>
        <v>6373</v>
      </c>
      <c r="DM12" s="16">
        <f>VLOOKUP(A12,'5 TD'!$A$3:$B$35,2,0)</f>
        <v>7434</v>
      </c>
      <c r="DN12" s="11" t="str">
        <f t="shared" si="25"/>
        <v>NO APLICA</v>
      </c>
      <c r="DO12" s="89" t="str">
        <f t="shared" si="26"/>
        <v>NO APLICA</v>
      </c>
      <c r="DP12" s="89" t="str">
        <f t="shared" si="27"/>
        <v>NO APLICA</v>
      </c>
      <c r="DQ12" s="11" t="str">
        <f t="shared" si="28"/>
        <v>NO APLICA</v>
      </c>
      <c r="DR12" s="89" t="str">
        <f t="shared" si="29"/>
        <v>NO APLICA</v>
      </c>
      <c r="DS12" s="6" t="str">
        <f>+('3 Planilla Preadjudicación OTIC'!BP13)</f>
        <v>NO</v>
      </c>
      <c r="DT12" s="6" t="str">
        <f>IF(DR12="APROBADO",VLOOKUP(A12,'5 TD'!$D$3:$E$270,2,0),"NO APLICA")</f>
        <v>NO APLICA</v>
      </c>
      <c r="DU12" s="6" t="str">
        <f t="shared" si="30"/>
        <v>NO APLICA</v>
      </c>
      <c r="DV12" s="6" t="str">
        <f>IF(DU12="SI",VLOOKUP(A12,'5 TD'!$G$3:$H$270,2,0),"NO APLICA ")</f>
        <v xml:space="preserve">NO APLICA </v>
      </c>
      <c r="DW12" s="6" t="str">
        <f t="shared" si="15"/>
        <v>NO</v>
      </c>
      <c r="DX12" s="6" t="str">
        <f>IF(DW12="SI",VLOOKUP(A12,'5 TD'!$J$4:$K$472,2,0),"NO APLICA")</f>
        <v>NO APLICA</v>
      </c>
      <c r="DY12" s="6" t="str">
        <f t="shared" si="16"/>
        <v>NO APLICA</v>
      </c>
      <c r="DZ12" s="11" t="str">
        <f>IF(DY12="SI",VLOOKUP(A12,'5 TD'!$M$4:$N$350,2,0),"NO APLICA")</f>
        <v>NO APLICA</v>
      </c>
      <c r="EA12" s="6" t="str">
        <f t="shared" si="17"/>
        <v>NO APLICA</v>
      </c>
      <c r="EB12" s="16" t="str">
        <f t="shared" si="18"/>
        <v/>
      </c>
      <c r="EC12" s="16" t="str">
        <f>IF(EA12="SI",VLOOKUP(A12,'5 TD'!$V$4:$W$479,2,0),"NO APLICA")</f>
        <v>NO APLICA</v>
      </c>
      <c r="ED12" s="6" t="str">
        <f t="shared" si="31"/>
        <v>NO</v>
      </c>
      <c r="EE12" s="83" t="str">
        <f>IF(ED12="SI",VLOOKUP(AI12,COMPORTAMIENTO!$A$1:$H$2100,7,0),"NO APLICA")</f>
        <v>NO APLICA</v>
      </c>
      <c r="EF12" s="16" t="str">
        <f>IF(ED12="SI",VLOOKUP(A12,'5 TD'!$P$2:$Q$479,2,0),"NO APLICA")</f>
        <v>NO APLICA</v>
      </c>
      <c r="EG12" s="6" t="str">
        <f t="shared" si="32"/>
        <v>NO</v>
      </c>
      <c r="EH12" s="6">
        <f>IF(CZ12="no",0,VLOOKUP(AI12,EXPERIENCIA!$A$1:$C$2100,2,0))</f>
        <v>85</v>
      </c>
      <c r="EI12" s="6">
        <f>IF(CZ12="si",VLOOKUP(A12,'5 TD'!$S$3:$T$2103,2,0),0)</f>
        <v>0</v>
      </c>
      <c r="EJ12" s="6" t="str">
        <f t="shared" si="33"/>
        <v>NO</v>
      </c>
      <c r="EK12" s="6">
        <f>+('3 Planilla Preadjudicación OTIC'!BW13)</f>
        <v>0</v>
      </c>
      <c r="EL12" s="34"/>
    </row>
    <row r="13" spans="1:147" s="7" customFormat="1" ht="12.75" x14ac:dyDescent="0.2">
      <c r="A13" s="6">
        <f>+('3 Planilla Preadjudicación OTIC'!A13)</f>
        <v>14389</v>
      </c>
      <c r="B13" s="6" t="str">
        <f>+('3 Planilla Preadjudicación OTIC'!B13)</f>
        <v>SOFOFA</v>
      </c>
      <c r="C13" s="8">
        <f>+('3 Planilla Preadjudicación OTIC'!E13)</f>
        <v>2025</v>
      </c>
      <c r="D13" s="8" t="str">
        <f>+('3 Planilla Preadjudicación OTIC'!F13)</f>
        <v>MANDATO</v>
      </c>
      <c r="E13" s="8" t="str">
        <f>+('3 Planilla Preadjudicación OTIC'!G13)</f>
        <v>65181652-1</v>
      </c>
      <c r="F13" s="8" t="str">
        <f>+('3 Planilla Preadjudicación OTIC'!H13)</f>
        <v>SOFOFA</v>
      </c>
      <c r="G13" s="8" t="str">
        <f>+('3 Planilla Preadjudicación OTIC'!I13)</f>
        <v>65140022-8</v>
      </c>
      <c r="H13" s="8" t="str">
        <f>+('3 Planilla Preadjudicación OTIC'!J13)</f>
        <v>FUTURO DEL TRABAJO</v>
      </c>
      <c r="I13" s="8" t="str">
        <f>+('3 Planilla Preadjudicación OTIC'!K13)</f>
        <v>TÉCNICAS DE SOLDADURA POR OXIGÁS, ARCO VOLTAICO, TIG Y MIG</v>
      </c>
      <c r="J13" s="8" t="str">
        <f>+('3 Planilla Preadjudicación OTIC'!L13)</f>
        <v>PF0622</v>
      </c>
      <c r="K13" s="8" t="str">
        <f>+('3 Planilla Preadjudicación OTIC'!M13)</f>
        <v>TÉCNICAS PARA EL EMPRENDIMIENTO</v>
      </c>
      <c r="L13" s="8" t="str">
        <f>+('3 Planilla Preadjudicación OTIC'!N13)</f>
        <v>PF0921</v>
      </c>
      <c r="M13" s="6">
        <f>+('3 Planilla Preadjudicación OTIC'!O13)</f>
        <v>13</v>
      </c>
      <c r="N13" s="8">
        <f>+('3 Planilla Preadjudicación OTIC'!P13)</f>
        <v>0</v>
      </c>
      <c r="O13" s="8" t="str">
        <f>+('3 Planilla Preadjudicación OTIC'!Q13)</f>
        <v>RENCA</v>
      </c>
      <c r="P13" s="8" t="str">
        <f>+('3 Planilla Preadjudicación OTIC'!R13)</f>
        <v>ESTUDIANTES DE CUARTO AÑO DE ENSEÑANZA MEDIA O DE LICEOS TÉCNICOS PROFESIONALES.</v>
      </c>
      <c r="Q13" s="8" t="str">
        <f>+('3 Planilla Preadjudicación OTIC'!S13)</f>
        <v>PRESENCIAL</v>
      </c>
      <c r="R13" s="8" t="str">
        <f>+('3 Planilla Preadjudicación OTIC'!T13)</f>
        <v>INDEPENDIENTE</v>
      </c>
      <c r="S13" s="8" t="str">
        <f>+('3 Planilla Preadjudicación OTIC'!U13)</f>
        <v>03. LUNES - VESPERTINO / 06. MARTES - VESPERTINO / 09. MIÉRCOLES - VESPERTINO / 12. JUEVES - VESPERTINO / 15. VIERNES - VESPERTINO</v>
      </c>
      <c r="T13" s="6">
        <f>+('3 Planilla Preadjudicación OTIC'!V13)</f>
        <v>14</v>
      </c>
      <c r="U13" s="6">
        <f>+('3 Planilla Preadjudicación OTIC'!W13)</f>
        <v>260</v>
      </c>
      <c r="V13" s="6">
        <f>+('3 Planilla Preadjudicación OTIC'!X13)</f>
        <v>12</v>
      </c>
      <c r="W13" s="6">
        <f>+('3 Planilla Preadjudicación OTIC'!Y13)</f>
        <v>272</v>
      </c>
      <c r="X13" s="6">
        <f>+('3 Planilla Preadjudicación OTIC'!Z13)</f>
        <v>4</v>
      </c>
      <c r="Y13" s="6" t="str">
        <f>+('3 Planilla Preadjudicación OTIC'!AA13)</f>
        <v>SI</v>
      </c>
      <c r="Z13" s="6" t="str">
        <f>+('3 Planilla Preadjudicación OTIC'!AB13)</f>
        <v>NO</v>
      </c>
      <c r="AA13" s="6" t="str">
        <f>+('3 Planilla Preadjudicación OTIC'!AC13)</f>
        <v>SI</v>
      </c>
      <c r="AB13" s="8">
        <f>+('3 Planilla Preadjudicación OTIC'!AD13)</f>
        <v>0</v>
      </c>
      <c r="AC13" s="8" t="str">
        <f>+('3 Planilla Preadjudicación OTIC'!AE13)</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13" s="6" t="str">
        <f>+('3 Planilla Preadjudicación OTIC'!AF13)</f>
        <v>SI</v>
      </c>
      <c r="AE13" s="8" t="str">
        <f>+('3 Planilla Preadjudicación OTIC'!AG13)</f>
        <v>CERTIFICACIÓN COMO SOLDADOR.</v>
      </c>
      <c r="AF13" s="6" t="str">
        <f>+('3 Planilla Preadjudicación OTIC'!AH13)</f>
        <v>CERRADA</v>
      </c>
      <c r="AG13" s="6">
        <f>+('3 Planilla Preadjudicación OTIC'!AI13)</f>
        <v>68</v>
      </c>
      <c r="AH13" s="6">
        <f>+('3 Planilla Preadjudicación OTIC'!AJ13)</f>
        <v>2</v>
      </c>
      <c r="AI13" s="140" t="str">
        <f>+('3 Planilla Preadjudicación OTIC'!AK13)</f>
        <v>77476826-2</v>
      </c>
      <c r="AJ13" s="8" t="str">
        <f>+('3 Planilla Preadjudicación OTIC'!AL13)</f>
        <v>AUSO CAPACITACIONES SPA</v>
      </c>
      <c r="AK13" s="6">
        <f>+('3 Planilla Preadjudicación OTIC'!AM13)</f>
        <v>272</v>
      </c>
      <c r="AL13" s="6">
        <f>+('3 Planilla Preadjudicación OTIC'!AN13)</f>
        <v>68</v>
      </c>
      <c r="AM13" s="16">
        <f>+('3 Planilla Preadjudicación OTIC'!AO13)</f>
        <v>5000</v>
      </c>
      <c r="AN13" s="16">
        <f>+('3 Planilla Preadjudicación OTIC'!AP13)</f>
        <v>250000</v>
      </c>
      <c r="AO13" s="16">
        <f>+('3 Planilla Preadjudicación OTIC'!AQ13)</f>
        <v>250000</v>
      </c>
      <c r="AP13" s="16">
        <f>+('3 Planilla Preadjudicación OTIC'!AR13)</f>
        <v>19040000</v>
      </c>
      <c r="AQ13" s="16">
        <f>+('3 Planilla Preadjudicación OTIC'!AS13)</f>
        <v>3808000</v>
      </c>
      <c r="AR13" s="16">
        <f>+('3 Planilla Preadjudicación OTIC'!AT13)</f>
        <v>3500000</v>
      </c>
      <c r="AS13" s="16">
        <f>+('3 Planilla Preadjudicación OTIC'!AU13)</f>
        <v>0</v>
      </c>
      <c r="AT13" s="16">
        <f>+('3 Planilla Preadjudicación OTIC'!AV13)</f>
        <v>3500000</v>
      </c>
      <c r="AU13" s="16">
        <f>+('3 Planilla Preadjudicación OTIC'!AW13)</f>
        <v>29848000</v>
      </c>
      <c r="AV13" s="158" t="str">
        <f>+('3 Planilla Preadjudicación OTIC'!AX13)</f>
        <v>NO</v>
      </c>
      <c r="AW13" s="8" t="str">
        <f>+('3 Planilla Preadjudicación OTIC'!AY13)</f>
        <v>NUMERAL 6.1.2. ÍTEM 5 - EL VALOR HORA ALUMNO CAPACITACIÓN NO SE ENCUENTRA EN EL RANGO DEL TRAMO DEFINIDO PAR EL CURSO, CONFORME AL ANEXO N° 8 Y AL PLAN DE CAPACITACIÓN</v>
      </c>
      <c r="AX13" s="6">
        <f>+('3 Planilla Preadjudicación OTIC'!AZ13)</f>
        <v>0</v>
      </c>
      <c r="AY13" s="6">
        <f>+('3 Planilla Preadjudicación OTIC'!BA13)</f>
        <v>0</v>
      </c>
      <c r="AZ13" s="6">
        <f>+('3 Planilla Preadjudicación OTIC'!BB13)</f>
        <v>0</v>
      </c>
      <c r="BA13" s="6">
        <f>+('3 Planilla Preadjudicación OTIC'!BC13)</f>
        <v>0</v>
      </c>
      <c r="BB13" s="6">
        <f>+('3 Planilla Preadjudicación OTIC'!BD13)</f>
        <v>0</v>
      </c>
      <c r="BC13" s="6">
        <f>+('3 Planilla Preadjudicación OTIC'!BE13)</f>
        <v>0</v>
      </c>
      <c r="BD13" s="6">
        <f>+('3 Planilla Preadjudicación OTIC'!BF13)</f>
        <v>0</v>
      </c>
      <c r="BE13" s="6">
        <f>+('3 Planilla Preadjudicación OTIC'!BG13)</f>
        <v>0</v>
      </c>
      <c r="BF13" s="6">
        <f>+('3 Planilla Preadjudicación OTIC'!BH13)</f>
        <v>0</v>
      </c>
      <c r="BG13" s="6">
        <f>+('3 Planilla Preadjudicación OTIC'!BI13)</f>
        <v>0</v>
      </c>
      <c r="BH13" s="6">
        <f>+('3 Planilla Preadjudicación OTIC'!BJ13)</f>
        <v>0</v>
      </c>
      <c r="BI13" s="6">
        <f>+('3 Planilla Preadjudicación OTIC'!BK13)</f>
        <v>0</v>
      </c>
      <c r="BJ13" s="6">
        <f>+('3 Planilla Preadjudicación OTIC'!BL13)</f>
        <v>0</v>
      </c>
      <c r="BK13" s="6">
        <f>+('3 Planilla Preadjudicación OTIC'!BM13)</f>
        <v>0</v>
      </c>
      <c r="BL13" s="6">
        <f>+('3 Planilla Preadjudicación OTIC'!BN13)</f>
        <v>0</v>
      </c>
      <c r="BM13" s="108">
        <f>ROUND(('3 Planilla Preadjudicación OTIC'!BO13),1)</f>
        <v>0</v>
      </c>
      <c r="BN13" s="8" t="str">
        <f>+('3 Planilla Preadjudicación OTIC'!BP13)</f>
        <v>NO</v>
      </c>
      <c r="BO13" s="8" t="str">
        <f>+('3 Planilla Preadjudicación OTIC'!BQ13)</f>
        <v>CLAUDIA NUÑEZ</v>
      </c>
      <c r="BP13" s="8" t="str">
        <f>+('3 Planilla Preadjudicación OTIC'!BR13)</f>
        <v>CLAUDIA.NUNEZ@AUSOCAPACITACIONES.CL</v>
      </c>
      <c r="BQ13" s="8">
        <f>+('3 Planilla Preadjudicación OTIC'!BS13)</f>
        <v>984199668</v>
      </c>
      <c r="BR13" s="8" t="str">
        <f>+('3 Planilla Preadjudicación OTIC'!BT13)</f>
        <v>DOMINGO SANTA MARÍA # 392, Renca</v>
      </c>
      <c r="BS13" s="8">
        <f>+('3 Planilla Preadjudicación OTIC'!BU13)</f>
        <v>0</v>
      </c>
      <c r="BT13" s="8">
        <f>+('3 Planilla Preadjudicación OTIC'!BV13)</f>
        <v>0</v>
      </c>
      <c r="BU13" s="89">
        <f>IF(VLOOKUP(A13,'BD OFICIAL'!$A$1:$AL$2099,7,0)=D13,0,1)</f>
        <v>0</v>
      </c>
      <c r="BV13" s="89">
        <f>IF(VLOOKUP(A13,'BD OFICIAL'!$A$1:$AL$2099,11,0)=J13,0,1)</f>
        <v>0</v>
      </c>
      <c r="BW13" s="89">
        <f>IF(VLOOKUP(A13,'BD OFICIAL'!$A$1:$AL$2099,13,0)=L13,0,1)</f>
        <v>0</v>
      </c>
      <c r="BX13" s="6">
        <f>IF(VLOOKUP(A13,'BD OFICIAL'!$A$1:$AL$2099,16,0)=O13,0,1)</f>
        <v>0</v>
      </c>
      <c r="BY13" s="6">
        <f>IF(VLOOKUP(A13,'BD OFICIAL'!$A$1:$AL$2099,17,0)=P13,0,1)</f>
        <v>0</v>
      </c>
      <c r="BZ13" s="6">
        <f>IF(VLOOKUP(A13,'BD OFICIAL'!$A$1:$AL$2099,19,0)=R13,0,1)</f>
        <v>0</v>
      </c>
      <c r="CA13" s="6">
        <f>IF(VLOOKUP(A13,'BD OFICIAL'!$A$1:$AL$2099,21,0)=T13,0,1)</f>
        <v>0</v>
      </c>
      <c r="CB13" s="6">
        <f>IF(VLOOKUP(A13,'BD OFICIAL'!$A$1:$AL$2099,24,0)=AK13,0,1)</f>
        <v>0</v>
      </c>
      <c r="CC13" s="6">
        <f>IF(VLOOKUP(A13,'BD OFICIAL'!$A$1:$AL$2099,25,0)=X13,0,1)</f>
        <v>0</v>
      </c>
      <c r="CD13" s="6">
        <f>IF(VLOOKUP(A13,'BD OFICIAL'!$A$1:$AL$2099,26,0)=Y13,0,1)</f>
        <v>0</v>
      </c>
      <c r="CE13" s="6">
        <f>IF(VLOOKUP(A13,'BD OFICIAL'!$A$1:$AL$2099,27,0)=Z13,0,1)</f>
        <v>0</v>
      </c>
      <c r="CF13" s="6">
        <f>IF(VLOOKUP(A13,'BD OFICIAL'!$A$1:$AL$2099,28,0)=AA13,0,1)</f>
        <v>0</v>
      </c>
      <c r="CG13" s="6">
        <f>IF(VLOOKUP(A13,'BD OFICIAL'!$A$1:$AL$2099,33,0)=AF13,0,1)</f>
        <v>0</v>
      </c>
      <c r="CH13" s="6">
        <f>IF(VLOOKUP(A13,'BD OFICIAL'!$A$1:$AL$2099,35,0)=AH13,0,1)</f>
        <v>0</v>
      </c>
      <c r="CI13" s="89">
        <f>IF(VLOOKUP(A13,'BD OFICIAL'!$A$1:$AL$2099,34,0)=AL13,0,1)</f>
        <v>0</v>
      </c>
      <c r="CJ13" s="89">
        <f>VLOOKUP(A13,'BD OFICIAL'!$A$1:$AM$2099,36,0)*AM13-AP13</f>
        <v>0</v>
      </c>
      <c r="CK13" s="89" t="str">
        <f t="shared" si="0"/>
        <v>SHMAN</v>
      </c>
      <c r="CL13" s="89" t="str">
        <f t="shared" si="1"/>
        <v>SI</v>
      </c>
      <c r="CM13" s="89" t="str">
        <f t="shared" si="2"/>
        <v>NO</v>
      </c>
      <c r="CN13" s="35">
        <f t="shared" si="3"/>
        <v>0</v>
      </c>
      <c r="CO13" s="35">
        <f t="shared" si="19"/>
        <v>1</v>
      </c>
      <c r="CP13" s="35">
        <f t="shared" si="20"/>
        <v>0</v>
      </c>
      <c r="CQ13" s="35">
        <f>IF(VLOOKUP(A13,'BD OFICIAL'!$A:$AT,40,0)=AQ13,0,1)</f>
        <v>0</v>
      </c>
      <c r="CR13" s="35">
        <f>IF(VLOOKUP(A13,'BD OFICIAL'!$A:$AT,41,0)=AS13,0,1)</f>
        <v>0</v>
      </c>
      <c r="CS13" s="35">
        <f t="shared" si="21"/>
        <v>0</v>
      </c>
      <c r="CT13" s="35">
        <f t="shared" si="4"/>
        <v>0</v>
      </c>
      <c r="CU13" s="35">
        <f>IF(VLOOKUP(A13,'BD OFICIAL'!$A$1:$AL$1057,31,0)="SI",IF(AT13&gt;0,0,1),IF(AT13=0,0,1))</f>
        <v>0</v>
      </c>
      <c r="CV13" s="35">
        <f t="shared" si="5"/>
        <v>0</v>
      </c>
      <c r="CW13" s="35">
        <f t="shared" si="6"/>
        <v>0</v>
      </c>
      <c r="CX13" s="89" t="str">
        <f t="shared" si="7"/>
        <v>NO</v>
      </c>
      <c r="CY13" s="35">
        <f t="shared" si="8"/>
        <v>0</v>
      </c>
      <c r="CZ13" s="89" t="str">
        <f>IF(ISERROR(VLOOKUP(AI13,EXPERIENCIA!$A$1:$C$2100,1,0)),"NO","SI")</f>
        <v>NO</v>
      </c>
      <c r="DA13" s="89" t="str">
        <f>IF(CX13="no","NO APLICA",IF(AX13=0,"ERROR NOTA",IF(AND(AX13&gt;1,CZ13="NO"),"ERROR NOTA",IF(AND(CZ13="NO",AX13=1),0,IF(VLOOKUP(AI13,EXPERIENCIA!$A$1:$C$2100,3,0)=AX13,0,"ERROR NOTA")))))</f>
        <v>NO APLICA</v>
      </c>
      <c r="DB13" s="89" t="str">
        <f>IF(ISERROR(VLOOKUP(AI13,COMPORTAMIENTO!$A$1:$C$2100,1,0)),"NO","SI")</f>
        <v>NO</v>
      </c>
      <c r="DC13" s="89" t="str">
        <f>IF(CX13="NO","NO APLICA",IF(AY13=0,"ERROR NOTA",IF(AND(DB13="NO",AY13=7),0,IF(VLOOKUP(AI13,COMPORTAMIENTO!$A$2:$H$2100,8,0)=AY13,0,"ERROR NOTA"))))</f>
        <v>NO APLICA</v>
      </c>
      <c r="DD13" s="108" t="str">
        <f t="shared" si="9"/>
        <v>NO APLICA</v>
      </c>
      <c r="DE13" s="108" t="str">
        <f t="shared" si="10"/>
        <v>NO APLICA</v>
      </c>
      <c r="DF13" s="89" t="str">
        <f t="shared" si="22"/>
        <v>SI</v>
      </c>
      <c r="DG13" s="89">
        <f t="shared" si="11"/>
        <v>0</v>
      </c>
      <c r="DH13" s="89">
        <f t="shared" si="12"/>
        <v>0</v>
      </c>
      <c r="DI13" s="89" t="str">
        <f t="shared" si="23"/>
        <v>NO APLICA</v>
      </c>
      <c r="DJ13" s="16" t="str">
        <f t="shared" si="13"/>
        <v>NO APLICA</v>
      </c>
      <c r="DK13" s="11" t="str">
        <f t="shared" si="24"/>
        <v>NO APLICA</v>
      </c>
      <c r="DL13" s="16">
        <f t="shared" si="14"/>
        <v>5000</v>
      </c>
      <c r="DM13" s="16">
        <f>VLOOKUP(A13,'5 TD'!$A$3:$B$35,2,0)</f>
        <v>5000</v>
      </c>
      <c r="DN13" s="11" t="str">
        <f t="shared" si="25"/>
        <v>NO APLICA</v>
      </c>
      <c r="DO13" s="89" t="str">
        <f t="shared" si="26"/>
        <v>NO APLICA</v>
      </c>
      <c r="DP13" s="89" t="str">
        <f t="shared" si="27"/>
        <v>NO APLICA</v>
      </c>
      <c r="DQ13" s="11" t="str">
        <f t="shared" si="28"/>
        <v>NO APLICA</v>
      </c>
      <c r="DR13" s="89" t="str">
        <f t="shared" si="29"/>
        <v>NO APLICA</v>
      </c>
      <c r="DS13" s="6" t="str">
        <f>+('3 Planilla Preadjudicación OTIC'!BP14)</f>
        <v>NO</v>
      </c>
      <c r="DT13" s="6" t="str">
        <f>IF(DR13="APROBADO",VLOOKUP(A13,'5 TD'!$D$3:$E$270,2,0),"NO APLICA")</f>
        <v>NO APLICA</v>
      </c>
      <c r="DU13" s="6" t="str">
        <f t="shared" si="30"/>
        <v>NO APLICA</v>
      </c>
      <c r="DV13" s="6" t="str">
        <f>IF(DU13="SI",VLOOKUP(A13,'5 TD'!$G$3:$H$270,2,0),"NO APLICA ")</f>
        <v xml:space="preserve">NO APLICA </v>
      </c>
      <c r="DW13" s="6" t="str">
        <f t="shared" si="15"/>
        <v>NO</v>
      </c>
      <c r="DX13" s="6" t="str">
        <f>IF(DW13="SI",VLOOKUP(A13,'5 TD'!$J$4:$K$472,2,0),"NO APLICA")</f>
        <v>NO APLICA</v>
      </c>
      <c r="DY13" s="6" t="str">
        <f t="shared" si="16"/>
        <v>NO APLICA</v>
      </c>
      <c r="DZ13" s="11" t="str">
        <f>IF(DY13="SI",VLOOKUP(A13,'5 TD'!$M$4:$N$350,2,0),"NO APLICA")</f>
        <v>NO APLICA</v>
      </c>
      <c r="EA13" s="6" t="str">
        <f t="shared" si="17"/>
        <v>NO APLICA</v>
      </c>
      <c r="EB13" s="16" t="str">
        <f t="shared" si="18"/>
        <v/>
      </c>
      <c r="EC13" s="16" t="str">
        <f>IF(EA13="SI",VLOOKUP(A13,'5 TD'!$V$4:$W$479,2,0),"NO APLICA")</f>
        <v>NO APLICA</v>
      </c>
      <c r="ED13" s="6" t="str">
        <f t="shared" si="31"/>
        <v>NO</v>
      </c>
      <c r="EE13" s="83" t="str">
        <f>IF(ED13="SI",VLOOKUP(AI13,COMPORTAMIENTO!$A$1:$H$2100,7,0),"NO APLICA")</f>
        <v>NO APLICA</v>
      </c>
      <c r="EF13" s="16" t="str">
        <f>IF(ED13="SI",VLOOKUP(A13,'5 TD'!$P$2:$Q$479,2,0),"NO APLICA")</f>
        <v>NO APLICA</v>
      </c>
      <c r="EG13" s="6" t="str">
        <f t="shared" si="32"/>
        <v>NO</v>
      </c>
      <c r="EH13" s="6">
        <f>IF(CZ13="no",0,VLOOKUP(AI13,EXPERIENCIA!$A$1:$C$2100,2,0))</f>
        <v>0</v>
      </c>
      <c r="EI13" s="6">
        <f>IF(CZ13="si",VLOOKUP(A13,'5 TD'!$S$3:$T$2103,2,0),0)</f>
        <v>0</v>
      </c>
      <c r="EJ13" s="6" t="str">
        <f t="shared" si="33"/>
        <v>SI</v>
      </c>
      <c r="EK13" s="6" t="str">
        <f>+('3 Planilla Preadjudicación OTIC'!BW14)</f>
        <v>Numeral 7 ítem e) Menor “porcentaje de multas ponderadas” en ítem evaluación comportamiento considerando 4 decimales.</v>
      </c>
      <c r="EL13" s="34" t="s">
        <v>2396</v>
      </c>
      <c r="EM13" s="7" t="s">
        <v>2406</v>
      </c>
    </row>
    <row r="14" spans="1:147" s="7" customFormat="1" ht="12.75" x14ac:dyDescent="0.2">
      <c r="A14" s="6">
        <f>+('3 Planilla Preadjudicación OTIC'!A14)</f>
        <v>14336</v>
      </c>
      <c r="B14" s="6" t="str">
        <f>+('3 Planilla Preadjudicación OTIC'!B14)</f>
        <v>SOFOFA</v>
      </c>
      <c r="C14" s="8">
        <f>+('3 Planilla Preadjudicación OTIC'!E14)</f>
        <v>2025</v>
      </c>
      <c r="D14" s="8" t="str">
        <f>+('3 Planilla Preadjudicación OTIC'!F14)</f>
        <v>MANDATO</v>
      </c>
      <c r="E14" s="8" t="str">
        <f>+('3 Planilla Preadjudicación OTIC'!G14)</f>
        <v>65181652-1</v>
      </c>
      <c r="F14" s="8" t="str">
        <f>+('3 Planilla Preadjudicación OTIC'!H14)</f>
        <v>SOFOFA</v>
      </c>
      <c r="G14" s="8" t="str">
        <f>+('3 Planilla Preadjudicación OTIC'!I14)</f>
        <v>70417500-0</v>
      </c>
      <c r="H14" s="8" t="str">
        <f>+('3 Planilla Preadjudicación OTIC'!J14)</f>
        <v>CORPORACION DE CAPACITACION Y EMPLEO SOFOFA (LICEOS)</v>
      </c>
      <c r="I14" s="8" t="str">
        <f>+('3 Planilla Preadjudicación OTIC'!K14)</f>
        <v>CONTROL DE CALIDAD EN LA INDUSTRIA ALIMENTARIA</v>
      </c>
      <c r="J14" s="8" t="str">
        <f>+('3 Planilla Preadjudicación OTIC'!L14)</f>
        <v>SIN PLAN FORMATIVO</v>
      </c>
      <c r="K14" s="8">
        <f>+('3 Planilla Preadjudicación OTIC'!M14)</f>
        <v>0</v>
      </c>
      <c r="L14" s="8" t="str">
        <f>+('3 Planilla Preadjudicación OTIC'!N14)</f>
        <v/>
      </c>
      <c r="M14" s="6">
        <f>+('3 Planilla Preadjudicación OTIC'!O14)</f>
        <v>13</v>
      </c>
      <c r="N14" s="8">
        <f>+('3 Planilla Preadjudicación OTIC'!P14)</f>
        <v>0</v>
      </c>
      <c r="O14" s="8" t="str">
        <f>+('3 Planilla Preadjudicación OTIC'!Q14)</f>
        <v>SANTIAGO</v>
      </c>
      <c r="P14" s="8" t="str">
        <f>+('3 Planilla Preadjudicación OTIC'!R14)</f>
        <v>ESTUDIANTES DE CUARTO AÑO DE ENSEÑANZA MEDIA O DE LICEOS TÉCNICOS PROFESIONALES.</v>
      </c>
      <c r="Q14" s="8" t="str">
        <f>+('3 Planilla Preadjudicación OTIC'!S14)</f>
        <v>PRESENCIAL</v>
      </c>
      <c r="R14" s="8" t="str">
        <f>+('3 Planilla Preadjudicación OTIC'!T14)</f>
        <v>DEPENDIENTE</v>
      </c>
      <c r="S14" s="8">
        <f>+('3 Planilla Preadjudicación OTIC'!U14)</f>
        <v>0</v>
      </c>
      <c r="T14" s="6">
        <f>+('3 Planilla Preadjudicación OTIC'!V14)</f>
        <v>15</v>
      </c>
      <c r="U14" s="6">
        <f>+('3 Planilla Preadjudicación OTIC'!W14)</f>
        <v>0</v>
      </c>
      <c r="V14" s="6">
        <f>+('3 Planilla Preadjudicación OTIC'!X14)</f>
        <v>0</v>
      </c>
      <c r="W14" s="6">
        <f>+('3 Planilla Preadjudicación OTIC'!Y14)</f>
        <v>160</v>
      </c>
      <c r="X14" s="6">
        <f>+('3 Planilla Preadjudicación OTIC'!Z14)</f>
        <v>5</v>
      </c>
      <c r="Y14" s="6" t="str">
        <f>+('3 Planilla Preadjudicación OTIC'!AA14)</f>
        <v>SI</v>
      </c>
      <c r="Z14" s="6" t="str">
        <f>+('3 Planilla Preadjudicación OTIC'!AB14)</f>
        <v>NO</v>
      </c>
      <c r="AA14" s="6" t="str">
        <f>+('3 Planilla Preadjudicación OTIC'!AC14)</f>
        <v>NO</v>
      </c>
      <c r="AB14" s="8" t="str">
        <f>+('3 Planilla Preadjudicación OTIC'!AD14)</f>
        <v>- Aplicar normas del Reglamento Sanitario de los Alimentos (RSA) y la Ley 20.606 sobre
etiquetado nutricional.
- Reconocer y aplicar Buenas Prácticas de Manufactura (BPM) en procesos productivos
alimentarios.
- Implementar principios del sistema HACCP para el control de peligros alimentarios.
- Manejar herramientas e instrumentos de medición para evaluación sensorial,
fisicoquímica y microbiológica básica.
- Interpretar y registrar resultados de control de calidad, reportando no conformidades
según protocolos establecidos.
- Aplicar criterios de auditoría y trazabilidad conforme a estándares ISO 22000 y BRC Food.</v>
      </c>
      <c r="AC14" s="8" t="str">
        <f>+('3 Planilla Preadjudicación OTIC'!AE14)</f>
        <v>HOMBRES Y MUJERES, ESTUDIANTES DE CUARTO AÑO MEDIO DE LICEOS TECNICO PROFESIONAL DE LA COMUNA DE SANTIAGOL, CON ENSEÑANZA MEDIA COMPLETA PREFERENTEMENTE</v>
      </c>
      <c r="AD14" s="6" t="str">
        <f>+('3 Planilla Preadjudicación OTIC'!AF14)</f>
        <v>NO</v>
      </c>
      <c r="AE14" s="8">
        <f>+('3 Planilla Preadjudicación OTIC'!AG14)</f>
        <v>0</v>
      </c>
      <c r="AF14" s="6" t="str">
        <f>+('3 Planilla Preadjudicación OTIC'!AH14)</f>
        <v>CERRADA</v>
      </c>
      <c r="AG14" s="6">
        <f>+('3 Planilla Preadjudicación OTIC'!AI14)</f>
        <v>32</v>
      </c>
      <c r="AH14" s="6">
        <f>+('3 Planilla Preadjudicación OTIC'!AJ14)</f>
        <v>3</v>
      </c>
      <c r="AI14" s="140" t="str">
        <f>+('3 Planilla Preadjudicación OTIC'!AK14)</f>
        <v>76606610-0</v>
      </c>
      <c r="AJ14" s="8" t="str">
        <f>+('3 Planilla Preadjudicación OTIC'!AL14)</f>
        <v>Centro de Capacitación Inforcap SPA</v>
      </c>
      <c r="AK14" s="6">
        <f>+('3 Planilla Preadjudicación OTIC'!AM14)</f>
        <v>160</v>
      </c>
      <c r="AL14" s="6">
        <f>+('3 Planilla Preadjudicación OTIC'!AN14)</f>
        <v>32</v>
      </c>
      <c r="AM14" s="16">
        <f>+('3 Planilla Preadjudicación OTIC'!AO14)</f>
        <v>6373</v>
      </c>
      <c r="AN14" s="16">
        <f>+('3 Planilla Preadjudicación OTIC'!AP14)</f>
        <v>0</v>
      </c>
      <c r="AO14" s="16">
        <f>+('3 Planilla Preadjudicación OTIC'!AQ14)</f>
        <v>0</v>
      </c>
      <c r="AP14" s="16">
        <f>+('3 Planilla Preadjudicación OTIC'!AR14)</f>
        <v>15295200</v>
      </c>
      <c r="AQ14" s="16">
        <f>+('3 Planilla Preadjudicación OTIC'!AS14)</f>
        <v>1920000</v>
      </c>
      <c r="AR14" s="16">
        <f>+('3 Planilla Preadjudicación OTIC'!AT14)</f>
        <v>0</v>
      </c>
      <c r="AS14" s="16">
        <f>+('3 Planilla Preadjudicación OTIC'!AU14)</f>
        <v>0</v>
      </c>
      <c r="AT14" s="16">
        <f>+('3 Planilla Preadjudicación OTIC'!AV14)</f>
        <v>0</v>
      </c>
      <c r="AU14" s="16">
        <f>+('3 Planilla Preadjudicación OTIC'!AW14)</f>
        <v>17215200</v>
      </c>
      <c r="AV14" s="158" t="str">
        <f>+('3 Planilla Preadjudicación OTIC'!AX14)</f>
        <v>SI</v>
      </c>
      <c r="AW14" s="8">
        <f>+('3 Planilla Preadjudicación OTIC'!AY14)</f>
        <v>0</v>
      </c>
      <c r="AX14" s="6">
        <f>+('3 Planilla Preadjudicación OTIC'!AZ14)</f>
        <v>7</v>
      </c>
      <c r="AY14" s="6">
        <f>+('3 Planilla Preadjudicación OTIC'!BA14)</f>
        <v>7</v>
      </c>
      <c r="AZ14" s="6">
        <f>+('3 Planilla Preadjudicación OTIC'!BB14)</f>
        <v>7</v>
      </c>
      <c r="BA14" s="6">
        <f>+('3 Planilla Preadjudicación OTIC'!BC14)</f>
        <v>7</v>
      </c>
      <c r="BB14" s="6">
        <f>+('3 Planilla Preadjudicación OTIC'!BD14)</f>
        <v>7</v>
      </c>
      <c r="BC14" s="6">
        <f>+('3 Planilla Preadjudicación OTIC'!BE14)</f>
        <v>7</v>
      </c>
      <c r="BD14" s="6">
        <f>+('3 Planilla Preadjudicación OTIC'!BF14)</f>
        <v>7</v>
      </c>
      <c r="BE14" s="6">
        <f>+('3 Planilla Preadjudicación OTIC'!BG14)</f>
        <v>7</v>
      </c>
      <c r="BF14" s="6">
        <f>+('3 Planilla Preadjudicación OTIC'!BH14)</f>
        <v>7</v>
      </c>
      <c r="BG14" s="6">
        <f>+('3 Planilla Preadjudicación OTIC'!BI14)</f>
        <v>7</v>
      </c>
      <c r="BH14" s="6">
        <f>+('3 Planilla Preadjudicación OTIC'!BJ14)</f>
        <v>7</v>
      </c>
      <c r="BI14" s="6">
        <f>+('3 Planilla Preadjudicación OTIC'!BK14)</f>
        <v>7</v>
      </c>
      <c r="BJ14" s="6">
        <f>+('3 Planilla Preadjudicación OTIC'!BL14)</f>
        <v>7</v>
      </c>
      <c r="BK14" s="6">
        <f>+('3 Planilla Preadjudicación OTIC'!BM14)</f>
        <v>7</v>
      </c>
      <c r="BL14" s="6">
        <f>+('3 Planilla Preadjudicación OTIC'!BN14)</f>
        <v>7</v>
      </c>
      <c r="BM14" s="108">
        <f>ROUND(('3 Planilla Preadjudicación OTIC'!BO14),1)</f>
        <v>7</v>
      </c>
      <c r="BN14" s="8" t="str">
        <f>+('3 Planilla Preadjudicación OTIC'!BP14)</f>
        <v>NO</v>
      </c>
      <c r="BO14" s="8" t="str">
        <f>+('3 Planilla Preadjudicación OTIC'!BQ14)</f>
        <v>Pia fuentes corcoran</v>
      </c>
      <c r="BP14" s="8" t="str">
        <f>+('3 Planilla Preadjudicación OTIC'!BR14)</f>
        <v>pfuentescorcoran@gmail.com</v>
      </c>
      <c r="BQ14" s="8">
        <f>+('3 Planilla Preadjudicación OTIC'!BS14)</f>
        <v>992196137</v>
      </c>
      <c r="BR14" s="8" t="str">
        <f>+('3 Planilla Preadjudicación OTIC'!BT14)</f>
        <v>PROVENIR #458, COMUNA DE SANTIAGO, Santiago</v>
      </c>
      <c r="BS14" s="8">
        <f>+('3 Planilla Preadjudicación OTIC'!BU14)</f>
        <v>0</v>
      </c>
      <c r="BT14" s="8">
        <f>+('3 Planilla Preadjudicación OTIC'!BV14)</f>
        <v>0</v>
      </c>
      <c r="BU14" s="89">
        <f>IF(VLOOKUP(A14,'BD OFICIAL'!$A$1:$AL$2099,7,0)=D14,0,1)</f>
        <v>0</v>
      </c>
      <c r="BV14" s="89">
        <f>IF(VLOOKUP(A14,'BD OFICIAL'!$A$1:$AL$2099,11,0)=J14,0,1)</f>
        <v>0</v>
      </c>
      <c r="BW14" s="89">
        <f>IF(VLOOKUP(A14,'BD OFICIAL'!$A$1:$AL$2099,13,0)=L14,0,1)</f>
        <v>0</v>
      </c>
      <c r="BX14" s="6">
        <f>IF(VLOOKUP(A14,'BD OFICIAL'!$A$1:$AL$2099,16,0)=O14,0,1)</f>
        <v>0</v>
      </c>
      <c r="BY14" s="6">
        <f>IF(VLOOKUP(A14,'BD OFICIAL'!$A$1:$AL$2099,17,0)=P14,0,1)</f>
        <v>0</v>
      </c>
      <c r="BZ14" s="6">
        <f>IF(VLOOKUP(A14,'BD OFICIAL'!$A$1:$AL$2099,19,0)=R14,0,1)</f>
        <v>0</v>
      </c>
      <c r="CA14" s="6">
        <f>IF(VLOOKUP(A14,'BD OFICIAL'!$A$1:$AL$2099,21,0)=T14,0,1)</f>
        <v>0</v>
      </c>
      <c r="CB14" s="6">
        <f>IF(VLOOKUP(A14,'BD OFICIAL'!$A$1:$AL$2099,24,0)=AK14,0,1)</f>
        <v>0</v>
      </c>
      <c r="CC14" s="6">
        <f>IF(VLOOKUP(A14,'BD OFICIAL'!$A$1:$AL$2099,25,0)=X14,0,1)</f>
        <v>0</v>
      </c>
      <c r="CD14" s="6">
        <f>IF(VLOOKUP(A14,'BD OFICIAL'!$A$1:$AL$2099,26,0)=Y14,0,1)</f>
        <v>0</v>
      </c>
      <c r="CE14" s="6">
        <f>IF(VLOOKUP(A14,'BD OFICIAL'!$A$1:$AL$2099,27,0)=Z14,0,1)</f>
        <v>0</v>
      </c>
      <c r="CF14" s="6">
        <f>IF(VLOOKUP(A14,'BD OFICIAL'!$A$1:$AL$2099,28,0)=AA14,0,1)</f>
        <v>0</v>
      </c>
      <c r="CG14" s="6">
        <f>IF(VLOOKUP(A14,'BD OFICIAL'!$A$1:$AL$2099,33,0)=AF14,0,1)</f>
        <v>0</v>
      </c>
      <c r="CH14" s="6">
        <f>IF(VLOOKUP(A14,'BD OFICIAL'!$A$1:$AL$2099,35,0)=AH14,0,1)</f>
        <v>0</v>
      </c>
      <c r="CI14" s="89">
        <f>IF(VLOOKUP(A14,'BD OFICIAL'!$A$1:$AL$2099,34,0)=AL14,0,1)</f>
        <v>0</v>
      </c>
      <c r="CJ14" s="89">
        <f>VLOOKUP(A14,'BD OFICIAL'!$A$1:$AM$2099,36,0)*AM14-AP14</f>
        <v>0</v>
      </c>
      <c r="CK14" s="89" t="str">
        <f t="shared" si="0"/>
        <v>SSH</v>
      </c>
      <c r="CL14" s="89" t="str">
        <f t="shared" si="1"/>
        <v>NO</v>
      </c>
      <c r="CM14" s="89" t="str">
        <f t="shared" si="2"/>
        <v>SI</v>
      </c>
      <c r="CN14" s="35">
        <f t="shared" si="3"/>
        <v>0</v>
      </c>
      <c r="CO14" s="35">
        <f t="shared" si="19"/>
        <v>0</v>
      </c>
      <c r="CP14" s="35">
        <f t="shared" si="20"/>
        <v>0</v>
      </c>
      <c r="CQ14" s="35">
        <f>IF(VLOOKUP(A14,'BD OFICIAL'!$A:$AT,40,0)=AQ14,0,1)</f>
        <v>0</v>
      </c>
      <c r="CR14" s="35">
        <f>IF(VLOOKUP(A14,'BD OFICIAL'!$A:$AT,41,0)=AS14,0,1)</f>
        <v>0</v>
      </c>
      <c r="CS14" s="35">
        <f t="shared" si="21"/>
        <v>0</v>
      </c>
      <c r="CT14" s="35">
        <f t="shared" si="4"/>
        <v>0</v>
      </c>
      <c r="CU14" s="35">
        <f>IF(VLOOKUP(A14,'BD OFICIAL'!$A$1:$AL$1057,31,0)="SI",IF(AT14&gt;0,0,1),IF(AT14=0,0,1))</f>
        <v>0</v>
      </c>
      <c r="CV14" s="35">
        <f t="shared" si="5"/>
        <v>0</v>
      </c>
      <c r="CW14" s="35">
        <f t="shared" si="6"/>
        <v>0</v>
      </c>
      <c r="CX14" s="89" t="str">
        <f t="shared" si="7"/>
        <v>SI</v>
      </c>
      <c r="CY14" s="35">
        <f t="shared" si="8"/>
        <v>0</v>
      </c>
      <c r="CZ14" s="89" t="str">
        <f>IF(ISERROR(VLOOKUP(AI14,EXPERIENCIA!$A$1:$C$2100,1,0)),"NO","SI")</f>
        <v>SI</v>
      </c>
      <c r="DA14" s="89">
        <f>IF(CX14="no","NO APLICA",IF(AX14=0,"ERROR NOTA",IF(AND(AX14&gt;1,CZ14="NO"),"ERROR NOTA",IF(AND(CZ14="NO",AX14=1),0,IF(VLOOKUP(AI14,EXPERIENCIA!$A$1:$C$2100,3,0)=AX14,0,"ERROR NOTA")))))</f>
        <v>0</v>
      </c>
      <c r="DB14" s="89" t="str">
        <f>IF(ISERROR(VLOOKUP(AI14,COMPORTAMIENTO!$A$1:$C$2100,1,0)),"NO","SI")</f>
        <v>SI</v>
      </c>
      <c r="DC14" s="89">
        <f>IF(CX14="NO","NO APLICA",IF(AY14=0,"ERROR NOTA",IF(AND(DB14="NO",AY14=7),0,IF(VLOOKUP(AI14,COMPORTAMIENTO!$A$2:$H$2100,8,0)=AY14,0,"ERROR NOTA"))))</f>
        <v>0</v>
      </c>
      <c r="DD14" s="108">
        <f t="shared" si="9"/>
        <v>0.70000000000000007</v>
      </c>
      <c r="DE14" s="108">
        <f t="shared" si="10"/>
        <v>0.70000000000000007</v>
      </c>
      <c r="DF14" s="89" t="str">
        <f t="shared" si="22"/>
        <v>NO</v>
      </c>
      <c r="DG14" s="89">
        <f t="shared" si="11"/>
        <v>7</v>
      </c>
      <c r="DH14" s="89">
        <f t="shared" si="12"/>
        <v>7</v>
      </c>
      <c r="DI14" s="89">
        <f t="shared" si="23"/>
        <v>7</v>
      </c>
      <c r="DJ14" s="16">
        <f t="shared" si="13"/>
        <v>7.0000000000000009</v>
      </c>
      <c r="DK14" s="11">
        <f t="shared" si="24"/>
        <v>7.0000000000000009</v>
      </c>
      <c r="DL14" s="16">
        <f t="shared" si="14"/>
        <v>6373</v>
      </c>
      <c r="DM14" s="16">
        <f>VLOOKUP(A14,'5 TD'!$A$3:$B$35,2,0)</f>
        <v>6373</v>
      </c>
      <c r="DN14" s="11">
        <f t="shared" si="25"/>
        <v>7</v>
      </c>
      <c r="DO14" s="89" t="str">
        <f t="shared" si="26"/>
        <v>APROBADO</v>
      </c>
      <c r="DP14" s="89" t="str">
        <f t="shared" si="27"/>
        <v>APROBADO</v>
      </c>
      <c r="DQ14" s="11">
        <f t="shared" si="28"/>
        <v>7</v>
      </c>
      <c r="DR14" s="89" t="str">
        <f t="shared" si="29"/>
        <v>APROBADO</v>
      </c>
      <c r="DS14" s="6" t="str">
        <f>+('3 Planilla Preadjudicación OTIC'!BP15)</f>
        <v>SI</v>
      </c>
      <c r="DT14" s="6">
        <f>IF(DR14="APROBADO",VLOOKUP(A14,'5 TD'!$D$3:$E$270,2,0),"NO APLICA")</f>
        <v>7</v>
      </c>
      <c r="DU14" s="6" t="str">
        <f t="shared" si="30"/>
        <v>SI</v>
      </c>
      <c r="DV14" s="6">
        <f>IF(DU14="SI",VLOOKUP(A14,'5 TD'!$G$3:$H$270,2,0),"NO APLICA ")</f>
        <v>7.0000000000000009</v>
      </c>
      <c r="DW14" s="6" t="str">
        <f t="shared" si="15"/>
        <v>SI</v>
      </c>
      <c r="DX14" s="6">
        <f>IF(DW14="SI",VLOOKUP(A14,'5 TD'!$J$4:$K$472,2,0),"NO APLICA")</f>
        <v>7</v>
      </c>
      <c r="DY14" s="6" t="str">
        <f t="shared" si="16"/>
        <v>SI</v>
      </c>
      <c r="DZ14" s="11">
        <f>IF(DY14="SI",VLOOKUP(A14,'5 TD'!$M$4:$N$350,2,0),"NO APLICA")</f>
        <v>7</v>
      </c>
      <c r="EA14" s="6" t="str">
        <f t="shared" si="17"/>
        <v>SI</v>
      </c>
      <c r="EB14" s="16">
        <f t="shared" si="18"/>
        <v>6373</v>
      </c>
      <c r="EC14" s="16">
        <f>IF(EA14="SI",VLOOKUP(A14,'5 TD'!$V$4:$W$479,2,0),"NO APLICA")</f>
        <v>6373</v>
      </c>
      <c r="ED14" s="6" t="str">
        <f t="shared" si="31"/>
        <v>SI</v>
      </c>
      <c r="EE14" s="83">
        <f>IF(ED14="SI",VLOOKUP(AI14,COMPORTAMIENTO!$A$1:$H$2100,7,0),"NO APLICA")</f>
        <v>0.67164179104477606</v>
      </c>
      <c r="EF14" s="16">
        <f>IF(ED14="SI",VLOOKUP(A14,'5 TD'!$P$2:$Q$479,2,0),"NO APLICA")</f>
        <v>0</v>
      </c>
      <c r="EG14" s="6" t="str">
        <f t="shared" si="32"/>
        <v>NO</v>
      </c>
      <c r="EH14" s="6">
        <f>IF(CZ14="no",0,VLOOKUP(AI14,EXPERIENCIA!$A$1:$C$2100,2,0))</f>
        <v>67</v>
      </c>
      <c r="EI14" s="6">
        <f>IF(CZ14="si",VLOOKUP(A14,'5 TD'!$S$3:$T$2103,2,0),0)</f>
        <v>125</v>
      </c>
      <c r="EJ14" s="6" t="str">
        <f t="shared" si="33"/>
        <v>NO</v>
      </c>
      <c r="EK14" s="6">
        <f>+('3 Planilla Preadjudicación OTIC'!BW15)</f>
        <v>0</v>
      </c>
      <c r="EL14" s="34" t="s">
        <v>2384</v>
      </c>
      <c r="EM14" s="7" t="s">
        <v>2397</v>
      </c>
    </row>
    <row r="15" spans="1:147" s="7" customFormat="1" x14ac:dyDescent="0.2">
      <c r="A15" s="6">
        <f>+('3 Planilla Preadjudicación OTIC'!A15)</f>
        <v>14387</v>
      </c>
      <c r="B15" s="6" t="str">
        <f>+('3 Planilla Preadjudicación OTIC'!B15)</f>
        <v>SOFOFA</v>
      </c>
      <c r="C15" s="8">
        <f>+('3 Planilla Preadjudicación OTIC'!E15)</f>
        <v>2025</v>
      </c>
      <c r="D15" s="8" t="str">
        <f>+('3 Planilla Preadjudicación OTIC'!F15)</f>
        <v>MANDATO</v>
      </c>
      <c r="E15" s="8" t="str">
        <f>+('3 Planilla Preadjudicación OTIC'!G15)</f>
        <v>65181652-1</v>
      </c>
      <c r="F15" s="8" t="str">
        <f>+('3 Planilla Preadjudicación OTIC'!H15)</f>
        <v>SOFOFA</v>
      </c>
      <c r="G15" s="8" t="str">
        <f>+('3 Planilla Preadjudicación OTIC'!I15)</f>
        <v>65140022-8</v>
      </c>
      <c r="H15" s="8" t="str">
        <f>+('3 Planilla Preadjudicación OTIC'!J15)</f>
        <v>FUTURO DEL TRABAJO</v>
      </c>
      <c r="I15" s="8" t="str">
        <f>+('3 Planilla Preadjudicación OTIC'!K15)</f>
        <v>OPERACIONES DE CARGA FRONTAL</v>
      </c>
      <c r="J15" s="8" t="str">
        <f>+('3 Planilla Preadjudicación OTIC'!L15)</f>
        <v>PF0795</v>
      </c>
      <c r="K15" s="8">
        <f>+('3 Planilla Preadjudicación OTIC'!M15)</f>
        <v>0</v>
      </c>
      <c r="L15" s="8" t="str">
        <f>+('3 Planilla Preadjudicación OTIC'!N15)</f>
        <v/>
      </c>
      <c r="M15" s="6">
        <f>+('3 Planilla Preadjudicación OTIC'!O15)</f>
        <v>13</v>
      </c>
      <c r="N15" s="8">
        <f>+('3 Planilla Preadjudicación OTIC'!P15)</f>
        <v>0</v>
      </c>
      <c r="O15" s="8" t="str">
        <f>+('3 Planilla Preadjudicación OTIC'!Q15)</f>
        <v>RENCA</v>
      </c>
      <c r="P15" s="8" t="str">
        <f>+('3 Planilla Preadjudicación OTIC'!R15)</f>
        <v>EMPRENDEDORES/AS INFORMALES O PERSONAS VULNERABLES PERTENECIENTES AL 80% MAS VULNERABLE</v>
      </c>
      <c r="Q15" s="8" t="str">
        <f>+('3 Planilla Preadjudicación OTIC'!S15)</f>
        <v>PRESENCIAL</v>
      </c>
      <c r="R15" s="8" t="str">
        <f>+('3 Planilla Preadjudicación OTIC'!T15)</f>
        <v>DEPENDIENTE</v>
      </c>
      <c r="S15" s="8" t="str">
        <f>+('3 Planilla Preadjudicación OTIC'!U15)</f>
        <v>03. LUNES - VESPERTINO / 06. MARTES - VESPERTINO / 09. MIÉRCOLES - VESPERTINO / 12. JUEVES - VESPERTINO / 15. VIERNES - VESPERTINO</v>
      </c>
      <c r="T15" s="6">
        <f>+('3 Planilla Preadjudicación OTIC'!V15)</f>
        <v>14</v>
      </c>
      <c r="U15" s="6">
        <f>+('3 Planilla Preadjudicación OTIC'!W15)</f>
        <v>240</v>
      </c>
      <c r="V15" s="6">
        <f>+('3 Planilla Preadjudicación OTIC'!X15)</f>
        <v>0</v>
      </c>
      <c r="W15" s="6">
        <f>+('3 Planilla Preadjudicación OTIC'!Y15)</f>
        <v>240</v>
      </c>
      <c r="X15" s="6">
        <f>+('3 Planilla Preadjudicación OTIC'!Z15)</f>
        <v>4</v>
      </c>
      <c r="Y15" s="6" t="str">
        <f>+('3 Planilla Preadjudicación OTIC'!AA15)</f>
        <v>SI</v>
      </c>
      <c r="Z15" s="6" t="str">
        <f>+('3 Planilla Preadjudicación OTIC'!AB15)</f>
        <v>NO</v>
      </c>
      <c r="AA15" s="6" t="str">
        <f>+('3 Planilla Preadjudicación OTIC'!AC15)</f>
        <v>NO</v>
      </c>
      <c r="AB15" s="8">
        <f>+('3 Planilla Preadjudicación OTIC'!AD15)</f>
        <v>0</v>
      </c>
      <c r="AC15" s="8" t="str">
        <f>+('3 Planilla Preadjudicación OTIC'!AE15)</f>
        <v>HOMBRES Y MUJERES DE 18 AÑOS O MAS, AGRESADOS DE LA EDUCACIÓN MEDIA, QUE ESTUDIERON EN LICEOS TECNICO PROFESIONALES DE LA COMUNA DE RENCA O RESIDAN EN DICHA COMUNA, CON ESPECIALIDAD EN TEMATICAS ASOCIADAS A LOGISTICA Y QUE TENGAN EDUCACION MEDIA COMPLETA.</v>
      </c>
      <c r="AD15" s="6" t="str">
        <f>+('3 Planilla Preadjudicación OTIC'!AF15)</f>
        <v>SI</v>
      </c>
      <c r="AE15" s="8" t="str">
        <f>+('3 Planilla Preadjudicación OTIC'!AG15)</f>
        <v>LICENCIA DE CONDUCIR CLASE D</v>
      </c>
      <c r="AF15" s="6" t="str">
        <f>+('3 Planilla Preadjudicación OTIC'!AH15)</f>
        <v>CERRADA</v>
      </c>
      <c r="AG15" s="6">
        <f>+('3 Planilla Preadjudicación OTIC'!AI15)</f>
        <v>60</v>
      </c>
      <c r="AH15" s="6">
        <f>+('3 Planilla Preadjudicación OTIC'!AJ15)</f>
        <v>3</v>
      </c>
      <c r="AI15" s="140" t="str">
        <f>+('3 Planilla Preadjudicación OTIC'!AK15)</f>
        <v>76606610-0</v>
      </c>
      <c r="AJ15" s="8" t="str">
        <f>+('3 Planilla Preadjudicación OTIC'!AL15)</f>
        <v>Centro de Capacitación Inforcap SPA</v>
      </c>
      <c r="AK15" s="6">
        <f>+('3 Planilla Preadjudicación OTIC'!AM15)</f>
        <v>240</v>
      </c>
      <c r="AL15" s="6">
        <f>+('3 Planilla Preadjudicación OTIC'!AN15)</f>
        <v>60</v>
      </c>
      <c r="AM15" s="16">
        <f>+('3 Planilla Preadjudicación OTIC'!AO15)</f>
        <v>6373</v>
      </c>
      <c r="AN15" s="16">
        <f>+('3 Planilla Preadjudicación OTIC'!AP15)</f>
        <v>0</v>
      </c>
      <c r="AO15" s="16">
        <f>+('3 Planilla Preadjudicación OTIC'!AQ15)</f>
        <v>50000</v>
      </c>
      <c r="AP15" s="16">
        <f>+('3 Planilla Preadjudicación OTIC'!AR15)</f>
        <v>21413280</v>
      </c>
      <c r="AQ15" s="16">
        <f>+('3 Planilla Preadjudicación OTIC'!AS15)</f>
        <v>3360000</v>
      </c>
      <c r="AR15" s="16">
        <f>+('3 Planilla Preadjudicación OTIC'!AT15)</f>
        <v>0</v>
      </c>
      <c r="AS15" s="16">
        <f>+('3 Planilla Preadjudicación OTIC'!AU15)</f>
        <v>0</v>
      </c>
      <c r="AT15" s="16">
        <f>+('3 Planilla Preadjudicación OTIC'!AV15)</f>
        <v>700000</v>
      </c>
      <c r="AU15" s="16">
        <f>+('3 Planilla Preadjudicación OTIC'!AW15)</f>
        <v>25473280</v>
      </c>
      <c r="AV15" s="158" t="str">
        <f>+('3 Planilla Preadjudicación OTIC'!AX15)</f>
        <v>SI</v>
      </c>
      <c r="AW15" s="8">
        <f>+('3 Planilla Preadjudicación OTIC'!AY15)</f>
        <v>0</v>
      </c>
      <c r="AX15" s="6">
        <f>+('3 Planilla Preadjudicación OTIC'!AZ15)</f>
        <v>7</v>
      </c>
      <c r="AY15" s="6">
        <f>+('3 Planilla Preadjudicación OTIC'!BA15)</f>
        <v>7</v>
      </c>
      <c r="AZ15" s="6">
        <f>+('3 Planilla Preadjudicación OTIC'!BB15)</f>
        <v>0</v>
      </c>
      <c r="BA15" s="6">
        <f>+('3 Planilla Preadjudicación OTIC'!BC15)</f>
        <v>0</v>
      </c>
      <c r="BB15" s="6">
        <f>+('3 Planilla Preadjudicación OTIC'!BD15)</f>
        <v>0</v>
      </c>
      <c r="BC15" s="6">
        <f>+('3 Planilla Preadjudicación OTIC'!BE15)</f>
        <v>0</v>
      </c>
      <c r="BD15" s="6">
        <f>+('3 Planilla Preadjudicación OTIC'!BF15)</f>
        <v>0</v>
      </c>
      <c r="BE15" s="6">
        <f>+('3 Planilla Preadjudicación OTIC'!BG15)</f>
        <v>0</v>
      </c>
      <c r="BF15" s="6">
        <f>+('3 Planilla Preadjudicación OTIC'!BH15)</f>
        <v>0</v>
      </c>
      <c r="BG15" s="6">
        <f>+('3 Planilla Preadjudicación OTIC'!BI15)</f>
        <v>7</v>
      </c>
      <c r="BH15" s="6">
        <f>+('3 Planilla Preadjudicación OTIC'!BJ15)</f>
        <v>7</v>
      </c>
      <c r="BI15" s="6">
        <f>+('3 Planilla Preadjudicación OTIC'!BK15)</f>
        <v>7</v>
      </c>
      <c r="BJ15" s="6">
        <f>+('3 Planilla Preadjudicación OTIC'!BL15)</f>
        <v>7</v>
      </c>
      <c r="BK15" s="6">
        <f>+('3 Planilla Preadjudicación OTIC'!BM15)</f>
        <v>7</v>
      </c>
      <c r="BL15" s="6">
        <f>+('3 Planilla Preadjudicación OTIC'!BN15)</f>
        <v>7</v>
      </c>
      <c r="BM15" s="108">
        <f>ROUND(('3 Planilla Preadjudicación OTIC'!BO15),1)</f>
        <v>7</v>
      </c>
      <c r="BN15" s="8" t="str">
        <f>+('3 Planilla Preadjudicación OTIC'!BP15)</f>
        <v>SI</v>
      </c>
      <c r="BO15" s="8" t="str">
        <f>+('3 Planilla Preadjudicación OTIC'!BQ15)</f>
        <v>Pia fuentes corcoran</v>
      </c>
      <c r="BP15" s="8" t="str">
        <f>+('3 Planilla Preadjudicación OTIC'!BR15)</f>
        <v>pfuentescorcoran@gmail.com</v>
      </c>
      <c r="BQ15" s="8">
        <f>+('3 Planilla Preadjudicación OTIC'!BS15)</f>
        <v>992196137</v>
      </c>
      <c r="BR15" s="8" t="str">
        <f>+('3 Planilla Preadjudicación OTIC'!BT15)</f>
        <v>SALA DE CLASES: AVENIDA VENTISQUERO 1225, BODEGA 75, COMUNA DE RENCA TALLER: AV. PDTE. EDUARDO FREI, Renca</v>
      </c>
      <c r="BS15" s="8" t="str">
        <f>+('3 Planilla Preadjudicación OTIC'!BU15)</f>
        <v>Capacitar al participante en la operación segura y eficiente de cargadores frontales, aplicando procedimientos técnicos, normas de seguridad y criterios de mantenimiento preventivo en contextos de construcción, minería o logística.</v>
      </c>
      <c r="BT15" s="8" t="str">
        <f>+('3 Planilla Preadjudicación OTIC'!BV15)</f>
        <v>Este curso entrega conocimientos prácticos sobre el manejo de cargadores frontales, incluyendo inspección preoperacional, técnicas de carguío, uso de controles, prevención de riesgos y mantenimiento básico del equipo, conforme a normativa vigente y condiciones operativas del entorno</v>
      </c>
      <c r="BU15" s="89">
        <f>IF(VLOOKUP(A15,'BD OFICIAL'!$A$1:$AL$2099,7,0)=D15,0,1)</f>
        <v>0</v>
      </c>
      <c r="BV15" s="89">
        <f>IF(VLOOKUP(A15,'BD OFICIAL'!$A$1:$AL$2099,11,0)=J15,0,1)</f>
        <v>0</v>
      </c>
      <c r="BW15" s="89">
        <f>IF(VLOOKUP(A15,'BD OFICIAL'!$A$1:$AL$2099,13,0)=L15,0,1)</f>
        <v>0</v>
      </c>
      <c r="BX15" s="6">
        <f>IF(VLOOKUP(A15,'BD OFICIAL'!$A$1:$AL$2099,16,0)=O15,0,1)</f>
        <v>0</v>
      </c>
      <c r="BY15" s="6">
        <f>IF(VLOOKUP(A15,'BD OFICIAL'!$A$1:$AL$2099,17,0)=P15,0,1)</f>
        <v>0</v>
      </c>
      <c r="BZ15" s="6">
        <f>IF(VLOOKUP(A15,'BD OFICIAL'!$A$1:$AL$2099,19,0)=R15,0,1)</f>
        <v>0</v>
      </c>
      <c r="CA15" s="6">
        <f>IF(VLOOKUP(A15,'BD OFICIAL'!$A$1:$AL$2099,21,0)=T15,0,1)</f>
        <v>0</v>
      </c>
      <c r="CB15" s="6">
        <f>IF(VLOOKUP(A15,'BD OFICIAL'!$A$1:$AL$2099,24,0)=AK15,0,1)</f>
        <v>0</v>
      </c>
      <c r="CC15" s="6">
        <f>IF(VLOOKUP(A15,'BD OFICIAL'!$A$1:$AL$2099,25,0)=X15,0,1)</f>
        <v>0</v>
      </c>
      <c r="CD15" s="6">
        <f>IF(VLOOKUP(A15,'BD OFICIAL'!$A$1:$AL$2099,26,0)=Y15,0,1)</f>
        <v>0</v>
      </c>
      <c r="CE15" s="6">
        <f>IF(VLOOKUP(A15,'BD OFICIAL'!$A$1:$AL$2099,27,0)=Z15,0,1)</f>
        <v>0</v>
      </c>
      <c r="CF15" s="6">
        <f>IF(VLOOKUP(A15,'BD OFICIAL'!$A$1:$AL$2099,28,0)=AA15,0,1)</f>
        <v>0</v>
      </c>
      <c r="CG15" s="6">
        <f>IF(VLOOKUP(A15,'BD OFICIAL'!$A$1:$AL$2099,33,0)=AF15,0,1)</f>
        <v>0</v>
      </c>
      <c r="CH15" s="6">
        <f>IF(VLOOKUP(A15,'BD OFICIAL'!$A$1:$AL$2099,35,0)=AH15,0,1)</f>
        <v>0</v>
      </c>
      <c r="CI15" s="89">
        <f>IF(VLOOKUP(A15,'BD OFICIAL'!$A$1:$AL$2099,34,0)=AL15,0,1)</f>
        <v>0</v>
      </c>
      <c r="CJ15" s="89">
        <f>VLOOKUP(A15,'BD OFICIAL'!$A$1:$AM$2099,36,0)*AM15-AP15</f>
        <v>0</v>
      </c>
      <c r="CK15" s="89" t="str">
        <f t="shared" si="0"/>
        <v>SSH</v>
      </c>
      <c r="CL15" s="89" t="str">
        <f t="shared" si="1"/>
        <v>SI</v>
      </c>
      <c r="CM15" s="89" t="str">
        <f t="shared" si="2"/>
        <v>NO</v>
      </c>
      <c r="CN15" s="35">
        <f t="shared" si="3"/>
        <v>0</v>
      </c>
      <c r="CO15" s="35">
        <f t="shared" si="19"/>
        <v>0</v>
      </c>
      <c r="CP15" s="35">
        <f t="shared" si="20"/>
        <v>0</v>
      </c>
      <c r="CQ15" s="35">
        <f>IF(VLOOKUP(A15,'BD OFICIAL'!$A:$AT,40,0)=AQ15,0,1)</f>
        <v>0</v>
      </c>
      <c r="CR15" s="35">
        <f>IF(VLOOKUP(A15,'BD OFICIAL'!$A:$AT,41,0)=AS15,0,1)</f>
        <v>0</v>
      </c>
      <c r="CS15" s="35">
        <f t="shared" si="21"/>
        <v>0</v>
      </c>
      <c r="CT15" s="35">
        <f t="shared" si="4"/>
        <v>0</v>
      </c>
      <c r="CU15" s="35">
        <f>IF(VLOOKUP(A15,'BD OFICIAL'!$A$1:$AL$1057,31,0)="SI",IF(AT15&gt;0,0,1),IF(AT15=0,0,1))</f>
        <v>0</v>
      </c>
      <c r="CV15" s="35">
        <f t="shared" si="5"/>
        <v>0</v>
      </c>
      <c r="CW15" s="35">
        <f t="shared" si="6"/>
        <v>0</v>
      </c>
      <c r="CX15" s="89" t="str">
        <f t="shared" si="7"/>
        <v>SI</v>
      </c>
      <c r="CY15" s="35">
        <f t="shared" si="8"/>
        <v>0</v>
      </c>
      <c r="CZ15" s="89" t="str">
        <f>IF(ISERROR(VLOOKUP(AI15,EXPERIENCIA!$A$1:$C$2100,1,0)),"NO","SI")</f>
        <v>SI</v>
      </c>
      <c r="DA15" s="89">
        <f>IF(CX15="no","NO APLICA",IF(AX15=0,"ERROR NOTA",IF(AND(AX15&gt;1,CZ15="NO"),"ERROR NOTA",IF(AND(CZ15="NO",AX15=1),0,IF(VLOOKUP(AI15,EXPERIENCIA!$A$1:$C$2100,3,0)=AX15,0,"ERROR NOTA")))))</f>
        <v>0</v>
      </c>
      <c r="DB15" s="89" t="str">
        <f>IF(ISERROR(VLOOKUP(AI15,COMPORTAMIENTO!$A$1:$C$2100,1,0)),"NO","SI")</f>
        <v>SI</v>
      </c>
      <c r="DC15" s="89">
        <f>IF(CX15="NO","NO APLICA",IF(AY15=0,"ERROR NOTA",IF(AND(DB15="NO",AY15=7),0,IF(VLOOKUP(AI15,COMPORTAMIENTO!$A$2:$H$2100,8,0)=AY15,0,"ERROR NOTA"))))</f>
        <v>0</v>
      </c>
      <c r="DD15" s="108">
        <f t="shared" si="9"/>
        <v>0.70000000000000007</v>
      </c>
      <c r="DE15" s="108">
        <f t="shared" si="10"/>
        <v>0.70000000000000007</v>
      </c>
      <c r="DF15" s="89" t="str">
        <f t="shared" si="22"/>
        <v>SI</v>
      </c>
      <c r="DG15" s="89">
        <f t="shared" si="11"/>
        <v>0</v>
      </c>
      <c r="DH15" s="89">
        <f t="shared" si="12"/>
        <v>0</v>
      </c>
      <c r="DI15" s="89">
        <f t="shared" si="23"/>
        <v>0</v>
      </c>
      <c r="DJ15" s="16">
        <f t="shared" si="13"/>
        <v>7.0000000000000009</v>
      </c>
      <c r="DK15" s="11">
        <f t="shared" si="24"/>
        <v>7.0000000000000009</v>
      </c>
      <c r="DL15" s="16">
        <f t="shared" si="14"/>
        <v>6373</v>
      </c>
      <c r="DM15" s="16">
        <f>VLOOKUP(A15,'5 TD'!$A$3:$B$35,2,0)</f>
        <v>6373</v>
      </c>
      <c r="DN15" s="11">
        <f t="shared" si="25"/>
        <v>7</v>
      </c>
      <c r="DO15" s="89" t="str">
        <f t="shared" si="26"/>
        <v>APROBADO</v>
      </c>
      <c r="DP15" s="89" t="str">
        <f t="shared" si="27"/>
        <v>APROBADO</v>
      </c>
      <c r="DQ15" s="11">
        <f t="shared" si="28"/>
        <v>7</v>
      </c>
      <c r="DR15" s="89" t="str">
        <f t="shared" si="29"/>
        <v>APROBADO</v>
      </c>
      <c r="DS15" s="6" t="str">
        <f>+('3 Planilla Preadjudicación OTIC'!BP16)</f>
        <v>NO</v>
      </c>
      <c r="DT15" s="6">
        <f>IF(DR15="APROBADO",VLOOKUP(A15,'5 TD'!$D$3:$E$270,2,0),"NO APLICA")</f>
        <v>7</v>
      </c>
      <c r="DU15" s="6" t="str">
        <f t="shared" si="30"/>
        <v>SI</v>
      </c>
      <c r="DV15" s="6">
        <f>IF(DU15="SI",VLOOKUP(A15,'5 TD'!$G$3:$H$270,2,0),"NO APLICA ")</f>
        <v>7.0000000000000009</v>
      </c>
      <c r="DW15" s="6" t="str">
        <f t="shared" si="15"/>
        <v>SI</v>
      </c>
      <c r="DX15" s="6">
        <f>IF(DW15="SI",VLOOKUP(A15,'5 TD'!$J$4:$K$472,2,0),"NO APLICA")</f>
        <v>7</v>
      </c>
      <c r="DY15" s="6" t="str">
        <f t="shared" si="16"/>
        <v>SI</v>
      </c>
      <c r="DZ15" s="11">
        <f>IF(DY15="SI",VLOOKUP(A15,'5 TD'!$M$4:$N$350,2,0),"NO APLICA")</f>
        <v>7</v>
      </c>
      <c r="EA15" s="6" t="str">
        <f t="shared" si="17"/>
        <v>SI</v>
      </c>
      <c r="EB15" s="16">
        <f t="shared" si="18"/>
        <v>6373</v>
      </c>
      <c r="EC15" s="16">
        <f>IF(EA15="SI",VLOOKUP(A15,'5 TD'!$V$4:$W$479,2,0),"NO APLICA")</f>
        <v>6373</v>
      </c>
      <c r="ED15" s="6" t="str">
        <f t="shared" si="31"/>
        <v>SI</v>
      </c>
      <c r="EE15" s="83">
        <f>IF(ED15="SI",VLOOKUP(AI15,COMPORTAMIENTO!$A$1:$H$2100,7,0),"NO APLICA")</f>
        <v>0.67164179104477606</v>
      </c>
      <c r="EF15" s="16">
        <f>IF(ED15="SI",VLOOKUP(A15,'5 TD'!$P$2:$Q$479,2,0),"NO APLICA")</f>
        <v>0.67164179104477606</v>
      </c>
      <c r="EG15" s="6" t="str">
        <f t="shared" si="32"/>
        <v>SI</v>
      </c>
      <c r="EH15" s="6">
        <f>IF(CZ15="no",0,VLOOKUP(AI15,EXPERIENCIA!$A$1:$C$2100,2,0))</f>
        <v>67</v>
      </c>
      <c r="EI15" s="6">
        <f>IF(CZ15="si",VLOOKUP(A15,'5 TD'!$S$3:$T$2103,2,0),0)</f>
        <v>67</v>
      </c>
      <c r="EJ15" s="6" t="str">
        <f t="shared" si="33"/>
        <v>SI</v>
      </c>
      <c r="EK15" s="6" t="str">
        <f>+('3 Planilla Preadjudicación OTIC'!BW16)</f>
        <v>Numeral 7 ítem e) Menor “porcentaje de multas ponderadas” en ítem evaluación comportamiento considerando 4 decimales.</v>
      </c>
      <c r="EO15" s="209" t="s">
        <v>2387</v>
      </c>
    </row>
    <row r="16" spans="1:147" s="7" customFormat="1" ht="12.75" x14ac:dyDescent="0.2">
      <c r="A16" s="6">
        <f>+('3 Planilla Preadjudicación OTIC'!A16)</f>
        <v>14389</v>
      </c>
      <c r="B16" s="6" t="str">
        <f>+('3 Planilla Preadjudicación OTIC'!B16)</f>
        <v>SOFOFA</v>
      </c>
      <c r="C16" s="8">
        <f>+('3 Planilla Preadjudicación OTIC'!E16)</f>
        <v>2025</v>
      </c>
      <c r="D16" s="8" t="str">
        <f>+('3 Planilla Preadjudicación OTIC'!F16)</f>
        <v>MANDATO</v>
      </c>
      <c r="E16" s="8" t="str">
        <f>+('3 Planilla Preadjudicación OTIC'!G16)</f>
        <v>65181652-1</v>
      </c>
      <c r="F16" s="8" t="str">
        <f>+('3 Planilla Preadjudicación OTIC'!H16)</f>
        <v>SOFOFA</v>
      </c>
      <c r="G16" s="8" t="str">
        <f>+('3 Planilla Preadjudicación OTIC'!I16)</f>
        <v>65140022-8</v>
      </c>
      <c r="H16" s="8" t="str">
        <f>+('3 Planilla Preadjudicación OTIC'!J16)</f>
        <v>FUTURO DEL TRABAJO</v>
      </c>
      <c r="I16" s="8" t="str">
        <f>+('3 Planilla Preadjudicación OTIC'!K16)</f>
        <v>TÉCNICAS DE SOLDADURA POR OXIGÁS, ARCO VOLTAICO, TIG Y MIG</v>
      </c>
      <c r="J16" s="8" t="str">
        <f>+('3 Planilla Preadjudicación OTIC'!L16)</f>
        <v>PF0622</v>
      </c>
      <c r="K16" s="8" t="str">
        <f>+('3 Planilla Preadjudicación OTIC'!M16)</f>
        <v>TÉCNICAS PARA EL EMPRENDIMIENTO</v>
      </c>
      <c r="L16" s="8" t="str">
        <f>+('3 Planilla Preadjudicación OTIC'!N16)</f>
        <v>PF0921</v>
      </c>
      <c r="M16" s="6">
        <f>+('3 Planilla Preadjudicación OTIC'!O16)</f>
        <v>13</v>
      </c>
      <c r="N16" s="8">
        <f>+('3 Planilla Preadjudicación OTIC'!P16)</f>
        <v>0</v>
      </c>
      <c r="O16" s="8" t="str">
        <f>+('3 Planilla Preadjudicación OTIC'!Q16)</f>
        <v>RENCA</v>
      </c>
      <c r="P16" s="8" t="str">
        <f>+('3 Planilla Preadjudicación OTIC'!R16)</f>
        <v>ESTUDIANTES DE CUARTO AÑO DE ENSEÑANZA MEDIA O DE LICEOS TÉCNICOS PROFESIONALES.</v>
      </c>
      <c r="Q16" s="8" t="str">
        <f>+('3 Planilla Preadjudicación OTIC'!S16)</f>
        <v>PRESENCIAL</v>
      </c>
      <c r="R16" s="8" t="str">
        <f>+('3 Planilla Preadjudicación OTIC'!T16)</f>
        <v>INDEPENDIENTE</v>
      </c>
      <c r="S16" s="8" t="str">
        <f>+('3 Planilla Preadjudicación OTIC'!U16)</f>
        <v>03. LUNES - VESPERTINO / 06. MARTES - VESPERTINO / 09. MIÉRCOLES - VESPERTINO / 12. JUEVES - VESPERTINO / 15. VIERNES - VESPERTINO</v>
      </c>
      <c r="T16" s="6">
        <f>+('3 Planilla Preadjudicación OTIC'!V16)</f>
        <v>14</v>
      </c>
      <c r="U16" s="6">
        <f>+('3 Planilla Preadjudicación OTIC'!W16)</f>
        <v>260</v>
      </c>
      <c r="V16" s="6">
        <f>+('3 Planilla Preadjudicación OTIC'!X16)</f>
        <v>12</v>
      </c>
      <c r="W16" s="6">
        <f>+('3 Planilla Preadjudicación OTIC'!Y16)</f>
        <v>272</v>
      </c>
      <c r="X16" s="6">
        <f>+('3 Planilla Preadjudicación OTIC'!Z16)</f>
        <v>4</v>
      </c>
      <c r="Y16" s="6" t="str">
        <f>+('3 Planilla Preadjudicación OTIC'!AA16)</f>
        <v>SI</v>
      </c>
      <c r="Z16" s="6" t="str">
        <f>+('3 Planilla Preadjudicación OTIC'!AB16)</f>
        <v>NO</v>
      </c>
      <c r="AA16" s="6" t="str">
        <f>+('3 Planilla Preadjudicación OTIC'!AC16)</f>
        <v>SI</v>
      </c>
      <c r="AB16" s="8">
        <f>+('3 Planilla Preadjudicación OTIC'!AD16)</f>
        <v>0</v>
      </c>
      <c r="AC16" s="8" t="str">
        <f>+('3 Planilla Preadjudicación OTIC'!AE16)</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16" s="6" t="str">
        <f>+('3 Planilla Preadjudicación OTIC'!AF16)</f>
        <v>SI</v>
      </c>
      <c r="AE16" s="8" t="str">
        <f>+('3 Planilla Preadjudicación OTIC'!AG16)</f>
        <v>CERTIFICACIÓN COMO SOLDADOR.</v>
      </c>
      <c r="AF16" s="6" t="str">
        <f>+('3 Planilla Preadjudicación OTIC'!AH16)</f>
        <v>CERRADA</v>
      </c>
      <c r="AG16" s="6">
        <f>+('3 Planilla Preadjudicación OTIC'!AI16)</f>
        <v>68</v>
      </c>
      <c r="AH16" s="6">
        <f>+('3 Planilla Preadjudicación OTIC'!AJ16)</f>
        <v>2</v>
      </c>
      <c r="AI16" s="140" t="str">
        <f>+('3 Planilla Preadjudicación OTIC'!AK16)</f>
        <v>76606610-0</v>
      </c>
      <c r="AJ16" s="8" t="str">
        <f>+('3 Planilla Preadjudicación OTIC'!AL16)</f>
        <v>Centro de Capacitación Inforcap SPA</v>
      </c>
      <c r="AK16" s="6">
        <f>+('3 Planilla Preadjudicación OTIC'!AM16)</f>
        <v>272</v>
      </c>
      <c r="AL16" s="6">
        <f>+('3 Planilla Preadjudicación OTIC'!AN16)</f>
        <v>68</v>
      </c>
      <c r="AM16" s="16">
        <f>+('3 Planilla Preadjudicación OTIC'!AO16)</f>
        <v>5075</v>
      </c>
      <c r="AN16" s="16">
        <f>+('3 Planilla Preadjudicación OTIC'!AP16)</f>
        <v>250000</v>
      </c>
      <c r="AO16" s="16">
        <f>+('3 Planilla Preadjudicación OTIC'!AQ16)</f>
        <v>250000</v>
      </c>
      <c r="AP16" s="16">
        <f>+('3 Planilla Preadjudicación OTIC'!AR16)</f>
        <v>19325600</v>
      </c>
      <c r="AQ16" s="16">
        <f>+('3 Planilla Preadjudicación OTIC'!AS16)</f>
        <v>3808000</v>
      </c>
      <c r="AR16" s="16">
        <f>+('3 Planilla Preadjudicación OTIC'!AT16)</f>
        <v>3500000</v>
      </c>
      <c r="AS16" s="16">
        <f>+('3 Planilla Preadjudicación OTIC'!AU16)</f>
        <v>0</v>
      </c>
      <c r="AT16" s="16">
        <f>+('3 Planilla Preadjudicación OTIC'!AV16)</f>
        <v>3500000</v>
      </c>
      <c r="AU16" s="16">
        <f>+('3 Planilla Preadjudicación OTIC'!AW16)</f>
        <v>30133600</v>
      </c>
      <c r="AV16" s="158" t="str">
        <f>+('3 Planilla Preadjudicación OTIC'!AX16)</f>
        <v>SI</v>
      </c>
      <c r="AW16" s="8">
        <f>+('3 Planilla Preadjudicación OTIC'!AY16)</f>
        <v>0</v>
      </c>
      <c r="AX16" s="6">
        <f>+('3 Planilla Preadjudicación OTIC'!AZ16)</f>
        <v>7</v>
      </c>
      <c r="AY16" s="6">
        <f>+('3 Planilla Preadjudicación OTIC'!BA16)</f>
        <v>7</v>
      </c>
      <c r="AZ16" s="6">
        <f>+('3 Planilla Preadjudicación OTIC'!BB16)</f>
        <v>0</v>
      </c>
      <c r="BA16" s="6">
        <f>+('3 Planilla Preadjudicación OTIC'!BC16)</f>
        <v>0</v>
      </c>
      <c r="BB16" s="6">
        <f>+('3 Planilla Preadjudicación OTIC'!BD16)</f>
        <v>0</v>
      </c>
      <c r="BC16" s="6">
        <f>+('3 Planilla Preadjudicación OTIC'!BE16)</f>
        <v>0</v>
      </c>
      <c r="BD16" s="6">
        <f>+('3 Planilla Preadjudicación OTIC'!BF16)</f>
        <v>0</v>
      </c>
      <c r="BE16" s="6">
        <f>+('3 Planilla Preadjudicación OTIC'!BG16)</f>
        <v>0</v>
      </c>
      <c r="BF16" s="6">
        <f>+('3 Planilla Preadjudicación OTIC'!BH16)</f>
        <v>0</v>
      </c>
      <c r="BG16" s="6">
        <f>+('3 Planilla Preadjudicación OTIC'!BI16)</f>
        <v>7</v>
      </c>
      <c r="BH16" s="6">
        <f>+('3 Planilla Preadjudicación OTIC'!BJ16)</f>
        <v>7</v>
      </c>
      <c r="BI16" s="6">
        <f>+('3 Planilla Preadjudicación OTIC'!BK16)</f>
        <v>7</v>
      </c>
      <c r="BJ16" s="6">
        <f>+('3 Planilla Preadjudicación OTIC'!BL16)</f>
        <v>7</v>
      </c>
      <c r="BK16" s="6">
        <f>+('3 Planilla Preadjudicación OTIC'!BM16)</f>
        <v>7</v>
      </c>
      <c r="BL16" s="6">
        <f>+('3 Planilla Preadjudicación OTIC'!BN16)</f>
        <v>6.9</v>
      </c>
      <c r="BM16" s="108">
        <f>ROUND(('3 Planilla Preadjudicación OTIC'!BO16),1)</f>
        <v>7</v>
      </c>
      <c r="BN16" s="8" t="str">
        <f>+('3 Planilla Preadjudicación OTIC'!BP16)</f>
        <v>NO</v>
      </c>
      <c r="BO16" s="8" t="str">
        <f>+('3 Planilla Preadjudicación OTIC'!BQ16)</f>
        <v>Pia fuentes corcoran</v>
      </c>
      <c r="BP16" s="8" t="str">
        <f>+('3 Planilla Preadjudicación OTIC'!BR16)</f>
        <v>pfuentescorcoran@gmail.com</v>
      </c>
      <c r="BQ16" s="8">
        <f>+('3 Planilla Preadjudicación OTIC'!BS16)</f>
        <v>992196137</v>
      </c>
      <c r="BR16" s="8" t="str">
        <f>+('3 Planilla Preadjudicación OTIC'!BT16)</f>
        <v>"SALA DE CLASES: AVENIDA VENTISQUERO 1225, BODEGA 75, COMUNA DE RENCA TALLER: AV. PDTE. EDUARDO FREI, Renca</v>
      </c>
      <c r="BS16" s="8">
        <f>+('3 Planilla Preadjudicación OTIC'!BU16)</f>
        <v>0</v>
      </c>
      <c r="BT16" s="8">
        <f>+('3 Planilla Preadjudicación OTIC'!BV16)</f>
        <v>0</v>
      </c>
      <c r="BU16" s="89">
        <f>IF(VLOOKUP(A16,'BD OFICIAL'!$A$1:$AL$2099,7,0)=D16,0,1)</f>
        <v>0</v>
      </c>
      <c r="BV16" s="89">
        <f>IF(VLOOKUP(A16,'BD OFICIAL'!$A$1:$AL$2099,11,0)=J16,0,1)</f>
        <v>0</v>
      </c>
      <c r="BW16" s="89">
        <f>IF(VLOOKUP(A16,'BD OFICIAL'!$A$1:$AL$2099,13,0)=L16,0,1)</f>
        <v>0</v>
      </c>
      <c r="BX16" s="6">
        <f>IF(VLOOKUP(A16,'BD OFICIAL'!$A$1:$AL$2099,16,0)=O16,0,1)</f>
        <v>0</v>
      </c>
      <c r="BY16" s="6">
        <f>IF(VLOOKUP(A16,'BD OFICIAL'!$A$1:$AL$2099,17,0)=P16,0,1)</f>
        <v>0</v>
      </c>
      <c r="BZ16" s="6">
        <f>IF(VLOOKUP(A16,'BD OFICIAL'!$A$1:$AL$2099,19,0)=R16,0,1)</f>
        <v>0</v>
      </c>
      <c r="CA16" s="6">
        <f>IF(VLOOKUP(A16,'BD OFICIAL'!$A$1:$AL$2099,21,0)=T16,0,1)</f>
        <v>0</v>
      </c>
      <c r="CB16" s="6">
        <f>IF(VLOOKUP(A16,'BD OFICIAL'!$A$1:$AL$2099,24,0)=AK16,0,1)</f>
        <v>0</v>
      </c>
      <c r="CC16" s="6">
        <f>IF(VLOOKUP(A16,'BD OFICIAL'!$A$1:$AL$2099,25,0)=X16,0,1)</f>
        <v>0</v>
      </c>
      <c r="CD16" s="6">
        <f>IF(VLOOKUP(A16,'BD OFICIAL'!$A$1:$AL$2099,26,0)=Y16,0,1)</f>
        <v>0</v>
      </c>
      <c r="CE16" s="6">
        <f>IF(VLOOKUP(A16,'BD OFICIAL'!$A$1:$AL$2099,27,0)=Z16,0,1)</f>
        <v>0</v>
      </c>
      <c r="CF16" s="6">
        <f>IF(VLOOKUP(A16,'BD OFICIAL'!$A$1:$AL$2099,28,0)=AA16,0,1)</f>
        <v>0</v>
      </c>
      <c r="CG16" s="6">
        <f>IF(VLOOKUP(A16,'BD OFICIAL'!$A$1:$AL$2099,33,0)=AF16,0,1)</f>
        <v>0</v>
      </c>
      <c r="CH16" s="6">
        <f>IF(VLOOKUP(A16,'BD OFICIAL'!$A$1:$AL$2099,35,0)=AH16,0,1)</f>
        <v>0</v>
      </c>
      <c r="CI16" s="89">
        <f>IF(VLOOKUP(A16,'BD OFICIAL'!$A$1:$AL$2099,34,0)=AL16,0,1)</f>
        <v>0</v>
      </c>
      <c r="CJ16" s="89">
        <f>VLOOKUP(A16,'BD OFICIAL'!$A$1:$AM$2099,36,0)*AM16-AP16</f>
        <v>0</v>
      </c>
      <c r="CK16" s="89" t="str">
        <f t="shared" si="0"/>
        <v>SHMAN</v>
      </c>
      <c r="CL16" s="89" t="str">
        <f t="shared" si="1"/>
        <v>SI</v>
      </c>
      <c r="CM16" s="89" t="str">
        <f t="shared" si="2"/>
        <v>NO</v>
      </c>
      <c r="CN16" s="35">
        <f t="shared" si="3"/>
        <v>0</v>
      </c>
      <c r="CO16" s="35">
        <f t="shared" si="19"/>
        <v>0</v>
      </c>
      <c r="CP16" s="35">
        <f t="shared" si="20"/>
        <v>0</v>
      </c>
      <c r="CQ16" s="35">
        <f>IF(VLOOKUP(A16,'BD OFICIAL'!$A:$AT,40,0)=AQ16,0,1)</f>
        <v>0</v>
      </c>
      <c r="CR16" s="35">
        <f>IF(VLOOKUP(A16,'BD OFICIAL'!$A:$AT,41,0)=AS16,0,1)</f>
        <v>0</v>
      </c>
      <c r="CS16" s="35">
        <f t="shared" si="21"/>
        <v>0</v>
      </c>
      <c r="CT16" s="35">
        <f t="shared" si="4"/>
        <v>0</v>
      </c>
      <c r="CU16" s="35">
        <f>IF(VLOOKUP(A16,'BD OFICIAL'!$A$1:$AL$1057,31,0)="SI",IF(AT16&gt;0,0,1),IF(AT16=0,0,1))</f>
        <v>0</v>
      </c>
      <c r="CV16" s="35">
        <f t="shared" si="5"/>
        <v>0</v>
      </c>
      <c r="CW16" s="35">
        <f t="shared" si="6"/>
        <v>0</v>
      </c>
      <c r="CX16" s="89" t="str">
        <f t="shared" si="7"/>
        <v>SI</v>
      </c>
      <c r="CY16" s="35">
        <f t="shared" si="8"/>
        <v>0</v>
      </c>
      <c r="CZ16" s="89" t="str">
        <f>IF(ISERROR(VLOOKUP(AI16,EXPERIENCIA!$A$1:$C$2100,1,0)),"NO","SI")</f>
        <v>SI</v>
      </c>
      <c r="DA16" s="89">
        <f>IF(CX16="no","NO APLICA",IF(AX16=0,"ERROR NOTA",IF(AND(AX16&gt;1,CZ16="NO"),"ERROR NOTA",IF(AND(CZ16="NO",AX16=1),0,IF(VLOOKUP(AI16,EXPERIENCIA!$A$1:$C$2100,3,0)=AX16,0,"ERROR NOTA")))))</f>
        <v>0</v>
      </c>
      <c r="DB16" s="89" t="str">
        <f>IF(ISERROR(VLOOKUP(AI16,COMPORTAMIENTO!$A$1:$C$2100,1,0)),"NO","SI")</f>
        <v>SI</v>
      </c>
      <c r="DC16" s="89">
        <f>IF(CX16="NO","NO APLICA",IF(AY16=0,"ERROR NOTA",IF(AND(DB16="NO",AY16=7),0,IF(VLOOKUP(AI16,COMPORTAMIENTO!$A$2:$H$2100,8,0)=AY16,0,"ERROR NOTA"))))</f>
        <v>0</v>
      </c>
      <c r="DD16" s="108">
        <f t="shared" si="9"/>
        <v>0.70000000000000007</v>
      </c>
      <c r="DE16" s="108">
        <f t="shared" si="10"/>
        <v>0.70000000000000007</v>
      </c>
      <c r="DF16" s="89" t="str">
        <f t="shared" si="22"/>
        <v>SI</v>
      </c>
      <c r="DG16" s="89">
        <f t="shared" si="11"/>
        <v>0</v>
      </c>
      <c r="DH16" s="89">
        <f t="shared" si="12"/>
        <v>0</v>
      </c>
      <c r="DI16" s="89">
        <f t="shared" si="23"/>
        <v>0</v>
      </c>
      <c r="DJ16" s="16">
        <f t="shared" si="13"/>
        <v>7.0000000000000009</v>
      </c>
      <c r="DK16" s="11">
        <f t="shared" si="24"/>
        <v>7.0000000000000009</v>
      </c>
      <c r="DL16" s="16">
        <f t="shared" si="14"/>
        <v>5075</v>
      </c>
      <c r="DM16" s="16">
        <f>VLOOKUP(A16,'5 TD'!$A$3:$B$35,2,0)</f>
        <v>5000</v>
      </c>
      <c r="DN16" s="11">
        <f t="shared" si="25"/>
        <v>6.9</v>
      </c>
      <c r="DO16" s="89" t="str">
        <f t="shared" si="26"/>
        <v>APROBADO</v>
      </c>
      <c r="DP16" s="89" t="str">
        <f t="shared" si="27"/>
        <v>APROBADO</v>
      </c>
      <c r="DQ16" s="11">
        <f t="shared" si="28"/>
        <v>7</v>
      </c>
      <c r="DR16" s="89" t="str">
        <f t="shared" si="29"/>
        <v>APROBADO</v>
      </c>
      <c r="DS16" s="6" t="str">
        <f>+('3 Planilla Preadjudicación OTIC'!BP17)</f>
        <v>NO</v>
      </c>
      <c r="DT16" s="6">
        <f>IF(DR16="APROBADO",VLOOKUP(A16,'5 TD'!$D$3:$E$270,2,0),"NO APLICA")</f>
        <v>7</v>
      </c>
      <c r="DU16" s="6" t="str">
        <f t="shared" si="30"/>
        <v>SI</v>
      </c>
      <c r="DV16" s="6">
        <f>IF(DU16="SI",VLOOKUP(A16,'5 TD'!$G$3:$H$270,2,0),"NO APLICA ")</f>
        <v>7.0000000000000009</v>
      </c>
      <c r="DW16" s="6" t="str">
        <f t="shared" si="15"/>
        <v>SI</v>
      </c>
      <c r="DX16" s="6">
        <f>IF(DW16="SI",VLOOKUP(A16,'5 TD'!$J$4:$K$472,2,0),"NO APLICA")</f>
        <v>7</v>
      </c>
      <c r="DY16" s="6" t="str">
        <f t="shared" si="16"/>
        <v>SI</v>
      </c>
      <c r="DZ16" s="11">
        <f>IF(DY16="SI",VLOOKUP(A16,'5 TD'!$M$4:$N$350,2,0),"NO APLICA")</f>
        <v>7</v>
      </c>
      <c r="EA16" s="6" t="str">
        <f t="shared" si="17"/>
        <v>SI</v>
      </c>
      <c r="EB16" s="16">
        <f t="shared" si="18"/>
        <v>5075</v>
      </c>
      <c r="EC16" s="16">
        <f>IF(EA16="SI",VLOOKUP(A16,'5 TD'!$V$4:$W$479,2,0),"NO APLICA")</f>
        <v>5075</v>
      </c>
      <c r="ED16" s="6" t="str">
        <f t="shared" si="31"/>
        <v>SI</v>
      </c>
      <c r="EE16" s="83">
        <f>IF(ED16="SI",VLOOKUP(AI16,COMPORTAMIENTO!$A$1:$H$2100,7,0),"NO APLICA")</f>
        <v>0.67164179104477606</v>
      </c>
      <c r="EF16" s="16">
        <f>IF(ED16="SI",VLOOKUP(A16,'5 TD'!$P$2:$Q$479,2,0),"NO APLICA")</f>
        <v>0</v>
      </c>
      <c r="EG16" s="6" t="str">
        <f t="shared" si="32"/>
        <v>NO</v>
      </c>
      <c r="EH16" s="6">
        <f>IF(CZ16="no",0,VLOOKUP(AI16,EXPERIENCIA!$A$1:$C$2100,2,0))</f>
        <v>67</v>
      </c>
      <c r="EI16" s="6">
        <f>IF(CZ16="si",VLOOKUP(A16,'5 TD'!$S$3:$T$2103,2,0),0)</f>
        <v>125</v>
      </c>
      <c r="EJ16" s="6" t="str">
        <f t="shared" si="33"/>
        <v>NO</v>
      </c>
      <c r="EK16" s="6">
        <f>+('3 Planilla Preadjudicación OTIC'!BW17)</f>
        <v>0</v>
      </c>
      <c r="EL16" s="34" t="s">
        <v>2388</v>
      </c>
      <c r="EM16" s="7" t="s">
        <v>2397</v>
      </c>
    </row>
    <row r="17" spans="1:145" s="7" customFormat="1" ht="12.75" x14ac:dyDescent="0.2">
      <c r="A17" s="6">
        <f>+('3 Planilla Preadjudicación OTIC'!A17)</f>
        <v>14388</v>
      </c>
      <c r="B17" s="6" t="str">
        <f>+('3 Planilla Preadjudicación OTIC'!B17)</f>
        <v>SOFOFA</v>
      </c>
      <c r="C17" s="8">
        <f>+('3 Planilla Preadjudicación OTIC'!E17)</f>
        <v>2025</v>
      </c>
      <c r="D17" s="8" t="str">
        <f>+('3 Planilla Preadjudicación OTIC'!F17)</f>
        <v>MANDATO</v>
      </c>
      <c r="E17" s="8" t="str">
        <f>+('3 Planilla Preadjudicación OTIC'!G17)</f>
        <v>65181652-1</v>
      </c>
      <c r="F17" s="8" t="str">
        <f>+('3 Planilla Preadjudicación OTIC'!H17)</f>
        <v>SOFOFA</v>
      </c>
      <c r="G17" s="8" t="str">
        <f>+('3 Planilla Preadjudicación OTIC'!I17)</f>
        <v>65140022-8</v>
      </c>
      <c r="H17" s="8" t="str">
        <f>+('3 Planilla Preadjudicación OTIC'!J17)</f>
        <v>FUTURO DEL TRABAJO</v>
      </c>
      <c r="I17" s="8" t="str">
        <f>+('3 Planilla Preadjudicación OTIC'!K17)</f>
        <v>PROCESOS LOGÍSTICOS EN BODEGAS, CENTROS DE DISTRIBUCIÓN Y CENTROS DE TRANSFERENCIA</v>
      </c>
      <c r="J17" s="8" t="str">
        <f>+('3 Planilla Preadjudicación OTIC'!L17)</f>
        <v>PF1444</v>
      </c>
      <c r="K17" s="8">
        <f>+('3 Planilla Preadjudicación OTIC'!M17)</f>
        <v>0</v>
      </c>
      <c r="L17" s="8" t="str">
        <f>+('3 Planilla Preadjudicación OTIC'!N17)</f>
        <v/>
      </c>
      <c r="M17" s="6">
        <f>+('3 Planilla Preadjudicación OTIC'!O17)</f>
        <v>13</v>
      </c>
      <c r="N17" s="8">
        <f>+('3 Planilla Preadjudicación OTIC'!P17)</f>
        <v>0</v>
      </c>
      <c r="O17" s="8" t="str">
        <f>+('3 Planilla Preadjudicación OTIC'!Q17)</f>
        <v>RENCA</v>
      </c>
      <c r="P17" s="8" t="str">
        <f>+('3 Planilla Preadjudicación OTIC'!R17)</f>
        <v>ESTUDIANTES DE CUARTO AÑO DE ENSEÑANZA MEDIA O DE LICEOS TÉCNICOS PROFESIONALES.</v>
      </c>
      <c r="Q17" s="8" t="str">
        <f>+('3 Planilla Preadjudicación OTIC'!S17)</f>
        <v>PRESENCIAL</v>
      </c>
      <c r="R17" s="8" t="str">
        <f>+('3 Planilla Preadjudicación OTIC'!T17)</f>
        <v>DEPENDIENTE</v>
      </c>
      <c r="S17" s="8" t="str">
        <f>+('3 Planilla Preadjudicación OTIC'!U17)</f>
        <v>03. LUNES - VESPERTINO / 06. MARTES - VESPERTINO / 09. MIÉRCOLES - VESPERTINO / 12. JUEVES - VESPERTINO / 15. VIERNES - VESPERTINO</v>
      </c>
      <c r="T17" s="6">
        <f>+('3 Planilla Preadjudicación OTIC'!V17)</f>
        <v>16</v>
      </c>
      <c r="U17" s="6">
        <f>+('3 Planilla Preadjudicación OTIC'!W17)</f>
        <v>80</v>
      </c>
      <c r="V17" s="6">
        <f>+('3 Planilla Preadjudicación OTIC'!X17)</f>
        <v>0</v>
      </c>
      <c r="W17" s="6">
        <f>+('3 Planilla Preadjudicación OTIC'!Y17)</f>
        <v>80</v>
      </c>
      <c r="X17" s="6">
        <f>+('3 Planilla Preadjudicación OTIC'!Z17)</f>
        <v>4</v>
      </c>
      <c r="Y17" s="6" t="str">
        <f>+('3 Planilla Preadjudicación OTIC'!AA17)</f>
        <v>SI</v>
      </c>
      <c r="Z17" s="6" t="str">
        <f>+('3 Planilla Preadjudicación OTIC'!AB17)</f>
        <v>NO</v>
      </c>
      <c r="AA17" s="6" t="str">
        <f>+('3 Planilla Preadjudicación OTIC'!AC17)</f>
        <v>NO</v>
      </c>
      <c r="AB17" s="8">
        <f>+('3 Planilla Preadjudicación OTIC'!AD17)</f>
        <v>0</v>
      </c>
      <c r="AC17" s="8" t="str">
        <f>+('3 Planilla Preadjudicación OTIC'!AE17)</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17" s="6" t="str">
        <f>+('3 Planilla Preadjudicación OTIC'!AF17)</f>
        <v>NO</v>
      </c>
      <c r="AE17" s="8">
        <f>+('3 Planilla Preadjudicación OTIC'!AG17)</f>
        <v>0</v>
      </c>
      <c r="AF17" s="6" t="str">
        <f>+('3 Planilla Preadjudicación OTIC'!AH17)</f>
        <v>CERRADA</v>
      </c>
      <c r="AG17" s="6">
        <f>+('3 Planilla Preadjudicación OTIC'!AI17)</f>
        <v>20</v>
      </c>
      <c r="AH17" s="6">
        <f>+('3 Planilla Preadjudicación OTIC'!AJ17)</f>
        <v>3</v>
      </c>
      <c r="AI17" s="140" t="str">
        <f>+('3 Planilla Preadjudicación OTIC'!AK17)</f>
        <v>76302818-6</v>
      </c>
      <c r="AJ17" s="8" t="str">
        <f>+('3 Planilla Preadjudicación OTIC'!AL17)</f>
        <v>cade capacitacion y desarrollo empresarial e.i.r.l</v>
      </c>
      <c r="AK17" s="6">
        <f>+('3 Planilla Preadjudicación OTIC'!AM17)</f>
        <v>80</v>
      </c>
      <c r="AL17" s="6">
        <f>+('3 Planilla Preadjudicación OTIC'!AN17)</f>
        <v>20</v>
      </c>
      <c r="AM17" s="16">
        <f>+('3 Planilla Preadjudicación OTIC'!AO17)</f>
        <v>6373</v>
      </c>
      <c r="AN17" s="16">
        <f>+('3 Planilla Preadjudicación OTIC'!AP17)</f>
        <v>0</v>
      </c>
      <c r="AO17" s="16">
        <f>+('3 Planilla Preadjudicación OTIC'!AQ17)</f>
        <v>0</v>
      </c>
      <c r="AP17" s="16">
        <f>+('3 Planilla Preadjudicación OTIC'!AR17)</f>
        <v>8157440</v>
      </c>
      <c r="AQ17" s="16">
        <f>+('3 Planilla Preadjudicación OTIC'!AS17)</f>
        <v>1280000</v>
      </c>
      <c r="AR17" s="16">
        <f>+('3 Planilla Preadjudicación OTIC'!AT17)</f>
        <v>0</v>
      </c>
      <c r="AS17" s="16">
        <f>+('3 Planilla Preadjudicación OTIC'!AU17)</f>
        <v>0</v>
      </c>
      <c r="AT17" s="16">
        <f>+('3 Planilla Preadjudicación OTIC'!AV17)</f>
        <v>0</v>
      </c>
      <c r="AU17" s="16">
        <f>+('3 Planilla Preadjudicación OTIC'!AW17)</f>
        <v>9437440</v>
      </c>
      <c r="AV17" s="158" t="str">
        <f>+('3 Planilla Preadjudicación OTIC'!AX17)</f>
        <v>SI</v>
      </c>
      <c r="AW17" s="8">
        <f>+('3 Planilla Preadjudicación OTIC'!AY17)</f>
        <v>0</v>
      </c>
      <c r="AX17" s="6">
        <f>+('3 Planilla Preadjudicación OTIC'!AZ17)</f>
        <v>3</v>
      </c>
      <c r="AY17" s="6">
        <f>+('3 Planilla Preadjudicación OTIC'!BA17)</f>
        <v>7</v>
      </c>
      <c r="AZ17" s="6">
        <f>+('3 Planilla Preadjudicación OTIC'!BB17)</f>
        <v>0</v>
      </c>
      <c r="BA17" s="6">
        <f>+('3 Planilla Preadjudicación OTIC'!BC17)</f>
        <v>0</v>
      </c>
      <c r="BB17" s="6">
        <f>+('3 Planilla Preadjudicación OTIC'!BD17)</f>
        <v>0</v>
      </c>
      <c r="BC17" s="6">
        <f>+('3 Planilla Preadjudicación OTIC'!BE17)</f>
        <v>0</v>
      </c>
      <c r="BD17" s="6">
        <f>+('3 Planilla Preadjudicación OTIC'!BF17)</f>
        <v>0</v>
      </c>
      <c r="BE17" s="6">
        <f>+('3 Planilla Preadjudicación OTIC'!BG17)</f>
        <v>0</v>
      </c>
      <c r="BF17" s="6">
        <f>+('3 Planilla Preadjudicación OTIC'!BH17)</f>
        <v>0</v>
      </c>
      <c r="BG17" s="6">
        <f>+('3 Planilla Preadjudicación OTIC'!BI17)</f>
        <v>7</v>
      </c>
      <c r="BH17" s="6">
        <f>+('3 Planilla Preadjudicación OTIC'!BJ17)</f>
        <v>7</v>
      </c>
      <c r="BI17" s="6">
        <f>+('3 Planilla Preadjudicación OTIC'!BK17)</f>
        <v>7</v>
      </c>
      <c r="BJ17" s="6">
        <f>+('3 Planilla Preadjudicación OTIC'!BL17)</f>
        <v>7</v>
      </c>
      <c r="BK17" s="6">
        <f>+('3 Planilla Preadjudicación OTIC'!BM17)</f>
        <v>7</v>
      </c>
      <c r="BL17" s="6">
        <f>+('3 Planilla Preadjudicación OTIC'!BN17)</f>
        <v>7</v>
      </c>
      <c r="BM17" s="108">
        <f>ROUND(('3 Planilla Preadjudicación OTIC'!BO17),1)</f>
        <v>6.6</v>
      </c>
      <c r="BN17" s="8" t="str">
        <f>+('3 Planilla Preadjudicación OTIC'!BP17)</f>
        <v>NO</v>
      </c>
      <c r="BO17" s="8" t="str">
        <f>+('3 Planilla Preadjudicación OTIC'!BQ17)</f>
        <v>ALEJANDRA HUANCHICAY</v>
      </c>
      <c r="BP17" s="8" t="str">
        <f>+('3 Planilla Preadjudicación OTIC'!BR17)</f>
        <v>becaslaborales@cade.cl</v>
      </c>
      <c r="BQ17" s="8">
        <f>+('3 Planilla Preadjudicación OTIC'!BS17)</f>
        <v>973778527</v>
      </c>
      <c r="BR17" s="8" t="str">
        <f>+('3 Planilla Preadjudicación OTIC'!BT17)</f>
        <v>Blanco Encalada Nº 1335, Renca</v>
      </c>
      <c r="BS17" s="8">
        <f>+('3 Planilla Preadjudicación OTIC'!BU17)</f>
        <v>0</v>
      </c>
      <c r="BT17" s="8">
        <f>+('3 Planilla Preadjudicación OTIC'!BV17)</f>
        <v>0</v>
      </c>
      <c r="BU17" s="89">
        <f>IF(VLOOKUP(A17,'BD OFICIAL'!$A$1:$AL$2099,7,0)=D17,0,1)</f>
        <v>0</v>
      </c>
      <c r="BV17" s="89">
        <f>IF(VLOOKUP(A17,'BD OFICIAL'!$A$1:$AL$2099,11,0)=J17,0,1)</f>
        <v>0</v>
      </c>
      <c r="BW17" s="89">
        <f>IF(VLOOKUP(A17,'BD OFICIAL'!$A$1:$AL$2099,13,0)=L17,0,1)</f>
        <v>0</v>
      </c>
      <c r="BX17" s="6">
        <f>IF(VLOOKUP(A17,'BD OFICIAL'!$A$1:$AL$2099,16,0)=O17,0,1)</f>
        <v>0</v>
      </c>
      <c r="BY17" s="6">
        <f>IF(VLOOKUP(A17,'BD OFICIAL'!$A$1:$AL$2099,17,0)=P17,0,1)</f>
        <v>0</v>
      </c>
      <c r="BZ17" s="6">
        <f>IF(VLOOKUP(A17,'BD OFICIAL'!$A$1:$AL$2099,19,0)=R17,0,1)</f>
        <v>0</v>
      </c>
      <c r="CA17" s="6">
        <f>IF(VLOOKUP(A17,'BD OFICIAL'!$A$1:$AL$2099,21,0)=T17,0,1)</f>
        <v>0</v>
      </c>
      <c r="CB17" s="6">
        <f>IF(VLOOKUP(A17,'BD OFICIAL'!$A$1:$AL$2099,24,0)=AK17,0,1)</f>
        <v>0</v>
      </c>
      <c r="CC17" s="6">
        <f>IF(VLOOKUP(A17,'BD OFICIAL'!$A$1:$AL$2099,25,0)=X17,0,1)</f>
        <v>0</v>
      </c>
      <c r="CD17" s="6">
        <f>IF(VLOOKUP(A17,'BD OFICIAL'!$A$1:$AL$2099,26,0)=Y17,0,1)</f>
        <v>0</v>
      </c>
      <c r="CE17" s="6">
        <f>IF(VLOOKUP(A17,'BD OFICIAL'!$A$1:$AL$2099,27,0)=Z17,0,1)</f>
        <v>0</v>
      </c>
      <c r="CF17" s="6">
        <f>IF(VLOOKUP(A17,'BD OFICIAL'!$A$1:$AL$2099,28,0)=AA17,0,1)</f>
        <v>0</v>
      </c>
      <c r="CG17" s="6">
        <f>IF(VLOOKUP(A17,'BD OFICIAL'!$A$1:$AL$2099,33,0)=AF17,0,1)</f>
        <v>0</v>
      </c>
      <c r="CH17" s="6">
        <f>IF(VLOOKUP(A17,'BD OFICIAL'!$A$1:$AL$2099,35,0)=AH17,0,1)</f>
        <v>0</v>
      </c>
      <c r="CI17" s="89">
        <f>IF(VLOOKUP(A17,'BD OFICIAL'!$A$1:$AL$2099,34,0)=AL17,0,1)</f>
        <v>0</v>
      </c>
      <c r="CJ17" s="89">
        <f>VLOOKUP(A17,'BD OFICIAL'!$A$1:$AM$2099,36,0)*AM17-AP17</f>
        <v>0</v>
      </c>
      <c r="CK17" s="89" t="str">
        <f t="shared" si="0"/>
        <v>SSH</v>
      </c>
      <c r="CL17" s="89" t="str">
        <f t="shared" si="1"/>
        <v>SI</v>
      </c>
      <c r="CM17" s="89" t="str">
        <f t="shared" si="2"/>
        <v>NO</v>
      </c>
      <c r="CN17" s="35">
        <f t="shared" si="3"/>
        <v>0</v>
      </c>
      <c r="CO17" s="35">
        <f t="shared" si="19"/>
        <v>0</v>
      </c>
      <c r="CP17" s="35">
        <f t="shared" si="20"/>
        <v>0</v>
      </c>
      <c r="CQ17" s="35">
        <f>IF(VLOOKUP(A17,'BD OFICIAL'!$A:$AT,40,0)=AQ17,0,1)</f>
        <v>0</v>
      </c>
      <c r="CR17" s="35">
        <f>IF(VLOOKUP(A17,'BD OFICIAL'!$A:$AT,41,0)=AS17,0,1)</f>
        <v>0</v>
      </c>
      <c r="CS17" s="35">
        <f t="shared" si="21"/>
        <v>0</v>
      </c>
      <c r="CT17" s="35">
        <f t="shared" si="4"/>
        <v>0</v>
      </c>
      <c r="CU17" s="35">
        <f>IF(VLOOKUP(A17,'BD OFICIAL'!$A$1:$AL$1057,31,0)="SI",IF(AT17&gt;0,0,1),IF(AT17=0,0,1))</f>
        <v>0</v>
      </c>
      <c r="CV17" s="35">
        <f t="shared" si="5"/>
        <v>0</v>
      </c>
      <c r="CW17" s="35">
        <f t="shared" si="6"/>
        <v>0</v>
      </c>
      <c r="CX17" s="89" t="str">
        <f t="shared" si="7"/>
        <v>SI</v>
      </c>
      <c r="CY17" s="35">
        <f t="shared" si="8"/>
        <v>0</v>
      </c>
      <c r="CZ17" s="89" t="str">
        <f>IF(ISERROR(VLOOKUP(AI17,EXPERIENCIA!$A$1:$C$2100,1,0)),"NO","SI")</f>
        <v>SI</v>
      </c>
      <c r="DA17" s="89">
        <f>IF(CX17="no","NO APLICA",IF(AX17=0,"ERROR NOTA",IF(AND(AX17&gt;1,CZ17="NO"),"ERROR NOTA",IF(AND(CZ17="NO",AX17=1),0,IF(VLOOKUP(AI17,EXPERIENCIA!$A$1:$C$2100,3,0)=AX17,0,"ERROR NOTA")))))</f>
        <v>0</v>
      </c>
      <c r="DB17" s="89" t="str">
        <f>IF(ISERROR(VLOOKUP(AI17,COMPORTAMIENTO!$A$1:$C$2100,1,0)),"NO","SI")</f>
        <v>SI</v>
      </c>
      <c r="DC17" s="89">
        <f>IF(CX17="NO","NO APLICA",IF(AY17=0,"ERROR NOTA",IF(AND(DB17="NO",AY17=7),0,IF(VLOOKUP(AI17,COMPORTAMIENTO!$A$2:$H$2100,8,0)=AY17,0,"ERROR NOTA"))))</f>
        <v>0</v>
      </c>
      <c r="DD17" s="108">
        <f t="shared" si="9"/>
        <v>0.30000000000000004</v>
      </c>
      <c r="DE17" s="108">
        <f t="shared" si="10"/>
        <v>0.70000000000000007</v>
      </c>
      <c r="DF17" s="89" t="str">
        <f t="shared" si="22"/>
        <v>SI</v>
      </c>
      <c r="DG17" s="89">
        <f t="shared" si="11"/>
        <v>0</v>
      </c>
      <c r="DH17" s="89">
        <f t="shared" si="12"/>
        <v>0</v>
      </c>
      <c r="DI17" s="89">
        <f t="shared" si="23"/>
        <v>0</v>
      </c>
      <c r="DJ17" s="16">
        <f t="shared" si="13"/>
        <v>7.0000000000000009</v>
      </c>
      <c r="DK17" s="11">
        <f t="shared" si="24"/>
        <v>7.0000000000000009</v>
      </c>
      <c r="DL17" s="16">
        <f t="shared" si="14"/>
        <v>6373</v>
      </c>
      <c r="DM17" s="16">
        <f>VLOOKUP(A17,'5 TD'!$A$3:$B$35,2,0)</f>
        <v>6373</v>
      </c>
      <c r="DN17" s="11">
        <f t="shared" si="25"/>
        <v>7</v>
      </c>
      <c r="DO17" s="89" t="str">
        <f t="shared" si="26"/>
        <v>APROBADO</v>
      </c>
      <c r="DP17" s="89" t="str">
        <f t="shared" si="27"/>
        <v>APROBADO</v>
      </c>
      <c r="DQ17" s="11">
        <f t="shared" si="28"/>
        <v>6.6</v>
      </c>
      <c r="DR17" s="89" t="str">
        <f t="shared" si="29"/>
        <v>APROBADO</v>
      </c>
      <c r="DS17" s="6" t="str">
        <f>+('3 Planilla Preadjudicación OTIC'!BP18)</f>
        <v>NO</v>
      </c>
      <c r="DT17" s="6">
        <f>IF(DR17="APROBADO",VLOOKUP(A17,'5 TD'!$D$3:$E$270,2,0),"NO APLICA")</f>
        <v>7</v>
      </c>
      <c r="DU17" s="6" t="str">
        <f t="shared" si="30"/>
        <v>NO</v>
      </c>
      <c r="DV17" s="158" t="str">
        <f>IF(DU17="SI",VLOOKUP(A17,'5 TD'!$G$3:$H$270,2,0),"NO APLICA ")</f>
        <v xml:space="preserve">NO APLICA </v>
      </c>
      <c r="DW17" s="6" t="str">
        <f t="shared" si="15"/>
        <v>NO</v>
      </c>
      <c r="DX17" s="6" t="str">
        <f>IF(DW17="SI",VLOOKUP(A17,'5 TD'!$J$4:$K$472,2,0),"NO APLICA")</f>
        <v>NO APLICA</v>
      </c>
      <c r="DY17" s="6" t="str">
        <f t="shared" si="16"/>
        <v>NO APLICA</v>
      </c>
      <c r="DZ17" s="11" t="str">
        <f>IF(DY17="SI",VLOOKUP(A17,'5 TD'!$M$4:$N$350,2,0),"NO APLICA")</f>
        <v>NO APLICA</v>
      </c>
      <c r="EA17" s="6" t="str">
        <f t="shared" si="17"/>
        <v>NO APLICA</v>
      </c>
      <c r="EB17" s="16" t="str">
        <f t="shared" si="18"/>
        <v/>
      </c>
      <c r="EC17" s="16" t="str">
        <f>IF(EA17="SI",VLOOKUP(A17,'5 TD'!$V$4:$W$479,2,0),"NO APLICA")</f>
        <v>NO APLICA</v>
      </c>
      <c r="ED17" s="6" t="str">
        <f t="shared" si="31"/>
        <v>NO</v>
      </c>
      <c r="EE17" s="83" t="str">
        <f>IF(ED17="SI",VLOOKUP(AI17,COMPORTAMIENTO!$A$1:$H$2100,7,0),"NO APLICA")</f>
        <v>NO APLICA</v>
      </c>
      <c r="EF17" s="16" t="str">
        <f>IF(ED17="SI",VLOOKUP(A17,'5 TD'!$P$2:$Q$479,2,0),"NO APLICA")</f>
        <v>NO APLICA</v>
      </c>
      <c r="EG17" s="6" t="str">
        <f t="shared" si="32"/>
        <v>NO</v>
      </c>
      <c r="EH17" s="6">
        <f>IF(CZ17="no",0,VLOOKUP(AI17,EXPERIENCIA!$A$1:$C$2100,2,0))</f>
        <v>23</v>
      </c>
      <c r="EI17" s="6">
        <f>IF(CZ17="si",VLOOKUP(A17,'5 TD'!$S$3:$T$2103,2,0),0)</f>
        <v>125</v>
      </c>
      <c r="EJ17" s="6" t="str">
        <f t="shared" si="33"/>
        <v>NO</v>
      </c>
      <c r="EK17" s="6" t="str">
        <f>+('3 Planilla Preadjudicación OTIC'!BW18)</f>
        <v>Numeral 7 ítem e) Menor “porcentaje de multas ponderadas” en ítem evaluación comportamiento considerando 4 decimales.</v>
      </c>
      <c r="EL17" s="34"/>
    </row>
    <row r="18" spans="1:145" s="7" customFormat="1" ht="12.75" x14ac:dyDescent="0.2">
      <c r="A18" s="6">
        <f>+('3 Planilla Preadjudicación OTIC'!A18)</f>
        <v>14389</v>
      </c>
      <c r="B18" s="6" t="str">
        <f>+('3 Planilla Preadjudicación OTIC'!B18)</f>
        <v>SOFOFA</v>
      </c>
      <c r="C18" s="8">
        <f>+('3 Planilla Preadjudicación OTIC'!E18)</f>
        <v>2025</v>
      </c>
      <c r="D18" s="8" t="str">
        <f>+('3 Planilla Preadjudicación OTIC'!F18)</f>
        <v>MANDATO</v>
      </c>
      <c r="E18" s="8" t="str">
        <f>+('3 Planilla Preadjudicación OTIC'!G18)</f>
        <v>65181652-1</v>
      </c>
      <c r="F18" s="8" t="str">
        <f>+('3 Planilla Preadjudicación OTIC'!H18)</f>
        <v>SOFOFA</v>
      </c>
      <c r="G18" s="8" t="str">
        <f>+('3 Planilla Preadjudicación OTIC'!I18)</f>
        <v>65140022-8</v>
      </c>
      <c r="H18" s="8" t="str">
        <f>+('3 Planilla Preadjudicación OTIC'!J18)</f>
        <v>FUTURO DEL TRABAJO</v>
      </c>
      <c r="I18" s="8" t="str">
        <f>+('3 Planilla Preadjudicación OTIC'!K18)</f>
        <v>TÉCNICAS DE SOLDADURA POR OXIGÁS, ARCO VOLTAICO, TIG Y MIG</v>
      </c>
      <c r="J18" s="8" t="str">
        <f>+('3 Planilla Preadjudicación OTIC'!L18)</f>
        <v>PF0622</v>
      </c>
      <c r="K18" s="8" t="str">
        <f>+('3 Planilla Preadjudicación OTIC'!M18)</f>
        <v>TÉCNICAS PARA EL EMPRENDIMIENTO</v>
      </c>
      <c r="L18" s="8" t="str">
        <f>+('3 Planilla Preadjudicación OTIC'!N18)</f>
        <v>PF0921</v>
      </c>
      <c r="M18" s="6">
        <f>+('3 Planilla Preadjudicación OTIC'!O18)</f>
        <v>13</v>
      </c>
      <c r="N18" s="8">
        <f>+('3 Planilla Preadjudicación OTIC'!P18)</f>
        <v>0</v>
      </c>
      <c r="O18" s="8" t="str">
        <f>+('3 Planilla Preadjudicación OTIC'!Q18)</f>
        <v>RENCA</v>
      </c>
      <c r="P18" s="8" t="str">
        <f>+('3 Planilla Preadjudicación OTIC'!R18)</f>
        <v>ESTUDIANTES DE CUARTO AÑO DE ENSEÑANZA MEDIA O DE LICEOS TÉCNICOS PROFESIONALES.</v>
      </c>
      <c r="Q18" s="8" t="str">
        <f>+('3 Planilla Preadjudicación OTIC'!S18)</f>
        <v>PRESENCIAL</v>
      </c>
      <c r="R18" s="8" t="str">
        <f>+('3 Planilla Preadjudicación OTIC'!T18)</f>
        <v>INDEPENDIENTE</v>
      </c>
      <c r="S18" s="8" t="str">
        <f>+('3 Planilla Preadjudicación OTIC'!U18)</f>
        <v>03. LUNES - VESPERTINO / 06. MARTES - VESPERTINO / 09. MIÉRCOLES - VESPERTINO / 12. JUEVES - VESPERTINO / 15. VIERNES - VESPERTINO</v>
      </c>
      <c r="T18" s="6">
        <f>+('3 Planilla Preadjudicación OTIC'!V18)</f>
        <v>14</v>
      </c>
      <c r="U18" s="6">
        <f>+('3 Planilla Preadjudicación OTIC'!W18)</f>
        <v>260</v>
      </c>
      <c r="V18" s="6">
        <f>+('3 Planilla Preadjudicación OTIC'!X18)</f>
        <v>12</v>
      </c>
      <c r="W18" s="6">
        <f>+('3 Planilla Preadjudicación OTIC'!Y18)</f>
        <v>272</v>
      </c>
      <c r="X18" s="6">
        <f>+('3 Planilla Preadjudicación OTIC'!Z18)</f>
        <v>4</v>
      </c>
      <c r="Y18" s="6" t="str">
        <f>+('3 Planilla Preadjudicación OTIC'!AA18)</f>
        <v>SI</v>
      </c>
      <c r="Z18" s="6" t="str">
        <f>+('3 Planilla Preadjudicación OTIC'!AB18)</f>
        <v>NO</v>
      </c>
      <c r="AA18" s="6" t="str">
        <f>+('3 Planilla Preadjudicación OTIC'!AC18)</f>
        <v>SI</v>
      </c>
      <c r="AB18" s="8">
        <f>+('3 Planilla Preadjudicación OTIC'!AD18)</f>
        <v>0</v>
      </c>
      <c r="AC18" s="8" t="str">
        <f>+('3 Planilla Preadjudicación OTIC'!AE18)</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18" s="6" t="str">
        <f>+('3 Planilla Preadjudicación OTIC'!AF18)</f>
        <v>SI</v>
      </c>
      <c r="AE18" s="8" t="str">
        <f>+('3 Planilla Preadjudicación OTIC'!AG18)</f>
        <v>CERTIFICACIÓN COMO SOLDADOR.</v>
      </c>
      <c r="AF18" s="6" t="str">
        <f>+('3 Planilla Preadjudicación OTIC'!AH18)</f>
        <v>CERRADA</v>
      </c>
      <c r="AG18" s="6">
        <f>+('3 Planilla Preadjudicación OTIC'!AI18)</f>
        <v>68</v>
      </c>
      <c r="AH18" s="6">
        <f>+('3 Planilla Preadjudicación OTIC'!AJ18)</f>
        <v>2</v>
      </c>
      <c r="AI18" s="140" t="str">
        <f>+('3 Planilla Preadjudicación OTIC'!AK18)</f>
        <v>76056645-4</v>
      </c>
      <c r="AJ18" s="8" t="str">
        <f>+('3 Planilla Preadjudicación OTIC'!AL18)</f>
        <v>ISOLUTION CAPACITACION EN GESTION LILITADA</v>
      </c>
      <c r="AK18" s="6">
        <f>+('3 Planilla Preadjudicación OTIC'!AM18)</f>
        <v>272</v>
      </c>
      <c r="AL18" s="6">
        <f>+('3 Planilla Preadjudicación OTIC'!AN18)</f>
        <v>68</v>
      </c>
      <c r="AM18" s="16">
        <f>+('3 Planilla Preadjudicación OTIC'!AO18)</f>
        <v>5075</v>
      </c>
      <c r="AN18" s="16">
        <f>+('3 Planilla Preadjudicación OTIC'!AP18)</f>
        <v>250000</v>
      </c>
      <c r="AO18" s="16">
        <f>+('3 Planilla Preadjudicación OTIC'!AQ18)</f>
        <v>250000</v>
      </c>
      <c r="AP18" s="16">
        <f>+('3 Planilla Preadjudicación OTIC'!AR18)</f>
        <v>19325600</v>
      </c>
      <c r="AQ18" s="16">
        <f>+('3 Planilla Preadjudicación OTIC'!AS18)</f>
        <v>3808000</v>
      </c>
      <c r="AR18" s="16">
        <f>+('3 Planilla Preadjudicación OTIC'!AT18)</f>
        <v>3500000</v>
      </c>
      <c r="AS18" s="16">
        <f>+('3 Planilla Preadjudicación OTIC'!AU18)</f>
        <v>0</v>
      </c>
      <c r="AT18" s="16">
        <f>+('3 Planilla Preadjudicación OTIC'!AV18)</f>
        <v>3500000</v>
      </c>
      <c r="AU18" s="16">
        <f>+('3 Planilla Preadjudicación OTIC'!AW18)</f>
        <v>30133600</v>
      </c>
      <c r="AV18" s="158" t="str">
        <f>+('3 Planilla Preadjudicación OTIC'!AX18)</f>
        <v>SI</v>
      </c>
      <c r="AW18" s="8">
        <f>+('3 Planilla Preadjudicación OTIC'!AY18)</f>
        <v>0</v>
      </c>
      <c r="AX18" s="6">
        <f>+('3 Planilla Preadjudicación OTIC'!AZ18)</f>
        <v>7</v>
      </c>
      <c r="AY18" s="6">
        <f>+('3 Planilla Preadjudicación OTIC'!BA18)</f>
        <v>7</v>
      </c>
      <c r="AZ18" s="6">
        <f>+('3 Planilla Preadjudicación OTIC'!BB18)</f>
        <v>0</v>
      </c>
      <c r="BA18" s="6">
        <f>+('3 Planilla Preadjudicación OTIC'!BC18)</f>
        <v>0</v>
      </c>
      <c r="BB18" s="6">
        <f>+('3 Planilla Preadjudicación OTIC'!BD18)</f>
        <v>0</v>
      </c>
      <c r="BC18" s="6">
        <f>+('3 Planilla Preadjudicación OTIC'!BE18)</f>
        <v>0</v>
      </c>
      <c r="BD18" s="6">
        <f>+('3 Planilla Preadjudicación OTIC'!BF18)</f>
        <v>0</v>
      </c>
      <c r="BE18" s="6">
        <f>+('3 Planilla Preadjudicación OTIC'!BG18)</f>
        <v>0</v>
      </c>
      <c r="BF18" s="6">
        <f>+('3 Planilla Preadjudicación OTIC'!BH18)</f>
        <v>0</v>
      </c>
      <c r="BG18" s="6">
        <f>+('3 Planilla Preadjudicación OTIC'!BI18)</f>
        <v>7</v>
      </c>
      <c r="BH18" s="6">
        <f>+('3 Planilla Preadjudicación OTIC'!BJ18)</f>
        <v>7</v>
      </c>
      <c r="BI18" s="6">
        <f>+('3 Planilla Preadjudicación OTIC'!BK18)</f>
        <v>7</v>
      </c>
      <c r="BJ18" s="6">
        <f>+('3 Planilla Preadjudicación OTIC'!BL18)</f>
        <v>7</v>
      </c>
      <c r="BK18" s="6">
        <f>+('3 Planilla Preadjudicación OTIC'!BM18)</f>
        <v>7</v>
      </c>
      <c r="BL18" s="6">
        <f>+('3 Planilla Preadjudicación OTIC'!BN18)</f>
        <v>6.9</v>
      </c>
      <c r="BM18" s="108">
        <f>ROUND(('3 Planilla Preadjudicación OTIC'!BO18),1)</f>
        <v>7</v>
      </c>
      <c r="BN18" s="8" t="str">
        <f>+('3 Planilla Preadjudicación OTIC'!BP18)</f>
        <v>NO</v>
      </c>
      <c r="BO18" s="8" t="str">
        <f>+('3 Planilla Preadjudicación OTIC'!BQ18)</f>
        <v>GUILLERMO</v>
      </c>
      <c r="BP18" s="8" t="str">
        <f>+('3 Planilla Preadjudicación OTIC'!BR18)</f>
        <v>ggonzalez@isolution.cl</v>
      </c>
      <c r="BQ18" s="8">
        <f>+('3 Planilla Preadjudicación OTIC'!BS18)</f>
        <v>995163347</v>
      </c>
      <c r="BR18" s="8" t="str">
        <f>+('3 Planilla Preadjudicación OTIC'!BT18)</f>
        <v>LOS GERANIOS #3203, Renca</v>
      </c>
      <c r="BS18" s="8">
        <f>+('3 Planilla Preadjudicación OTIC'!BU18)</f>
        <v>0</v>
      </c>
      <c r="BT18" s="8">
        <f>+('3 Planilla Preadjudicación OTIC'!BV18)</f>
        <v>0</v>
      </c>
      <c r="BU18" s="89">
        <f>IF(VLOOKUP(A18,'BD OFICIAL'!$A$1:$AL$2099,7,0)=D18,0,1)</f>
        <v>0</v>
      </c>
      <c r="BV18" s="89">
        <f>IF(VLOOKUP(A18,'BD OFICIAL'!$A$1:$AL$2099,11,0)=J18,0,1)</f>
        <v>0</v>
      </c>
      <c r="BW18" s="89">
        <f>IF(VLOOKUP(A18,'BD OFICIAL'!$A$1:$AL$2099,13,0)=L18,0,1)</f>
        <v>0</v>
      </c>
      <c r="BX18" s="6">
        <f>IF(VLOOKUP(A18,'BD OFICIAL'!$A$1:$AL$2099,16,0)=O18,0,1)</f>
        <v>0</v>
      </c>
      <c r="BY18" s="6">
        <f>IF(VLOOKUP(A18,'BD OFICIAL'!$A$1:$AL$2099,17,0)=P18,0,1)</f>
        <v>0</v>
      </c>
      <c r="BZ18" s="6">
        <f>IF(VLOOKUP(A18,'BD OFICIAL'!$A$1:$AL$2099,19,0)=R18,0,1)</f>
        <v>0</v>
      </c>
      <c r="CA18" s="6">
        <f>IF(VLOOKUP(A18,'BD OFICIAL'!$A$1:$AL$2099,21,0)=T18,0,1)</f>
        <v>0</v>
      </c>
      <c r="CB18" s="6">
        <f>IF(VLOOKUP(A18,'BD OFICIAL'!$A$1:$AL$2099,24,0)=AK18,0,1)</f>
        <v>0</v>
      </c>
      <c r="CC18" s="6">
        <f>IF(VLOOKUP(A18,'BD OFICIAL'!$A$1:$AL$2099,25,0)=X18,0,1)</f>
        <v>0</v>
      </c>
      <c r="CD18" s="6">
        <f>IF(VLOOKUP(A18,'BD OFICIAL'!$A$1:$AL$2099,26,0)=Y18,0,1)</f>
        <v>0</v>
      </c>
      <c r="CE18" s="6">
        <f>IF(VLOOKUP(A18,'BD OFICIAL'!$A$1:$AL$2099,27,0)=Z18,0,1)</f>
        <v>0</v>
      </c>
      <c r="CF18" s="6">
        <f>IF(VLOOKUP(A18,'BD OFICIAL'!$A$1:$AL$2099,28,0)=AA18,0,1)</f>
        <v>0</v>
      </c>
      <c r="CG18" s="6">
        <f>IF(VLOOKUP(A18,'BD OFICIAL'!$A$1:$AL$2099,33,0)=AF18,0,1)</f>
        <v>0</v>
      </c>
      <c r="CH18" s="6">
        <f>IF(VLOOKUP(A18,'BD OFICIAL'!$A$1:$AL$2099,35,0)=AH18,0,1)</f>
        <v>0</v>
      </c>
      <c r="CI18" s="89">
        <f>IF(VLOOKUP(A18,'BD OFICIAL'!$A$1:$AL$2099,34,0)=AL18,0,1)</f>
        <v>0</v>
      </c>
      <c r="CJ18" s="89">
        <f>VLOOKUP(A18,'BD OFICIAL'!$A$1:$AM$2099,36,0)*AM18-AP18</f>
        <v>0</v>
      </c>
      <c r="CK18" s="89" t="str">
        <f t="shared" si="0"/>
        <v>SHMAN</v>
      </c>
      <c r="CL18" s="89" t="str">
        <f t="shared" si="1"/>
        <v>SI</v>
      </c>
      <c r="CM18" s="89" t="str">
        <f t="shared" si="2"/>
        <v>NO</v>
      </c>
      <c r="CN18" s="35">
        <f t="shared" si="3"/>
        <v>0</v>
      </c>
      <c r="CO18" s="35">
        <f t="shared" si="19"/>
        <v>0</v>
      </c>
      <c r="CP18" s="35">
        <f t="shared" si="20"/>
        <v>0</v>
      </c>
      <c r="CQ18" s="35">
        <f>IF(VLOOKUP(A18,'BD OFICIAL'!$A:$AT,40,0)=AQ18,0,1)</f>
        <v>0</v>
      </c>
      <c r="CR18" s="35">
        <f>IF(VLOOKUP(A18,'BD OFICIAL'!$A:$AT,41,0)=AS18,0,1)</f>
        <v>0</v>
      </c>
      <c r="CS18" s="35">
        <f t="shared" si="21"/>
        <v>0</v>
      </c>
      <c r="CT18" s="35">
        <f t="shared" si="4"/>
        <v>0</v>
      </c>
      <c r="CU18" s="35">
        <f>IF(VLOOKUP(A18,'BD OFICIAL'!$A$1:$AL$1057,31,0)="SI",IF(AT18&gt;0,0,1),IF(AT18=0,0,1))</f>
        <v>0</v>
      </c>
      <c r="CV18" s="35">
        <f t="shared" si="5"/>
        <v>0</v>
      </c>
      <c r="CW18" s="35">
        <f t="shared" si="6"/>
        <v>0</v>
      </c>
      <c r="CX18" s="89" t="str">
        <f t="shared" si="7"/>
        <v>SI</v>
      </c>
      <c r="CY18" s="35">
        <f t="shared" si="8"/>
        <v>0</v>
      </c>
      <c r="CZ18" s="89" t="str">
        <f>IF(ISERROR(VLOOKUP(AI18,EXPERIENCIA!$A$1:$C$2100,1,0)),"NO","SI")</f>
        <v>SI</v>
      </c>
      <c r="DA18" s="89">
        <f>IF(CX18="no","NO APLICA",IF(AX18=0,"ERROR NOTA",IF(AND(AX18&gt;1,CZ18="NO"),"ERROR NOTA",IF(AND(CZ18="NO",AX18=1),0,IF(VLOOKUP(AI18,EXPERIENCIA!$A$1:$C$2100,3,0)=AX18,0,"ERROR NOTA")))))</f>
        <v>0</v>
      </c>
      <c r="DB18" s="89" t="str">
        <f>IF(ISERROR(VLOOKUP(AI18,COMPORTAMIENTO!$A$1:$C$2100,1,0)),"NO","SI")</f>
        <v>SI</v>
      </c>
      <c r="DC18" s="89">
        <f>IF(CX18="NO","NO APLICA",IF(AY18=0,"ERROR NOTA",IF(AND(DB18="NO",AY18=7),0,IF(VLOOKUP(AI18,COMPORTAMIENTO!$A$2:$H$2100,8,0)=AY18,0,"ERROR NOTA"))))</f>
        <v>0</v>
      </c>
      <c r="DD18" s="108">
        <f t="shared" si="9"/>
        <v>0.70000000000000007</v>
      </c>
      <c r="DE18" s="108">
        <f t="shared" si="10"/>
        <v>0.70000000000000007</v>
      </c>
      <c r="DF18" s="89" t="str">
        <f t="shared" si="22"/>
        <v>SI</v>
      </c>
      <c r="DG18" s="89">
        <f t="shared" si="11"/>
        <v>0</v>
      </c>
      <c r="DH18" s="89">
        <f t="shared" si="12"/>
        <v>0</v>
      </c>
      <c r="DI18" s="89">
        <f t="shared" si="23"/>
        <v>0</v>
      </c>
      <c r="DJ18" s="16">
        <f t="shared" si="13"/>
        <v>7.0000000000000009</v>
      </c>
      <c r="DK18" s="11">
        <f t="shared" si="24"/>
        <v>7.0000000000000009</v>
      </c>
      <c r="DL18" s="16">
        <f t="shared" si="14"/>
        <v>5075</v>
      </c>
      <c r="DM18" s="16">
        <f>VLOOKUP(A18,'5 TD'!$A$3:$B$35,2,0)</f>
        <v>5000</v>
      </c>
      <c r="DN18" s="11">
        <f t="shared" si="25"/>
        <v>6.9</v>
      </c>
      <c r="DO18" s="89" t="str">
        <f t="shared" si="26"/>
        <v>APROBADO</v>
      </c>
      <c r="DP18" s="89" t="str">
        <f t="shared" si="27"/>
        <v>APROBADO</v>
      </c>
      <c r="DQ18" s="11">
        <f t="shared" si="28"/>
        <v>7</v>
      </c>
      <c r="DR18" s="89" t="str">
        <f t="shared" si="29"/>
        <v>APROBADO</v>
      </c>
      <c r="DS18" s="6" t="str">
        <f>+('3 Planilla Preadjudicación OTIC'!BP19)</f>
        <v>SI</v>
      </c>
      <c r="DT18" s="6">
        <f>IF(DR18="APROBADO",VLOOKUP(A18,'5 TD'!$D$3:$E$270,2,0),"NO APLICA")</f>
        <v>7</v>
      </c>
      <c r="DU18" s="6" t="str">
        <f t="shared" si="30"/>
        <v>SI</v>
      </c>
      <c r="DV18" s="6">
        <f>IF(DU18="SI",VLOOKUP(A18,'5 TD'!$G$3:$H$270,2,0),"NO APLICA ")</f>
        <v>7.0000000000000009</v>
      </c>
      <c r="DW18" s="6" t="str">
        <f t="shared" si="15"/>
        <v>SI</v>
      </c>
      <c r="DX18" s="6">
        <f>IF(DW18="SI",VLOOKUP(A18,'5 TD'!$J$4:$K$472,2,0),"NO APLICA")</f>
        <v>7</v>
      </c>
      <c r="DY18" s="6" t="str">
        <f t="shared" si="16"/>
        <v>SI</v>
      </c>
      <c r="DZ18" s="11">
        <f>IF(DY18="SI",VLOOKUP(A18,'5 TD'!$M$4:$N$350,2,0),"NO APLICA")</f>
        <v>7</v>
      </c>
      <c r="EA18" s="6" t="str">
        <f t="shared" si="17"/>
        <v>SI</v>
      </c>
      <c r="EB18" s="16">
        <f t="shared" si="18"/>
        <v>5075</v>
      </c>
      <c r="EC18" s="16">
        <f>IF(EA18="SI",VLOOKUP(A18,'5 TD'!$V$4:$W$479,2,0),"NO APLICA")</f>
        <v>5075</v>
      </c>
      <c r="ED18" s="6" t="str">
        <f t="shared" si="31"/>
        <v>SI</v>
      </c>
      <c r="EE18" s="83">
        <f>IF(ED18="SI",VLOOKUP(AI18,COMPORTAMIENTO!$A$1:$H$2100,7,0),"NO APLICA")</f>
        <v>0.16245487364620939</v>
      </c>
      <c r="EF18" s="16">
        <f>IF(ED18="SI",VLOOKUP(A18,'5 TD'!$P$2:$Q$479,2,0),"NO APLICA")</f>
        <v>0</v>
      </c>
      <c r="EG18" s="6" t="str">
        <f t="shared" si="32"/>
        <v>NO</v>
      </c>
      <c r="EH18" s="6">
        <f>IF(CZ18="no",0,VLOOKUP(AI18,EXPERIENCIA!$A$1:$C$2100,2,0))</f>
        <v>122</v>
      </c>
      <c r="EI18" s="6">
        <f>IF(CZ18="si",VLOOKUP(A18,'5 TD'!$S$3:$T$2103,2,0),0)</f>
        <v>125</v>
      </c>
      <c r="EJ18" s="6" t="str">
        <f t="shared" si="33"/>
        <v>NO</v>
      </c>
      <c r="EK18" s="6">
        <f>+('3 Planilla Preadjudicación OTIC'!BW19)</f>
        <v>0</v>
      </c>
      <c r="EL18" s="34" t="s">
        <v>2388</v>
      </c>
      <c r="EM18" s="7" t="s">
        <v>2397</v>
      </c>
    </row>
    <row r="19" spans="1:145" s="7" customFormat="1" x14ac:dyDescent="0.2">
      <c r="A19" s="6">
        <f>+('3 Planilla Preadjudicación OTIC'!A19)</f>
        <v>14280</v>
      </c>
      <c r="B19" s="6" t="str">
        <f>+('3 Planilla Preadjudicación OTIC'!B19)</f>
        <v>SOFOFA</v>
      </c>
      <c r="C19" s="8">
        <f>+('3 Planilla Preadjudicación OTIC'!E19)</f>
        <v>2025</v>
      </c>
      <c r="D19" s="8" t="str">
        <f>+('3 Planilla Preadjudicación OTIC'!F19)</f>
        <v>MANDATO</v>
      </c>
      <c r="E19" s="8" t="str">
        <f>+('3 Planilla Preadjudicación OTIC'!G19)</f>
        <v>65181652-1</v>
      </c>
      <c r="F19" s="8" t="str">
        <f>+('3 Planilla Preadjudicación OTIC'!H19)</f>
        <v>SOFOFA</v>
      </c>
      <c r="G19" s="8" t="str">
        <f>+('3 Planilla Preadjudicación OTIC'!I19)</f>
        <v>53333861-5</v>
      </c>
      <c r="H19" s="8" t="str">
        <f>+('3 Planilla Preadjudicación OTIC'!J19)</f>
        <v>FUNDACIÓN DE BENEFICENCIA PÚBLICA, CIENTÍFICA Y EDUCACIONAL TRES HOJAS</v>
      </c>
      <c r="I19" s="8" t="str">
        <f>+('3 Planilla Preadjudicación OTIC'!K19)</f>
        <v>INTEGRACIÓN DE COMPETENCIAS ESPECIALIZADAS DE PRODUCCIÓN LECHERA, EN LA FORMACIÓN DE TÉCNICOS AGROPECUARIOS.</v>
      </c>
      <c r="J19" s="8" t="str">
        <f>+('3 Planilla Preadjudicación OTIC'!L19)</f>
        <v>SIN PLAN FORMATIVO</v>
      </c>
      <c r="K19" s="8" t="str">
        <f>+('3 Planilla Preadjudicación OTIC'!M19)</f>
        <v>APRESTO LABORAL PARA EL TRABAJO</v>
      </c>
      <c r="L19" s="8" t="str">
        <f>+('3 Planilla Preadjudicación OTIC'!N19)</f>
        <v>PF0916</v>
      </c>
      <c r="M19" s="6">
        <f>+('3 Planilla Preadjudicación OTIC'!O19)</f>
        <v>10</v>
      </c>
      <c r="N19" s="8">
        <f>+('3 Planilla Preadjudicación OTIC'!P19)</f>
        <v>0</v>
      </c>
      <c r="O19" s="8" t="str">
        <f>+('3 Planilla Preadjudicación OTIC'!Q19)</f>
        <v>PUYEHUE</v>
      </c>
      <c r="P19" s="8" t="str">
        <f>+('3 Planilla Preadjudicación OTIC'!R19)</f>
        <v>ESTUDIANTES DE CUARTO AÑO DE ENSEÑANZA MEDIA O DE LICEOS TÉCNICOS PROFESIONALES.</v>
      </c>
      <c r="Q19" s="8" t="str">
        <f>+('3 Planilla Preadjudicación OTIC'!S19)</f>
        <v>PRESENCIAL</v>
      </c>
      <c r="R19" s="8" t="str">
        <f>+('3 Planilla Preadjudicación OTIC'!T19)</f>
        <v>DEPENDIENTE</v>
      </c>
      <c r="S19" s="8" t="str">
        <f>+('3 Planilla Preadjudicación OTIC'!U19)</f>
        <v>04. MARTES - MAÑANA</v>
      </c>
      <c r="T19" s="6">
        <f>+('3 Planilla Preadjudicación OTIC'!V19)</f>
        <v>20</v>
      </c>
      <c r="U19" s="6">
        <f>+('3 Planilla Preadjudicación OTIC'!W19)</f>
        <v>212</v>
      </c>
      <c r="V19" s="6">
        <f>+('3 Planilla Preadjudicación OTIC'!X19)</f>
        <v>12</v>
      </c>
      <c r="W19" s="6">
        <f>+('3 Planilla Preadjudicación OTIC'!Y19)</f>
        <v>224</v>
      </c>
      <c r="X19" s="6">
        <f>+('3 Planilla Preadjudicación OTIC'!Z19)</f>
        <v>8</v>
      </c>
      <c r="Y19" s="6" t="str">
        <f>+('3 Planilla Preadjudicación OTIC'!AA19)</f>
        <v>SI</v>
      </c>
      <c r="Z19" s="6" t="str">
        <f>+('3 Planilla Preadjudicación OTIC'!AB19)</f>
        <v>NO</v>
      </c>
      <c r="AA19" s="6" t="str">
        <f>+('3 Planilla Preadjudicación OTIC'!AC19)</f>
        <v>NO</v>
      </c>
      <c r="AB19" s="8" t="str">
        <f>+('3 Planilla Preadjudicación OTIC'!AD19)</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19" s="8" t="str">
        <f>+('3 Planilla Preadjudicación OTIC'!AE19)</f>
        <v>JÓVENES DE IV° MEDIO DE LICEO BICENTENARIO PEOPLE HELP PEOPLE PILMAIQUÉN (PUYEHUE).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19" s="6" t="str">
        <f>+('3 Planilla Preadjudicación OTIC'!AF19)</f>
        <v>NO</v>
      </c>
      <c r="AE19" s="8">
        <f>+('3 Planilla Preadjudicación OTIC'!AG19)</f>
        <v>0</v>
      </c>
      <c r="AF19" s="6" t="str">
        <f>+('3 Planilla Preadjudicación OTIC'!AH19)</f>
        <v>CERRADA</v>
      </c>
      <c r="AG19" s="6">
        <f>+('3 Planilla Preadjudicación OTIC'!AI19)</f>
        <v>28</v>
      </c>
      <c r="AH19" s="6">
        <f>+('3 Planilla Preadjudicación OTIC'!AJ19)</f>
        <v>3</v>
      </c>
      <c r="AI19" s="140" t="str">
        <f>+('3 Planilla Preadjudicación OTIC'!AK19)</f>
        <v>76962968-8</v>
      </c>
      <c r="AJ19" s="8" t="str">
        <f>+('3 Planilla Preadjudicación OTIC'!AL19)</f>
        <v>Centro de Capacitación Lechero del Sur</v>
      </c>
      <c r="AK19" s="6">
        <f>+('3 Planilla Preadjudicación OTIC'!AM19)</f>
        <v>224</v>
      </c>
      <c r="AL19" s="6">
        <f>+('3 Planilla Preadjudicación OTIC'!AN19)</f>
        <v>28</v>
      </c>
      <c r="AM19" s="16">
        <f>+('3 Planilla Preadjudicación OTIC'!AO19)</f>
        <v>7434</v>
      </c>
      <c r="AN19" s="16">
        <f>+('3 Planilla Preadjudicación OTIC'!AP19)</f>
        <v>0</v>
      </c>
      <c r="AO19" s="16">
        <f>+('3 Planilla Preadjudicación OTIC'!AQ19)</f>
        <v>0</v>
      </c>
      <c r="AP19" s="16">
        <f>+('3 Planilla Preadjudicación OTIC'!AR19)</f>
        <v>33304320</v>
      </c>
      <c r="AQ19" s="16">
        <f>+('3 Planilla Preadjudicación OTIC'!AS19)</f>
        <v>2240000</v>
      </c>
      <c r="AR19" s="16">
        <f>+('3 Planilla Preadjudicación OTIC'!AT19)</f>
        <v>0</v>
      </c>
      <c r="AS19" s="16">
        <f>+('3 Planilla Preadjudicación OTIC'!AU19)</f>
        <v>0</v>
      </c>
      <c r="AT19" s="16">
        <f>+('3 Planilla Preadjudicación OTIC'!AV19)</f>
        <v>0</v>
      </c>
      <c r="AU19" s="16">
        <f>+('3 Planilla Preadjudicación OTIC'!AW19)</f>
        <v>35544320</v>
      </c>
      <c r="AV19" s="158" t="str">
        <f>+('3 Planilla Preadjudicación OTIC'!AX19)</f>
        <v>SI</v>
      </c>
      <c r="AW19" s="8">
        <f>+('3 Planilla Preadjudicación OTIC'!AY19)</f>
        <v>0</v>
      </c>
      <c r="AX19" s="6">
        <f>+('3 Planilla Preadjudicación OTIC'!AZ19)</f>
        <v>1</v>
      </c>
      <c r="AY19" s="6">
        <f>+('3 Planilla Preadjudicación OTIC'!BA19)</f>
        <v>7</v>
      </c>
      <c r="AZ19" s="6">
        <f>+('3 Planilla Preadjudicación OTIC'!BB19)</f>
        <v>7</v>
      </c>
      <c r="BA19" s="6">
        <f>+('3 Planilla Preadjudicación OTIC'!BC19)</f>
        <v>7</v>
      </c>
      <c r="BB19" s="6">
        <f>+('3 Planilla Preadjudicación OTIC'!BD19)</f>
        <v>7</v>
      </c>
      <c r="BC19" s="6">
        <f>+('3 Planilla Preadjudicación OTIC'!BE19)</f>
        <v>7</v>
      </c>
      <c r="BD19" s="6">
        <f>+('3 Planilla Preadjudicación OTIC'!BF19)</f>
        <v>7</v>
      </c>
      <c r="BE19" s="6">
        <f>+('3 Planilla Preadjudicación OTIC'!BG19)</f>
        <v>7</v>
      </c>
      <c r="BF19" s="6">
        <f>+('3 Planilla Preadjudicación OTIC'!BH19)</f>
        <v>7</v>
      </c>
      <c r="BG19" s="6">
        <f>+('3 Planilla Preadjudicación OTIC'!BI19)</f>
        <v>7</v>
      </c>
      <c r="BH19" s="6">
        <f>+('3 Planilla Preadjudicación OTIC'!BJ19)</f>
        <v>7</v>
      </c>
      <c r="BI19" s="6">
        <f>+('3 Planilla Preadjudicación OTIC'!BK19)</f>
        <v>7</v>
      </c>
      <c r="BJ19" s="6">
        <f>+('3 Planilla Preadjudicación OTIC'!BL19)</f>
        <v>7</v>
      </c>
      <c r="BK19" s="6">
        <f>+('3 Planilla Preadjudicación OTIC'!BM19)</f>
        <v>7</v>
      </c>
      <c r="BL19" s="6">
        <f>+('3 Planilla Preadjudicación OTIC'!BN19)</f>
        <v>7</v>
      </c>
      <c r="BM19" s="108">
        <f>ROUND(('3 Planilla Preadjudicación OTIC'!BO19),1)</f>
        <v>6.4</v>
      </c>
      <c r="BN19" s="8" t="str">
        <f>+('3 Planilla Preadjudicación OTIC'!BP19)</f>
        <v>SI</v>
      </c>
      <c r="BO19" s="8" t="str">
        <f>+('3 Planilla Preadjudicación OTIC'!BQ19)</f>
        <v>SANDRA VIDAL JIMENES</v>
      </c>
      <c r="BP19" s="8" t="str">
        <f>+('3 Planilla Preadjudicación OTIC'!BR19)</f>
        <v>CONTACTO@CCLS.CL</v>
      </c>
      <c r="BQ19" s="8">
        <f>+('3 Planilla Preadjudicación OTIC'!BS19)</f>
        <v>941070603</v>
      </c>
      <c r="BR19" s="8" t="str">
        <f>+('3 Planilla Preadjudicación OTIC'!BT19)</f>
        <v>Ruta Internacional CH215, km 43 S/N – Puyehue, Puyehue</v>
      </c>
      <c r="BS19" s="8" t="str">
        <f>+('3 Planilla Preadjudicación OTIC'!BU19)</f>
        <v>Fortalecer las competencias técnicas de estudiantes agropecuarios en producción lechera, mediante la integración de conocimientos especializados, prácticas sustentables y bienestar animal, para mejorar su empleabilidad en el sector lácteo.</v>
      </c>
      <c r="BT19" s="8" t="str">
        <f>+('3 Planilla Preadjudicación OTIC'!BV19)</f>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v>
      </c>
      <c r="BU19" s="89">
        <f>IF(VLOOKUP(A19,'BD OFICIAL'!$A$1:$AL$2099,7,0)=D19,0,1)</f>
        <v>0</v>
      </c>
      <c r="BV19" s="89">
        <f>IF(VLOOKUP(A19,'BD OFICIAL'!$A$1:$AL$2099,11,0)=J19,0,1)</f>
        <v>0</v>
      </c>
      <c r="BW19" s="89">
        <f>IF(VLOOKUP(A19,'BD OFICIAL'!$A$1:$AL$2099,13,0)=L19,0,1)</f>
        <v>0</v>
      </c>
      <c r="BX19" s="6">
        <f>IF(VLOOKUP(A19,'BD OFICIAL'!$A$1:$AL$2099,16,0)=O19,0,1)</f>
        <v>0</v>
      </c>
      <c r="BY19" s="6">
        <f>IF(VLOOKUP(A19,'BD OFICIAL'!$A$1:$AL$2099,17,0)=P19,0,1)</f>
        <v>0</v>
      </c>
      <c r="BZ19" s="6">
        <f>IF(VLOOKUP(A19,'BD OFICIAL'!$A$1:$AL$2099,19,0)=R19,0,1)</f>
        <v>0</v>
      </c>
      <c r="CA19" s="6">
        <f>IF(VLOOKUP(A19,'BD OFICIAL'!$A$1:$AL$2099,21,0)=T19,0,1)</f>
        <v>0</v>
      </c>
      <c r="CB19" s="6">
        <f>IF(VLOOKUP(A19,'BD OFICIAL'!$A$1:$AL$2099,24,0)=AK19,0,1)</f>
        <v>0</v>
      </c>
      <c r="CC19" s="6">
        <f>IF(VLOOKUP(A19,'BD OFICIAL'!$A$1:$AL$2099,25,0)=X19,0,1)</f>
        <v>0</v>
      </c>
      <c r="CD19" s="6">
        <f>IF(VLOOKUP(A19,'BD OFICIAL'!$A$1:$AL$2099,26,0)=Y19,0,1)</f>
        <v>0</v>
      </c>
      <c r="CE19" s="6">
        <f>IF(VLOOKUP(A19,'BD OFICIAL'!$A$1:$AL$2099,27,0)=Z19,0,1)</f>
        <v>0</v>
      </c>
      <c r="CF19" s="6">
        <f>IF(VLOOKUP(A19,'BD OFICIAL'!$A$1:$AL$2099,28,0)=AA19,0,1)</f>
        <v>0</v>
      </c>
      <c r="CG19" s="6">
        <f>IF(VLOOKUP(A19,'BD OFICIAL'!$A$1:$AL$2099,33,0)=AF19,0,1)</f>
        <v>0</v>
      </c>
      <c r="CH19" s="6">
        <f>IF(VLOOKUP(A19,'BD OFICIAL'!$A$1:$AL$2099,35,0)=AH19,0,1)</f>
        <v>0</v>
      </c>
      <c r="CI19" s="89">
        <f>IF(VLOOKUP(A19,'BD OFICIAL'!$A$1:$AL$2099,34,0)=AL19,0,1)</f>
        <v>0</v>
      </c>
      <c r="CJ19" s="89">
        <f>VLOOKUP(A19,'BD OFICIAL'!$A$1:$AM$2099,36,0)*AM19-AP19</f>
        <v>0</v>
      </c>
      <c r="CK19" s="89" t="str">
        <f t="shared" si="0"/>
        <v>SSH</v>
      </c>
      <c r="CL19" s="89" t="str">
        <f t="shared" si="1"/>
        <v>NO</v>
      </c>
      <c r="CM19" s="89" t="str">
        <f t="shared" si="2"/>
        <v>SI</v>
      </c>
      <c r="CN19" s="35">
        <f t="shared" si="3"/>
        <v>0</v>
      </c>
      <c r="CO19" s="35">
        <f t="shared" si="19"/>
        <v>0</v>
      </c>
      <c r="CP19" s="35">
        <f t="shared" si="20"/>
        <v>0</v>
      </c>
      <c r="CQ19" s="35">
        <f>IF(VLOOKUP(A19,'BD OFICIAL'!$A:$AT,40,0)=AQ19,0,1)</f>
        <v>0</v>
      </c>
      <c r="CR19" s="35">
        <f>IF(VLOOKUP(A19,'BD OFICIAL'!$A:$AT,41,0)=AS19,0,1)</f>
        <v>0</v>
      </c>
      <c r="CS19" s="35">
        <f t="shared" si="21"/>
        <v>0</v>
      </c>
      <c r="CT19" s="35">
        <f t="shared" si="4"/>
        <v>0</v>
      </c>
      <c r="CU19" s="35">
        <f>IF(VLOOKUP(A19,'BD OFICIAL'!$A$1:$AL$1057,31,0)="SI",IF(AT19&gt;0,0,1),IF(AT19=0,0,1))</f>
        <v>0</v>
      </c>
      <c r="CV19" s="35">
        <f t="shared" si="5"/>
        <v>0</v>
      </c>
      <c r="CW19" s="35">
        <f t="shared" si="6"/>
        <v>0</v>
      </c>
      <c r="CX19" s="89" t="str">
        <f t="shared" si="7"/>
        <v>SI</v>
      </c>
      <c r="CY19" s="35">
        <f t="shared" si="8"/>
        <v>0</v>
      </c>
      <c r="CZ19" s="89" t="str">
        <f>IF(ISERROR(VLOOKUP(AI19,EXPERIENCIA!$A$1:$C$2100,1,0)),"NO","SI")</f>
        <v>NO</v>
      </c>
      <c r="DA19" s="89">
        <f>IF(CX19="no","NO APLICA",IF(AX19=0,"ERROR NOTA",IF(AND(AX19&gt;1,CZ19="NO"),"ERROR NOTA",IF(AND(CZ19="NO",AX19=1),0,IF(VLOOKUP(AI19,EXPERIENCIA!$A$1:$C$2100,3,0)=AX19,0,"ERROR NOTA")))))</f>
        <v>0</v>
      </c>
      <c r="DB19" s="89" t="str">
        <f>IF(ISERROR(VLOOKUP(AI19,COMPORTAMIENTO!$A$1:$C$2100,1,0)),"NO","SI")</f>
        <v>SI</v>
      </c>
      <c r="DC19" s="89">
        <f>IF(CX19="NO","NO APLICA",IF(AY19=0,"ERROR NOTA",IF(AND(DB19="NO",AY19=7),0,IF(VLOOKUP(AI19,COMPORTAMIENTO!$A$2:$H$2100,8,0)=AY19,0,"ERROR NOTA"))))</f>
        <v>0</v>
      </c>
      <c r="DD19" s="108">
        <f t="shared" si="9"/>
        <v>0.1</v>
      </c>
      <c r="DE19" s="108">
        <f t="shared" si="10"/>
        <v>0.70000000000000007</v>
      </c>
      <c r="DF19" s="89" t="str">
        <f t="shared" si="22"/>
        <v>NO</v>
      </c>
      <c r="DG19" s="89">
        <f t="shared" si="11"/>
        <v>7</v>
      </c>
      <c r="DH19" s="89">
        <f t="shared" si="12"/>
        <v>7</v>
      </c>
      <c r="DI19" s="89">
        <f t="shared" si="23"/>
        <v>7</v>
      </c>
      <c r="DJ19" s="16">
        <f t="shared" si="13"/>
        <v>7.0000000000000009</v>
      </c>
      <c r="DK19" s="11">
        <f t="shared" si="24"/>
        <v>7.0000000000000009</v>
      </c>
      <c r="DL19" s="16">
        <f t="shared" si="14"/>
        <v>7434</v>
      </c>
      <c r="DM19" s="16">
        <f>VLOOKUP(A19,'5 TD'!$A$3:$B$35,2,0)</f>
        <v>7434</v>
      </c>
      <c r="DN19" s="11">
        <f t="shared" si="25"/>
        <v>7</v>
      </c>
      <c r="DO19" s="89" t="str">
        <f t="shared" si="26"/>
        <v>APROBADO</v>
      </c>
      <c r="DP19" s="89" t="str">
        <f t="shared" si="27"/>
        <v>APROBADO</v>
      </c>
      <c r="DQ19" s="11">
        <f t="shared" si="28"/>
        <v>6.4</v>
      </c>
      <c r="DR19" s="89" t="str">
        <f t="shared" si="29"/>
        <v>APROBADO</v>
      </c>
      <c r="DS19" s="6" t="str">
        <f>+('3 Planilla Preadjudicación OTIC'!BP20)</f>
        <v>SI</v>
      </c>
      <c r="DT19" s="6">
        <f>IF(DR19="APROBADO",VLOOKUP(A19,'5 TD'!$D$3:$E$270,2,0),"NO APLICA")</f>
        <v>6.4</v>
      </c>
      <c r="DU19" s="6" t="str">
        <f t="shared" si="30"/>
        <v>SI</v>
      </c>
      <c r="DV19" s="6">
        <f>IF(DU19="SI",VLOOKUP(A19,'5 TD'!$G$3:$H$270,2,0),"NO APLICA ")</f>
        <v>7.0000000000000009</v>
      </c>
      <c r="DW19" s="6" t="str">
        <f t="shared" si="15"/>
        <v>SI</v>
      </c>
      <c r="DX19" s="6">
        <f>IF(DW19="SI",VLOOKUP(A19,'5 TD'!$J$4:$K$472,2,0),"NO APLICA")</f>
        <v>7</v>
      </c>
      <c r="DY19" s="6" t="str">
        <f t="shared" si="16"/>
        <v>SI</v>
      </c>
      <c r="DZ19" s="11">
        <f>IF(DY19="SI",VLOOKUP(A19,'5 TD'!$M$4:$N$350,2,0),"NO APLICA")</f>
        <v>1</v>
      </c>
      <c r="EA19" s="6" t="str">
        <f t="shared" si="17"/>
        <v>SI</v>
      </c>
      <c r="EB19" s="16">
        <f t="shared" si="18"/>
        <v>7434</v>
      </c>
      <c r="EC19" s="16">
        <f>IF(EA19="SI",VLOOKUP(A19,'5 TD'!$V$4:$W$479,2,0),"NO APLICA")</f>
        <v>7434</v>
      </c>
      <c r="ED19" s="6" t="str">
        <f t="shared" si="31"/>
        <v>SI</v>
      </c>
      <c r="EE19" s="83">
        <f>IF(ED19="SI",VLOOKUP(AI19,COMPORTAMIENTO!$A$1:$H$2100,7,0),"NO APLICA")</f>
        <v>0</v>
      </c>
      <c r="EF19" s="16">
        <f>IF(ED19="SI",VLOOKUP(A19,'5 TD'!$P$2:$Q$479,2,0),"NO APLICA")</f>
        <v>0</v>
      </c>
      <c r="EG19" s="6" t="str">
        <f t="shared" si="32"/>
        <v>SI</v>
      </c>
      <c r="EH19" s="6">
        <f>IF(CZ19="no",0,VLOOKUP(AI19,EXPERIENCIA!$A$1:$C$2100,2,0))</f>
        <v>0</v>
      </c>
      <c r="EI19" s="6">
        <f>IF(CZ19="si",VLOOKUP(A19,'5 TD'!$S$3:$T$2103,2,0),0)</f>
        <v>0</v>
      </c>
      <c r="EJ19" s="6" t="str">
        <f t="shared" si="33"/>
        <v>SI</v>
      </c>
      <c r="EK19" s="6">
        <f>+('3 Planilla Preadjudicación OTIC'!BW20)</f>
        <v>0</v>
      </c>
      <c r="EO19" s="209" t="s">
        <v>2387</v>
      </c>
    </row>
    <row r="20" spans="1:145" s="7" customFormat="1" x14ac:dyDescent="0.2">
      <c r="A20" s="6">
        <f>+('3 Planilla Preadjudicación OTIC'!A20)</f>
        <v>14283</v>
      </c>
      <c r="B20" s="6" t="str">
        <f>+('3 Planilla Preadjudicación OTIC'!B20)</f>
        <v>SOFOFA</v>
      </c>
      <c r="C20" s="8">
        <f>+('3 Planilla Preadjudicación OTIC'!E20)</f>
        <v>2025</v>
      </c>
      <c r="D20" s="8" t="str">
        <f>+('3 Planilla Preadjudicación OTIC'!F20)</f>
        <v>MANDATO</v>
      </c>
      <c r="E20" s="8" t="str">
        <f>+('3 Planilla Preadjudicación OTIC'!G20)</f>
        <v>65181652-1</v>
      </c>
      <c r="F20" s="8" t="str">
        <f>+('3 Planilla Preadjudicación OTIC'!H20)</f>
        <v>SOFOFA</v>
      </c>
      <c r="G20" s="8" t="str">
        <f>+('3 Planilla Preadjudicación OTIC'!I20)</f>
        <v>53333861-5</v>
      </c>
      <c r="H20" s="8" t="str">
        <f>+('3 Planilla Preadjudicación OTIC'!J20)</f>
        <v>FUNDACIÓN DE BENEFICENCIA PÚBLICA, CIENTÍFICA Y EDUCACIONAL TRES HOJAS</v>
      </c>
      <c r="I20" s="8" t="str">
        <f>+('3 Planilla Preadjudicación OTIC'!K20)</f>
        <v>INTEGRACIÓN DE COMPETENCIAS ESPECIALIZADAS DE PRODUCCIÓN LECHERA, EN LA FORMACIÓN DE TÉCNICOS AGROPECUARIOS.</v>
      </c>
      <c r="J20" s="8" t="str">
        <f>+('3 Planilla Preadjudicación OTIC'!L20)</f>
        <v>SIN PLAN FORMATIVO</v>
      </c>
      <c r="K20" s="8" t="str">
        <f>+('3 Planilla Preadjudicación OTIC'!M20)</f>
        <v>APRESTO LABORAL PARA EL TRABAJO</v>
      </c>
      <c r="L20" s="8" t="str">
        <f>+('3 Planilla Preadjudicación OTIC'!N20)</f>
        <v>PF0916</v>
      </c>
      <c r="M20" s="6">
        <f>+('3 Planilla Preadjudicación OTIC'!O20)</f>
        <v>10</v>
      </c>
      <c r="N20" s="8">
        <f>+('3 Planilla Preadjudicación OTIC'!P20)</f>
        <v>0</v>
      </c>
      <c r="O20" s="8" t="str">
        <f>+('3 Planilla Preadjudicación OTIC'!Q20)</f>
        <v>SAN PABLO</v>
      </c>
      <c r="P20" s="8" t="str">
        <f>+('3 Planilla Preadjudicación OTIC'!R20)</f>
        <v>ESTUDIANTES DE CUARTO AÑO DE ENSEÑANZA MEDIA O DE LICEOS TÉCNICOS PROFESIONALES.</v>
      </c>
      <c r="Q20" s="8" t="str">
        <f>+('3 Planilla Preadjudicación OTIC'!S20)</f>
        <v>PRESENCIAL</v>
      </c>
      <c r="R20" s="8" t="str">
        <f>+('3 Planilla Preadjudicación OTIC'!T20)</f>
        <v>DEPENDIENTE</v>
      </c>
      <c r="S20" s="8">
        <f>+('3 Planilla Preadjudicación OTIC'!U20)</f>
        <v>0</v>
      </c>
      <c r="T20" s="6">
        <f>+('3 Planilla Preadjudicación OTIC'!V20)</f>
        <v>20</v>
      </c>
      <c r="U20" s="6">
        <f>+('3 Planilla Preadjudicación OTIC'!W20)</f>
        <v>212</v>
      </c>
      <c r="V20" s="6">
        <f>+('3 Planilla Preadjudicación OTIC'!X20)</f>
        <v>12</v>
      </c>
      <c r="W20" s="6">
        <f>+('3 Planilla Preadjudicación OTIC'!Y20)</f>
        <v>224</v>
      </c>
      <c r="X20" s="6">
        <f>+('3 Planilla Preadjudicación OTIC'!Z20)</f>
        <v>8</v>
      </c>
      <c r="Y20" s="6" t="str">
        <f>+('3 Planilla Preadjudicación OTIC'!AA20)</f>
        <v>SI</v>
      </c>
      <c r="Z20" s="6" t="str">
        <f>+('3 Planilla Preadjudicación OTIC'!AB20)</f>
        <v>NO</v>
      </c>
      <c r="AA20" s="6" t="str">
        <f>+('3 Planilla Preadjudicación OTIC'!AC20)</f>
        <v>NO</v>
      </c>
      <c r="AB20" s="8" t="str">
        <f>+('3 Planilla Preadjudicación OTIC'!AD20)</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20" s="8" t="str">
        <f>+('3 Planilla Preadjudicación OTIC'!AE20)</f>
        <v>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20" s="6" t="str">
        <f>+('3 Planilla Preadjudicación OTIC'!AF20)</f>
        <v>NO</v>
      </c>
      <c r="AE20" s="8">
        <f>+('3 Planilla Preadjudicación OTIC'!AG20)</f>
        <v>0</v>
      </c>
      <c r="AF20" s="6" t="str">
        <f>+('3 Planilla Preadjudicación OTIC'!AH20)</f>
        <v>CERRADA</v>
      </c>
      <c r="AG20" s="6">
        <f>+('3 Planilla Preadjudicación OTIC'!AI20)</f>
        <v>28</v>
      </c>
      <c r="AH20" s="6">
        <f>+('3 Planilla Preadjudicación OTIC'!AJ20)</f>
        <v>3</v>
      </c>
      <c r="AI20" s="140" t="str">
        <f>+('3 Planilla Preadjudicación OTIC'!AK20)</f>
        <v>76962968-8</v>
      </c>
      <c r="AJ20" s="8" t="str">
        <f>+('3 Planilla Preadjudicación OTIC'!AL20)</f>
        <v>Centro de Capacitación Lechero del Sur</v>
      </c>
      <c r="AK20" s="6">
        <f>+('3 Planilla Preadjudicación OTIC'!AM20)</f>
        <v>224</v>
      </c>
      <c r="AL20" s="6">
        <f>+('3 Planilla Preadjudicación OTIC'!AN20)</f>
        <v>28</v>
      </c>
      <c r="AM20" s="16">
        <f>+('3 Planilla Preadjudicación OTIC'!AO20)</f>
        <v>7434</v>
      </c>
      <c r="AN20" s="16">
        <f>+('3 Planilla Preadjudicación OTIC'!AP20)</f>
        <v>0</v>
      </c>
      <c r="AO20" s="16">
        <f>+('3 Planilla Preadjudicación OTIC'!AQ20)</f>
        <v>0</v>
      </c>
      <c r="AP20" s="16">
        <f>+('3 Planilla Preadjudicación OTIC'!AR20)</f>
        <v>33304320</v>
      </c>
      <c r="AQ20" s="16">
        <f>+('3 Planilla Preadjudicación OTIC'!AS20)</f>
        <v>2240000</v>
      </c>
      <c r="AR20" s="16">
        <f>+('3 Planilla Preadjudicación OTIC'!AT20)</f>
        <v>0</v>
      </c>
      <c r="AS20" s="16">
        <f>+('3 Planilla Preadjudicación OTIC'!AU20)</f>
        <v>0</v>
      </c>
      <c r="AT20" s="16">
        <f>+('3 Planilla Preadjudicación OTIC'!AV20)</f>
        <v>0</v>
      </c>
      <c r="AU20" s="16">
        <f>+('3 Planilla Preadjudicación OTIC'!AW20)</f>
        <v>35544320</v>
      </c>
      <c r="AV20" s="158" t="str">
        <f>+('3 Planilla Preadjudicación OTIC'!AX20)</f>
        <v>SI</v>
      </c>
      <c r="AW20" s="8">
        <f>+('3 Planilla Preadjudicación OTIC'!AY20)</f>
        <v>0</v>
      </c>
      <c r="AX20" s="6">
        <f>+('3 Planilla Preadjudicación OTIC'!AZ20)</f>
        <v>1</v>
      </c>
      <c r="AY20" s="6">
        <f>+('3 Planilla Preadjudicación OTIC'!BA20)</f>
        <v>7</v>
      </c>
      <c r="AZ20" s="6">
        <f>+('3 Planilla Preadjudicación OTIC'!BB20)</f>
        <v>7</v>
      </c>
      <c r="BA20" s="6">
        <f>+('3 Planilla Preadjudicación OTIC'!BC20)</f>
        <v>7</v>
      </c>
      <c r="BB20" s="6">
        <f>+('3 Planilla Preadjudicación OTIC'!BD20)</f>
        <v>7</v>
      </c>
      <c r="BC20" s="6">
        <f>+('3 Planilla Preadjudicación OTIC'!BE20)</f>
        <v>7</v>
      </c>
      <c r="BD20" s="6">
        <f>+('3 Planilla Preadjudicación OTIC'!BF20)</f>
        <v>7</v>
      </c>
      <c r="BE20" s="6">
        <f>+('3 Planilla Preadjudicación OTIC'!BG20)</f>
        <v>7</v>
      </c>
      <c r="BF20" s="6">
        <f>+('3 Planilla Preadjudicación OTIC'!BH20)</f>
        <v>7</v>
      </c>
      <c r="BG20" s="6">
        <f>+('3 Planilla Preadjudicación OTIC'!BI20)</f>
        <v>7</v>
      </c>
      <c r="BH20" s="6">
        <f>+('3 Planilla Preadjudicación OTIC'!BJ20)</f>
        <v>7</v>
      </c>
      <c r="BI20" s="6">
        <f>+('3 Planilla Preadjudicación OTIC'!BK20)</f>
        <v>7</v>
      </c>
      <c r="BJ20" s="6">
        <f>+('3 Planilla Preadjudicación OTIC'!BL20)</f>
        <v>7</v>
      </c>
      <c r="BK20" s="6">
        <f>+('3 Planilla Preadjudicación OTIC'!BM20)</f>
        <v>7</v>
      </c>
      <c r="BL20" s="6">
        <f>+('3 Planilla Preadjudicación OTIC'!BN20)</f>
        <v>7</v>
      </c>
      <c r="BM20" s="108">
        <f>ROUND(('3 Planilla Preadjudicación OTIC'!BO20),1)</f>
        <v>6.4</v>
      </c>
      <c r="BN20" s="8" t="str">
        <f>+('3 Planilla Preadjudicación OTIC'!BP20)</f>
        <v>SI</v>
      </c>
      <c r="BO20" s="8" t="str">
        <f>+('3 Planilla Preadjudicación OTIC'!BQ20)</f>
        <v>SANDRA VIDAL JIMENES</v>
      </c>
      <c r="BP20" s="8" t="str">
        <f>+('3 Planilla Preadjudicación OTIC'!BR20)</f>
        <v>CONTACTO@CCLS.CL</v>
      </c>
      <c r="BQ20" s="8">
        <f>+('3 Planilla Preadjudicación OTIC'!BS20)</f>
        <v>941070603</v>
      </c>
      <c r="BR20" s="8" t="str">
        <f>+('3 Planilla Preadjudicación OTIC'!BT20)</f>
        <v>Camino a Mision Quilacahuin, Liceo Quilacahuin San Pablo, Los Lagos, San Pablo</v>
      </c>
      <c r="BS20" s="8" t="str">
        <f>+('3 Planilla Preadjudicación OTIC'!BU20)</f>
        <v>Fortalecer las competencias técnicas de estudiantes agropecuarios en producción lechera, mediante la integración de conocimientos especializados, prácticas sustentables y bienestar animal, para mejorar su empleabilidad en el sector lácteo.</v>
      </c>
      <c r="BT20" s="8" t="str">
        <f>+('3 Planilla Preadjudicación OTIC'!BV20)</f>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v>
      </c>
      <c r="BU20" s="89">
        <f>IF(VLOOKUP(A20,'BD OFICIAL'!$A$1:$AL$2099,7,0)=D20,0,1)</f>
        <v>0</v>
      </c>
      <c r="BV20" s="89">
        <f>IF(VLOOKUP(A20,'BD OFICIAL'!$A$1:$AL$2099,11,0)=J20,0,1)</f>
        <v>0</v>
      </c>
      <c r="BW20" s="89">
        <f>IF(VLOOKUP(A20,'BD OFICIAL'!$A$1:$AL$2099,13,0)=L20,0,1)</f>
        <v>0</v>
      </c>
      <c r="BX20" s="6">
        <f>IF(VLOOKUP(A20,'BD OFICIAL'!$A$1:$AL$2099,16,0)=O20,0,1)</f>
        <v>0</v>
      </c>
      <c r="BY20" s="6">
        <f>IF(VLOOKUP(A20,'BD OFICIAL'!$A$1:$AL$2099,17,0)=P20,0,1)</f>
        <v>0</v>
      </c>
      <c r="BZ20" s="6">
        <f>IF(VLOOKUP(A20,'BD OFICIAL'!$A$1:$AL$2099,19,0)=R20,0,1)</f>
        <v>0</v>
      </c>
      <c r="CA20" s="6">
        <f>IF(VLOOKUP(A20,'BD OFICIAL'!$A$1:$AL$2099,21,0)=T20,0,1)</f>
        <v>0</v>
      </c>
      <c r="CB20" s="6">
        <f>IF(VLOOKUP(A20,'BD OFICIAL'!$A$1:$AL$2099,24,0)=AK20,0,1)</f>
        <v>0</v>
      </c>
      <c r="CC20" s="6">
        <f>IF(VLOOKUP(A20,'BD OFICIAL'!$A$1:$AL$2099,25,0)=X20,0,1)</f>
        <v>0</v>
      </c>
      <c r="CD20" s="6">
        <f>IF(VLOOKUP(A20,'BD OFICIAL'!$A$1:$AL$2099,26,0)=Y20,0,1)</f>
        <v>0</v>
      </c>
      <c r="CE20" s="6">
        <f>IF(VLOOKUP(A20,'BD OFICIAL'!$A$1:$AL$2099,27,0)=Z20,0,1)</f>
        <v>0</v>
      </c>
      <c r="CF20" s="6">
        <f>IF(VLOOKUP(A20,'BD OFICIAL'!$A$1:$AL$2099,28,0)=AA20,0,1)</f>
        <v>0</v>
      </c>
      <c r="CG20" s="6">
        <f>IF(VLOOKUP(A20,'BD OFICIAL'!$A$1:$AL$2099,33,0)=AF20,0,1)</f>
        <v>0</v>
      </c>
      <c r="CH20" s="6">
        <f>IF(VLOOKUP(A20,'BD OFICIAL'!$A$1:$AL$2099,35,0)=AH20,0,1)</f>
        <v>0</v>
      </c>
      <c r="CI20" s="89">
        <f>IF(VLOOKUP(A20,'BD OFICIAL'!$A$1:$AL$2099,34,0)=AL20,0,1)</f>
        <v>0</v>
      </c>
      <c r="CJ20" s="89">
        <f>VLOOKUP(A20,'BD OFICIAL'!$A$1:$AM$2099,36,0)*AM20-AP20</f>
        <v>0</v>
      </c>
      <c r="CK20" s="89" t="str">
        <f t="shared" si="0"/>
        <v>SSH</v>
      </c>
      <c r="CL20" s="89" t="str">
        <f t="shared" si="1"/>
        <v>NO</v>
      </c>
      <c r="CM20" s="89" t="str">
        <f t="shared" si="2"/>
        <v>SI</v>
      </c>
      <c r="CN20" s="35">
        <f t="shared" si="3"/>
        <v>0</v>
      </c>
      <c r="CO20" s="35">
        <f t="shared" si="19"/>
        <v>0</v>
      </c>
      <c r="CP20" s="35">
        <f t="shared" si="20"/>
        <v>0</v>
      </c>
      <c r="CQ20" s="35">
        <f>IF(VLOOKUP(A20,'BD OFICIAL'!$A:$AT,40,0)=AQ20,0,1)</f>
        <v>0</v>
      </c>
      <c r="CR20" s="35">
        <f>IF(VLOOKUP(A20,'BD OFICIAL'!$A:$AT,41,0)=AS20,0,1)</f>
        <v>0</v>
      </c>
      <c r="CS20" s="35">
        <f t="shared" si="21"/>
        <v>0</v>
      </c>
      <c r="CT20" s="35">
        <f t="shared" si="4"/>
        <v>0</v>
      </c>
      <c r="CU20" s="35">
        <f>IF(VLOOKUP(A20,'BD OFICIAL'!$A$1:$AL$1057,31,0)="SI",IF(AT20&gt;0,0,1),IF(AT20=0,0,1))</f>
        <v>0</v>
      </c>
      <c r="CV20" s="35">
        <f t="shared" si="5"/>
        <v>0</v>
      </c>
      <c r="CW20" s="35">
        <f t="shared" si="6"/>
        <v>0</v>
      </c>
      <c r="CX20" s="89" t="str">
        <f t="shared" si="7"/>
        <v>SI</v>
      </c>
      <c r="CY20" s="35">
        <f t="shared" si="8"/>
        <v>0</v>
      </c>
      <c r="CZ20" s="89" t="str">
        <f>IF(ISERROR(VLOOKUP(AI20,EXPERIENCIA!$A$1:$C$2100,1,0)),"NO","SI")</f>
        <v>NO</v>
      </c>
      <c r="DA20" s="89">
        <f>IF(CX20="no","NO APLICA",IF(AX20=0,"ERROR NOTA",IF(AND(AX20&gt;1,CZ20="NO"),"ERROR NOTA",IF(AND(CZ20="NO",AX20=1),0,IF(VLOOKUP(AI20,EXPERIENCIA!$A$1:$C$2100,3,0)=AX20,0,"ERROR NOTA")))))</f>
        <v>0</v>
      </c>
      <c r="DB20" s="89" t="str">
        <f>IF(ISERROR(VLOOKUP(AI20,COMPORTAMIENTO!$A$1:$C$2100,1,0)),"NO","SI")</f>
        <v>SI</v>
      </c>
      <c r="DC20" s="89">
        <f>IF(CX20="NO","NO APLICA",IF(AY20=0,"ERROR NOTA",IF(AND(DB20="NO",AY20=7),0,IF(VLOOKUP(AI20,COMPORTAMIENTO!$A$2:$H$2100,8,0)=AY20,0,"ERROR NOTA"))))</f>
        <v>0</v>
      </c>
      <c r="DD20" s="108">
        <f t="shared" si="9"/>
        <v>0.1</v>
      </c>
      <c r="DE20" s="108">
        <f t="shared" si="10"/>
        <v>0.70000000000000007</v>
      </c>
      <c r="DF20" s="89" t="str">
        <f t="shared" si="22"/>
        <v>NO</v>
      </c>
      <c r="DG20" s="89">
        <f t="shared" si="11"/>
        <v>7</v>
      </c>
      <c r="DH20" s="89">
        <f t="shared" si="12"/>
        <v>7</v>
      </c>
      <c r="DI20" s="89">
        <f t="shared" si="23"/>
        <v>7</v>
      </c>
      <c r="DJ20" s="16">
        <f t="shared" si="13"/>
        <v>7.0000000000000009</v>
      </c>
      <c r="DK20" s="11">
        <f t="shared" si="24"/>
        <v>7.0000000000000009</v>
      </c>
      <c r="DL20" s="16">
        <f t="shared" si="14"/>
        <v>7434</v>
      </c>
      <c r="DM20" s="16">
        <f>VLOOKUP(A20,'5 TD'!$A$3:$B$35,2,0)</f>
        <v>7434</v>
      </c>
      <c r="DN20" s="11">
        <f t="shared" si="25"/>
        <v>7</v>
      </c>
      <c r="DO20" s="89" t="str">
        <f t="shared" si="26"/>
        <v>APROBADO</v>
      </c>
      <c r="DP20" s="89" t="str">
        <f t="shared" si="27"/>
        <v>APROBADO</v>
      </c>
      <c r="DQ20" s="11">
        <f t="shared" si="28"/>
        <v>6.4</v>
      </c>
      <c r="DR20" s="89" t="str">
        <f t="shared" si="29"/>
        <v>APROBADO</v>
      </c>
      <c r="DS20" s="6" t="str">
        <f>+('3 Planilla Preadjudicación OTIC'!BP21)</f>
        <v>SI</v>
      </c>
      <c r="DT20" s="6">
        <f>IF(DR20="APROBADO",VLOOKUP(A20,'5 TD'!$D$3:$E$270,2,0),"NO APLICA")</f>
        <v>6.4</v>
      </c>
      <c r="DU20" s="6" t="str">
        <f t="shared" si="30"/>
        <v>SI</v>
      </c>
      <c r="DV20" s="6">
        <f>IF(DU20="SI",VLOOKUP(A20,'5 TD'!$G$3:$H$270,2,0),"NO APLICA ")</f>
        <v>7.0000000000000009</v>
      </c>
      <c r="DW20" s="6" t="str">
        <f t="shared" si="15"/>
        <v>SI</v>
      </c>
      <c r="DX20" s="6">
        <f>IF(DW20="SI",VLOOKUP(A20,'5 TD'!$J$4:$K$472,2,0),"NO APLICA")</f>
        <v>7</v>
      </c>
      <c r="DY20" s="6" t="str">
        <f t="shared" si="16"/>
        <v>SI</v>
      </c>
      <c r="DZ20" s="11">
        <f>IF(DY20="SI",VLOOKUP(A20,'5 TD'!$M$4:$N$350,2,0),"NO APLICA")</f>
        <v>1</v>
      </c>
      <c r="EA20" s="6" t="str">
        <f t="shared" si="17"/>
        <v>SI</v>
      </c>
      <c r="EB20" s="16">
        <f t="shared" si="18"/>
        <v>7434</v>
      </c>
      <c r="EC20" s="16">
        <f>IF(EA20="SI",VLOOKUP(A20,'5 TD'!$V$4:$W$479,2,0),"NO APLICA")</f>
        <v>7434</v>
      </c>
      <c r="ED20" s="6" t="str">
        <f t="shared" si="31"/>
        <v>SI</v>
      </c>
      <c r="EE20" s="83">
        <f>IF(ED20="SI",VLOOKUP(AI20,COMPORTAMIENTO!$A$1:$H$2100,7,0),"NO APLICA")</f>
        <v>0</v>
      </c>
      <c r="EF20" s="16">
        <f>IF(ED20="SI",VLOOKUP(A20,'5 TD'!$P$2:$Q$479,2,0),"NO APLICA")</f>
        <v>0</v>
      </c>
      <c r="EG20" s="6" t="str">
        <f t="shared" si="32"/>
        <v>SI</v>
      </c>
      <c r="EH20" s="6">
        <f>IF(CZ20="no",0,VLOOKUP(AI20,EXPERIENCIA!$A$1:$C$2100,2,0))</f>
        <v>0</v>
      </c>
      <c r="EI20" s="6">
        <f>IF(CZ20="si",VLOOKUP(A20,'5 TD'!$S$3:$T$2103,2,0),0)</f>
        <v>0</v>
      </c>
      <c r="EJ20" s="6" t="str">
        <f t="shared" si="33"/>
        <v>SI</v>
      </c>
      <c r="EK20" s="6">
        <f>+('3 Planilla Preadjudicación OTIC'!BW21)</f>
        <v>0</v>
      </c>
      <c r="EO20" s="209" t="s">
        <v>2387</v>
      </c>
    </row>
    <row r="21" spans="1:145" s="7" customFormat="1" x14ac:dyDescent="0.2">
      <c r="A21" s="6">
        <f>+('3 Planilla Preadjudicación OTIC'!A21)</f>
        <v>14281</v>
      </c>
      <c r="B21" s="6" t="str">
        <f>+('3 Planilla Preadjudicación OTIC'!B21)</f>
        <v>SOFOFA</v>
      </c>
      <c r="C21" s="8">
        <f>+('3 Planilla Preadjudicación OTIC'!E21)</f>
        <v>2025</v>
      </c>
      <c r="D21" s="8" t="str">
        <f>+('3 Planilla Preadjudicación OTIC'!F21)</f>
        <v>MANDATO</v>
      </c>
      <c r="E21" s="8" t="str">
        <f>+('3 Planilla Preadjudicación OTIC'!G21)</f>
        <v>65181652-1</v>
      </c>
      <c r="F21" s="8" t="str">
        <f>+('3 Planilla Preadjudicación OTIC'!H21)</f>
        <v>SOFOFA</v>
      </c>
      <c r="G21" s="8" t="str">
        <f>+('3 Planilla Preadjudicación OTIC'!I21)</f>
        <v>53333861-5</v>
      </c>
      <c r="H21" s="8" t="str">
        <f>+('3 Planilla Preadjudicación OTIC'!J21)</f>
        <v>FUNDACIÓN DE BENEFICENCIA PÚBLICA, CIENTÍFICA Y EDUCACIONAL TRES HOJAS</v>
      </c>
      <c r="I21" s="8" t="str">
        <f>+('3 Planilla Preadjudicación OTIC'!K21)</f>
        <v>INTEGRACIÓN DE COMPETENCIAS ESPECIALIZADAS DE PRODUCCIÓN LECHERA, EN LA FORMACIÓN DE TÉCNICOS AGROPECUARIOS.</v>
      </c>
      <c r="J21" s="8" t="str">
        <f>+('3 Planilla Preadjudicación OTIC'!L21)</f>
        <v>SIN PLAN FORMATIVO</v>
      </c>
      <c r="K21" s="8" t="str">
        <f>+('3 Planilla Preadjudicación OTIC'!M21)</f>
        <v>APRESTO LABORAL PARA EL TRABAJO</v>
      </c>
      <c r="L21" s="8" t="str">
        <f>+('3 Planilla Preadjudicación OTIC'!N21)</f>
        <v>PF0916</v>
      </c>
      <c r="M21" s="6">
        <f>+('3 Planilla Preadjudicación OTIC'!O21)</f>
        <v>10</v>
      </c>
      <c r="N21" s="8">
        <f>+('3 Planilla Preadjudicación OTIC'!P21)</f>
        <v>0</v>
      </c>
      <c r="O21" s="8" t="str">
        <f>+('3 Planilla Preadjudicación OTIC'!Q21)</f>
        <v>OSORNO</v>
      </c>
      <c r="P21" s="8" t="str">
        <f>+('3 Planilla Preadjudicación OTIC'!R21)</f>
        <v>ESTUDIANTES DE CUARTO AÑO DE ENSEÑANZA MEDIA O DE LICEOS TÉCNICOS PROFESIONALES.</v>
      </c>
      <c r="Q21" s="8" t="str">
        <f>+('3 Planilla Preadjudicación OTIC'!S21)</f>
        <v>PRESENCIAL</v>
      </c>
      <c r="R21" s="8" t="str">
        <f>+('3 Planilla Preadjudicación OTIC'!T21)</f>
        <v>DEPENDIENTE</v>
      </c>
      <c r="S21" s="8" t="str">
        <f>+('3 Planilla Preadjudicación OTIC'!U21)</f>
        <v>07. MIÉRCOLES - MAÑANA</v>
      </c>
      <c r="T21" s="6">
        <f>+('3 Planilla Preadjudicación OTIC'!V21)</f>
        <v>20</v>
      </c>
      <c r="U21" s="6">
        <f>+('3 Planilla Preadjudicación OTIC'!W21)</f>
        <v>212</v>
      </c>
      <c r="V21" s="6">
        <f>+('3 Planilla Preadjudicación OTIC'!X21)</f>
        <v>12</v>
      </c>
      <c r="W21" s="6">
        <f>+('3 Planilla Preadjudicación OTIC'!Y21)</f>
        <v>224</v>
      </c>
      <c r="X21" s="6">
        <f>+('3 Planilla Preadjudicación OTIC'!Z21)</f>
        <v>8</v>
      </c>
      <c r="Y21" s="6" t="str">
        <f>+('3 Planilla Preadjudicación OTIC'!AA21)</f>
        <v>SI</v>
      </c>
      <c r="Z21" s="6" t="str">
        <f>+('3 Planilla Preadjudicación OTIC'!AB21)</f>
        <v>NO</v>
      </c>
      <c r="AA21" s="6" t="str">
        <f>+('3 Planilla Preadjudicación OTIC'!AC21)</f>
        <v>NO</v>
      </c>
      <c r="AB21" s="8" t="str">
        <f>+('3 Planilla Preadjudicación OTIC'!AD21)</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21" s="8" t="str">
        <f>+('3 Planilla Preadjudicación OTIC'!AE21)</f>
        <v>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21" s="6" t="str">
        <f>+('3 Planilla Preadjudicación OTIC'!AF21)</f>
        <v>NO</v>
      </c>
      <c r="AE21" s="8">
        <f>+('3 Planilla Preadjudicación OTIC'!AG21)</f>
        <v>0</v>
      </c>
      <c r="AF21" s="6" t="str">
        <f>+('3 Planilla Preadjudicación OTIC'!AH21)</f>
        <v>CERRADA</v>
      </c>
      <c r="AG21" s="6">
        <f>+('3 Planilla Preadjudicación OTIC'!AI21)</f>
        <v>28</v>
      </c>
      <c r="AH21" s="6">
        <f>+('3 Planilla Preadjudicación OTIC'!AJ21)</f>
        <v>3</v>
      </c>
      <c r="AI21" s="140" t="str">
        <f>+('3 Planilla Preadjudicación OTIC'!AK21)</f>
        <v>76962968-8</v>
      </c>
      <c r="AJ21" s="8" t="str">
        <f>+('3 Planilla Preadjudicación OTIC'!AL21)</f>
        <v>Centro de Capacitación Lechero del Sur</v>
      </c>
      <c r="AK21" s="6">
        <f>+('3 Planilla Preadjudicación OTIC'!AM21)</f>
        <v>224</v>
      </c>
      <c r="AL21" s="6">
        <f>+('3 Planilla Preadjudicación OTIC'!AN21)</f>
        <v>28</v>
      </c>
      <c r="AM21" s="16">
        <f>+('3 Planilla Preadjudicación OTIC'!AO21)</f>
        <v>7434</v>
      </c>
      <c r="AN21" s="16">
        <f>+('3 Planilla Preadjudicación OTIC'!AP21)</f>
        <v>0</v>
      </c>
      <c r="AO21" s="16">
        <f>+('3 Planilla Preadjudicación OTIC'!AQ21)</f>
        <v>0</v>
      </c>
      <c r="AP21" s="16">
        <f>+('3 Planilla Preadjudicación OTIC'!AR21)</f>
        <v>33304320</v>
      </c>
      <c r="AQ21" s="16">
        <f>+('3 Planilla Preadjudicación OTIC'!AS21)</f>
        <v>2240000</v>
      </c>
      <c r="AR21" s="16">
        <f>+('3 Planilla Preadjudicación OTIC'!AT21)</f>
        <v>0</v>
      </c>
      <c r="AS21" s="16">
        <f>+('3 Planilla Preadjudicación OTIC'!AU21)</f>
        <v>0</v>
      </c>
      <c r="AT21" s="16">
        <f>+('3 Planilla Preadjudicación OTIC'!AV21)</f>
        <v>0</v>
      </c>
      <c r="AU21" s="16">
        <f>+('3 Planilla Preadjudicación OTIC'!AW21)</f>
        <v>35544320</v>
      </c>
      <c r="AV21" s="158" t="str">
        <f>+('3 Planilla Preadjudicación OTIC'!AX21)</f>
        <v>SI</v>
      </c>
      <c r="AW21" s="8">
        <f>+('3 Planilla Preadjudicación OTIC'!AY21)</f>
        <v>0</v>
      </c>
      <c r="AX21" s="6">
        <f>+('3 Planilla Preadjudicación OTIC'!AZ21)</f>
        <v>1</v>
      </c>
      <c r="AY21" s="6">
        <f>+('3 Planilla Preadjudicación OTIC'!BA21)</f>
        <v>7</v>
      </c>
      <c r="AZ21" s="6">
        <f>+('3 Planilla Preadjudicación OTIC'!BB21)</f>
        <v>7</v>
      </c>
      <c r="BA21" s="6">
        <f>+('3 Planilla Preadjudicación OTIC'!BC21)</f>
        <v>7</v>
      </c>
      <c r="BB21" s="6">
        <f>+('3 Planilla Preadjudicación OTIC'!BD21)</f>
        <v>7</v>
      </c>
      <c r="BC21" s="6">
        <f>+('3 Planilla Preadjudicación OTIC'!BE21)</f>
        <v>7</v>
      </c>
      <c r="BD21" s="6">
        <f>+('3 Planilla Preadjudicación OTIC'!BF21)</f>
        <v>7</v>
      </c>
      <c r="BE21" s="6">
        <f>+('3 Planilla Preadjudicación OTIC'!BG21)</f>
        <v>7</v>
      </c>
      <c r="BF21" s="6">
        <f>+('3 Planilla Preadjudicación OTIC'!BH21)</f>
        <v>7</v>
      </c>
      <c r="BG21" s="6">
        <f>+('3 Planilla Preadjudicación OTIC'!BI21)</f>
        <v>7</v>
      </c>
      <c r="BH21" s="6">
        <f>+('3 Planilla Preadjudicación OTIC'!BJ21)</f>
        <v>7</v>
      </c>
      <c r="BI21" s="6">
        <f>+('3 Planilla Preadjudicación OTIC'!BK21)</f>
        <v>7</v>
      </c>
      <c r="BJ21" s="6">
        <f>+('3 Planilla Preadjudicación OTIC'!BL21)</f>
        <v>7</v>
      </c>
      <c r="BK21" s="6">
        <f>+('3 Planilla Preadjudicación OTIC'!BM21)</f>
        <v>7</v>
      </c>
      <c r="BL21" s="6">
        <f>+('3 Planilla Preadjudicación OTIC'!BN21)</f>
        <v>7</v>
      </c>
      <c r="BM21" s="108">
        <f>ROUND(('3 Planilla Preadjudicación OTIC'!BO21),1)</f>
        <v>6.4</v>
      </c>
      <c r="BN21" s="8" t="str">
        <f>+('3 Planilla Preadjudicación OTIC'!BP21)</f>
        <v>SI</v>
      </c>
      <c r="BO21" s="8" t="str">
        <f>+('3 Planilla Preadjudicación OTIC'!BQ21)</f>
        <v>SANDRA VIDAL JIMENES</v>
      </c>
      <c r="BP21" s="8" t="str">
        <f>+('3 Planilla Preadjudicación OTIC'!BR21)</f>
        <v>CONTACTO@CCLS.CL</v>
      </c>
      <c r="BQ21" s="8">
        <f>+('3 Planilla Preadjudicación OTIC'!BS21)</f>
        <v>941070603</v>
      </c>
      <c r="BR21" s="8" t="str">
        <f>+('3 Planilla Preadjudicación OTIC'!BT21)</f>
        <v>Av. René Soriano 2615, Osorno, Los Lagos, Osorno</v>
      </c>
      <c r="BS21" s="8" t="str">
        <f>+('3 Planilla Preadjudicación OTIC'!BU21)</f>
        <v>Fortalecer las competencias técnicas de estudiantes agropecuarios en producción lechera, mediante la integración de conocimientos especializados, prácticas sustentables y bienestar animal, para mejorar su empleabilidad en el sector lácteo.</v>
      </c>
      <c r="BT21" s="8" t="str">
        <f>+('3 Planilla Preadjudicación OTIC'!BV21)</f>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v>
      </c>
      <c r="BU21" s="89">
        <f>IF(VLOOKUP(A21,'BD OFICIAL'!$A$1:$AL$2099,7,0)=D21,0,1)</f>
        <v>0</v>
      </c>
      <c r="BV21" s="89">
        <f>IF(VLOOKUP(A21,'BD OFICIAL'!$A$1:$AL$2099,11,0)=J21,0,1)</f>
        <v>0</v>
      </c>
      <c r="BW21" s="89">
        <f>IF(VLOOKUP(A21,'BD OFICIAL'!$A$1:$AL$2099,13,0)=L21,0,1)</f>
        <v>0</v>
      </c>
      <c r="BX21" s="6">
        <f>IF(VLOOKUP(A21,'BD OFICIAL'!$A$1:$AL$2099,16,0)=O21,0,1)</f>
        <v>0</v>
      </c>
      <c r="BY21" s="6">
        <f>IF(VLOOKUP(A21,'BD OFICIAL'!$A$1:$AL$2099,17,0)=P21,0,1)</f>
        <v>0</v>
      </c>
      <c r="BZ21" s="6">
        <f>IF(VLOOKUP(A21,'BD OFICIAL'!$A$1:$AL$2099,19,0)=R21,0,1)</f>
        <v>0</v>
      </c>
      <c r="CA21" s="6">
        <f>IF(VLOOKUP(A21,'BD OFICIAL'!$A$1:$AL$2099,21,0)=T21,0,1)</f>
        <v>0</v>
      </c>
      <c r="CB21" s="6">
        <f>IF(VLOOKUP(A21,'BD OFICIAL'!$A$1:$AL$2099,24,0)=AK21,0,1)</f>
        <v>0</v>
      </c>
      <c r="CC21" s="6">
        <f>IF(VLOOKUP(A21,'BD OFICIAL'!$A$1:$AL$2099,25,0)=X21,0,1)</f>
        <v>0</v>
      </c>
      <c r="CD21" s="6">
        <f>IF(VLOOKUP(A21,'BD OFICIAL'!$A$1:$AL$2099,26,0)=Y21,0,1)</f>
        <v>0</v>
      </c>
      <c r="CE21" s="6">
        <f>IF(VLOOKUP(A21,'BD OFICIAL'!$A$1:$AL$2099,27,0)=Z21,0,1)</f>
        <v>0</v>
      </c>
      <c r="CF21" s="6">
        <f>IF(VLOOKUP(A21,'BD OFICIAL'!$A$1:$AL$2099,28,0)=AA21,0,1)</f>
        <v>0</v>
      </c>
      <c r="CG21" s="6">
        <f>IF(VLOOKUP(A21,'BD OFICIAL'!$A$1:$AL$2099,33,0)=AF21,0,1)</f>
        <v>0</v>
      </c>
      <c r="CH21" s="6">
        <f>IF(VLOOKUP(A21,'BD OFICIAL'!$A$1:$AL$2099,35,0)=AH21,0,1)</f>
        <v>0</v>
      </c>
      <c r="CI21" s="89">
        <f>IF(VLOOKUP(A21,'BD OFICIAL'!$A$1:$AL$2099,34,0)=AL21,0,1)</f>
        <v>0</v>
      </c>
      <c r="CJ21" s="89">
        <f>VLOOKUP(A21,'BD OFICIAL'!$A$1:$AM$2099,36,0)*AM21-AP21</f>
        <v>0</v>
      </c>
      <c r="CK21" s="89" t="str">
        <f t="shared" si="0"/>
        <v>SSH</v>
      </c>
      <c r="CL21" s="89" t="str">
        <f t="shared" si="1"/>
        <v>NO</v>
      </c>
      <c r="CM21" s="89" t="str">
        <f t="shared" si="2"/>
        <v>SI</v>
      </c>
      <c r="CN21" s="35">
        <f t="shared" si="3"/>
        <v>0</v>
      </c>
      <c r="CO21" s="35">
        <f t="shared" si="19"/>
        <v>0</v>
      </c>
      <c r="CP21" s="35">
        <f t="shared" si="20"/>
        <v>0</v>
      </c>
      <c r="CQ21" s="35">
        <f>IF(VLOOKUP(A21,'BD OFICIAL'!$A:$AT,40,0)=AQ21,0,1)</f>
        <v>0</v>
      </c>
      <c r="CR21" s="35">
        <f>IF(VLOOKUP(A21,'BD OFICIAL'!$A:$AT,41,0)=AS21,0,1)</f>
        <v>0</v>
      </c>
      <c r="CS21" s="35">
        <f t="shared" si="21"/>
        <v>0</v>
      </c>
      <c r="CT21" s="35">
        <f t="shared" si="4"/>
        <v>0</v>
      </c>
      <c r="CU21" s="35">
        <f>IF(VLOOKUP(A21,'BD OFICIAL'!$A$1:$AL$1057,31,0)="SI",IF(AT21&gt;0,0,1),IF(AT21=0,0,1))</f>
        <v>0</v>
      </c>
      <c r="CV21" s="35">
        <f t="shared" si="5"/>
        <v>0</v>
      </c>
      <c r="CW21" s="35">
        <f t="shared" si="6"/>
        <v>0</v>
      </c>
      <c r="CX21" s="89" t="str">
        <f t="shared" si="7"/>
        <v>SI</v>
      </c>
      <c r="CY21" s="35">
        <f t="shared" si="8"/>
        <v>0</v>
      </c>
      <c r="CZ21" s="89" t="str">
        <f>IF(ISERROR(VLOOKUP(AI21,EXPERIENCIA!$A$1:$C$2100,1,0)),"NO","SI")</f>
        <v>NO</v>
      </c>
      <c r="DA21" s="89">
        <f>IF(CX21="no","NO APLICA",IF(AX21=0,"ERROR NOTA",IF(AND(AX21&gt;1,CZ21="NO"),"ERROR NOTA",IF(AND(CZ21="NO",AX21=1),0,IF(VLOOKUP(AI21,EXPERIENCIA!$A$1:$C$2100,3,0)=AX21,0,"ERROR NOTA")))))</f>
        <v>0</v>
      </c>
      <c r="DB21" s="89" t="str">
        <f>IF(ISERROR(VLOOKUP(AI21,COMPORTAMIENTO!$A$1:$C$2100,1,0)),"NO","SI")</f>
        <v>SI</v>
      </c>
      <c r="DC21" s="89">
        <f>IF(CX21="NO","NO APLICA",IF(AY21=0,"ERROR NOTA",IF(AND(DB21="NO",AY21=7),0,IF(VLOOKUP(AI21,COMPORTAMIENTO!$A$2:$H$2100,8,0)=AY21,0,"ERROR NOTA"))))</f>
        <v>0</v>
      </c>
      <c r="DD21" s="108">
        <f t="shared" si="9"/>
        <v>0.1</v>
      </c>
      <c r="DE21" s="108">
        <f t="shared" si="10"/>
        <v>0.70000000000000007</v>
      </c>
      <c r="DF21" s="89" t="str">
        <f t="shared" si="22"/>
        <v>NO</v>
      </c>
      <c r="DG21" s="89">
        <f t="shared" si="11"/>
        <v>7</v>
      </c>
      <c r="DH21" s="89">
        <f t="shared" si="12"/>
        <v>7</v>
      </c>
      <c r="DI21" s="89">
        <f t="shared" si="23"/>
        <v>7</v>
      </c>
      <c r="DJ21" s="16">
        <f t="shared" si="13"/>
        <v>7.0000000000000009</v>
      </c>
      <c r="DK21" s="11">
        <f t="shared" si="24"/>
        <v>7.0000000000000009</v>
      </c>
      <c r="DL21" s="16">
        <f t="shared" si="14"/>
        <v>7434</v>
      </c>
      <c r="DM21" s="16">
        <f>VLOOKUP(A21,'5 TD'!$A$3:$B$35,2,0)</f>
        <v>7434</v>
      </c>
      <c r="DN21" s="11">
        <f t="shared" si="25"/>
        <v>7</v>
      </c>
      <c r="DO21" s="89" t="str">
        <f t="shared" si="26"/>
        <v>APROBADO</v>
      </c>
      <c r="DP21" s="89" t="str">
        <f t="shared" si="27"/>
        <v>APROBADO</v>
      </c>
      <c r="DQ21" s="11">
        <f t="shared" si="28"/>
        <v>6.4</v>
      </c>
      <c r="DR21" s="89" t="str">
        <f t="shared" si="29"/>
        <v>APROBADO</v>
      </c>
      <c r="DS21" s="6" t="str">
        <f>+('3 Planilla Preadjudicación OTIC'!BP22)</f>
        <v>SI</v>
      </c>
      <c r="DT21" s="6">
        <f>IF(DR21="APROBADO",VLOOKUP(A21,'5 TD'!$D$3:$E$270,2,0),"NO APLICA")</f>
        <v>6.4</v>
      </c>
      <c r="DU21" s="6" t="str">
        <f t="shared" si="30"/>
        <v>SI</v>
      </c>
      <c r="DV21" s="6">
        <f>IF(DU21="SI",VLOOKUP(A21,'5 TD'!$G$3:$H$270,2,0),"NO APLICA ")</f>
        <v>7.0000000000000009</v>
      </c>
      <c r="DW21" s="6" t="str">
        <f t="shared" si="15"/>
        <v>SI</v>
      </c>
      <c r="DX21" s="6">
        <f>IF(DW21="SI",VLOOKUP(A21,'5 TD'!$J$4:$K$472,2,0),"NO APLICA")</f>
        <v>7</v>
      </c>
      <c r="DY21" s="6" t="str">
        <f t="shared" si="16"/>
        <v>SI</v>
      </c>
      <c r="DZ21" s="11">
        <f>IF(DY21="SI",VLOOKUP(A21,'5 TD'!$M$4:$N$350,2,0),"NO APLICA")</f>
        <v>1</v>
      </c>
      <c r="EA21" s="6" t="str">
        <f t="shared" si="17"/>
        <v>SI</v>
      </c>
      <c r="EB21" s="16">
        <f t="shared" si="18"/>
        <v>7434</v>
      </c>
      <c r="EC21" s="16">
        <f>IF(EA21="SI",VLOOKUP(A21,'5 TD'!$V$4:$W$479,2,0),"NO APLICA")</f>
        <v>7434</v>
      </c>
      <c r="ED21" s="6" t="str">
        <f t="shared" si="31"/>
        <v>SI</v>
      </c>
      <c r="EE21" s="83">
        <f>IF(ED21="SI",VLOOKUP(AI21,COMPORTAMIENTO!$A$1:$H$2100,7,0),"NO APLICA")</f>
        <v>0</v>
      </c>
      <c r="EF21" s="16">
        <f>IF(ED21="SI",VLOOKUP(A21,'5 TD'!$P$2:$Q$479,2,0),"NO APLICA")</f>
        <v>0</v>
      </c>
      <c r="EG21" s="6" t="str">
        <f t="shared" si="32"/>
        <v>SI</v>
      </c>
      <c r="EH21" s="6">
        <f>IF(CZ21="no",0,VLOOKUP(AI21,EXPERIENCIA!$A$1:$C$2100,2,0))</f>
        <v>0</v>
      </c>
      <c r="EI21" s="6">
        <f>IF(CZ21="si",VLOOKUP(A21,'5 TD'!$S$3:$T$2103,2,0),0)</f>
        <v>0</v>
      </c>
      <c r="EJ21" s="6" t="str">
        <f t="shared" si="33"/>
        <v>SI</v>
      </c>
      <c r="EK21" s="6">
        <f>+('3 Planilla Preadjudicación OTIC'!BW22)</f>
        <v>0</v>
      </c>
      <c r="EO21" s="209" t="s">
        <v>2387</v>
      </c>
    </row>
    <row r="22" spans="1:145" s="7" customFormat="1" x14ac:dyDescent="0.2">
      <c r="A22" s="6">
        <f>+('3 Planilla Preadjudicación OTIC'!A22)</f>
        <v>14279</v>
      </c>
      <c r="B22" s="6" t="str">
        <f>+('3 Planilla Preadjudicación OTIC'!B22)</f>
        <v>SOFOFA</v>
      </c>
      <c r="C22" s="8">
        <f>+('3 Planilla Preadjudicación OTIC'!E22)</f>
        <v>2025</v>
      </c>
      <c r="D22" s="8" t="str">
        <f>+('3 Planilla Preadjudicación OTIC'!F22)</f>
        <v>MANDATO</v>
      </c>
      <c r="E22" s="8" t="str">
        <f>+('3 Planilla Preadjudicación OTIC'!G22)</f>
        <v>65181652-1</v>
      </c>
      <c r="F22" s="8" t="str">
        <f>+('3 Planilla Preadjudicación OTIC'!H22)</f>
        <v>SOFOFA</v>
      </c>
      <c r="G22" s="8" t="str">
        <f>+('3 Planilla Preadjudicación OTIC'!I22)</f>
        <v>53333861-5</v>
      </c>
      <c r="H22" s="8" t="str">
        <f>+('3 Planilla Preadjudicación OTIC'!J22)</f>
        <v>FUNDACIÓN DE BENEFICENCIA PÚBLICA, CIENTÍFICA Y EDUCACIONAL TRES HOJAS</v>
      </c>
      <c r="I22" s="8" t="str">
        <f>+('3 Planilla Preadjudicación OTIC'!K22)</f>
        <v>INTEGRACIÓN DE COMPETENCIAS ESPECIALIZADAS DE PRODUCCIÓN LECHERA, EN LA FORMACIÓN DE TÉCNICOS AGROPECUARIOS.</v>
      </c>
      <c r="J22" s="8" t="str">
        <f>+('3 Planilla Preadjudicación OTIC'!L22)</f>
        <v>SIN PLAN FORMATIVO</v>
      </c>
      <c r="K22" s="8" t="str">
        <f>+('3 Planilla Preadjudicación OTIC'!M22)</f>
        <v>APRESTO LABORAL PARA EL TRABAJO</v>
      </c>
      <c r="L22" s="8" t="str">
        <f>+('3 Planilla Preadjudicación OTIC'!N22)</f>
        <v>PF0916</v>
      </c>
      <c r="M22" s="6">
        <f>+('3 Planilla Preadjudicación OTIC'!O22)</f>
        <v>10</v>
      </c>
      <c r="N22" s="8">
        <f>+('3 Planilla Preadjudicación OTIC'!P22)</f>
        <v>0</v>
      </c>
      <c r="O22" s="8" t="str">
        <f>+('3 Planilla Preadjudicación OTIC'!Q22)</f>
        <v>FRESIA</v>
      </c>
      <c r="P22" s="8" t="str">
        <f>+('3 Planilla Preadjudicación OTIC'!R22)</f>
        <v>ESTUDIANTES DE CUARTO AÑO DE ENSEÑANZA MEDIA O DE LICEOS TÉCNICOS PROFESIONALES.</v>
      </c>
      <c r="Q22" s="8" t="str">
        <f>+('3 Planilla Preadjudicación OTIC'!S22)</f>
        <v>PRESENCIAL</v>
      </c>
      <c r="R22" s="8" t="str">
        <f>+('3 Planilla Preadjudicación OTIC'!T22)</f>
        <v>DEPENDIENTE</v>
      </c>
      <c r="S22" s="8" t="str">
        <f>+('3 Planilla Preadjudicación OTIC'!U22)</f>
        <v>10. JUEVES - MAÑANA</v>
      </c>
      <c r="T22" s="6">
        <f>+('3 Planilla Preadjudicación OTIC'!V22)</f>
        <v>20</v>
      </c>
      <c r="U22" s="6">
        <f>+('3 Planilla Preadjudicación OTIC'!W22)</f>
        <v>212</v>
      </c>
      <c r="V22" s="6">
        <f>+('3 Planilla Preadjudicación OTIC'!X22)</f>
        <v>12</v>
      </c>
      <c r="W22" s="6">
        <f>+('3 Planilla Preadjudicación OTIC'!Y22)</f>
        <v>224</v>
      </c>
      <c r="X22" s="6">
        <f>+('3 Planilla Preadjudicación OTIC'!Z22)</f>
        <v>8</v>
      </c>
      <c r="Y22" s="6" t="str">
        <f>+('3 Planilla Preadjudicación OTIC'!AA22)</f>
        <v>SI</v>
      </c>
      <c r="Z22" s="6" t="str">
        <f>+('3 Planilla Preadjudicación OTIC'!AB22)</f>
        <v>NO</v>
      </c>
      <c r="AA22" s="6" t="str">
        <f>+('3 Planilla Preadjudicación OTIC'!AC22)</f>
        <v>NO</v>
      </c>
      <c r="AB22" s="8" t="str">
        <f>+('3 Planilla Preadjudicación OTIC'!AD22)</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22" s="8" t="str">
        <f>+('3 Planilla Preadjudicación OTIC'!AE22)</f>
        <v>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22" s="6" t="str">
        <f>+('3 Planilla Preadjudicación OTIC'!AF22)</f>
        <v>NO</v>
      </c>
      <c r="AE22" s="8">
        <f>+('3 Planilla Preadjudicación OTIC'!AG22)</f>
        <v>0</v>
      </c>
      <c r="AF22" s="6" t="str">
        <f>+('3 Planilla Preadjudicación OTIC'!AH22)</f>
        <v>CERRADA</v>
      </c>
      <c r="AG22" s="6">
        <f>+('3 Planilla Preadjudicación OTIC'!AI22)</f>
        <v>28</v>
      </c>
      <c r="AH22" s="6">
        <f>+('3 Planilla Preadjudicación OTIC'!AJ22)</f>
        <v>3</v>
      </c>
      <c r="AI22" s="140" t="str">
        <f>+('3 Planilla Preadjudicación OTIC'!AK22)</f>
        <v>76962968-8</v>
      </c>
      <c r="AJ22" s="8" t="str">
        <f>+('3 Planilla Preadjudicación OTIC'!AL22)</f>
        <v>Centro de Capacitación Lechero del Sur</v>
      </c>
      <c r="AK22" s="6">
        <f>+('3 Planilla Preadjudicación OTIC'!AM22)</f>
        <v>224</v>
      </c>
      <c r="AL22" s="6">
        <f>+('3 Planilla Preadjudicación OTIC'!AN22)</f>
        <v>28</v>
      </c>
      <c r="AM22" s="16">
        <f>+('3 Planilla Preadjudicación OTIC'!AO22)</f>
        <v>7434</v>
      </c>
      <c r="AN22" s="16">
        <f>+('3 Planilla Preadjudicación OTIC'!AP22)</f>
        <v>0</v>
      </c>
      <c r="AO22" s="16">
        <f>+('3 Planilla Preadjudicación OTIC'!AQ22)</f>
        <v>0</v>
      </c>
      <c r="AP22" s="16">
        <f>+('3 Planilla Preadjudicación OTIC'!AR22)</f>
        <v>33304320</v>
      </c>
      <c r="AQ22" s="16">
        <f>+('3 Planilla Preadjudicación OTIC'!AS22)</f>
        <v>2240000</v>
      </c>
      <c r="AR22" s="16">
        <f>+('3 Planilla Preadjudicación OTIC'!AT22)</f>
        <v>0</v>
      </c>
      <c r="AS22" s="16">
        <f>+('3 Planilla Preadjudicación OTIC'!AU22)</f>
        <v>0</v>
      </c>
      <c r="AT22" s="16">
        <f>+('3 Planilla Preadjudicación OTIC'!AV22)</f>
        <v>0</v>
      </c>
      <c r="AU22" s="16">
        <f>+('3 Planilla Preadjudicación OTIC'!AW22)</f>
        <v>35544320</v>
      </c>
      <c r="AV22" s="158" t="str">
        <f>+('3 Planilla Preadjudicación OTIC'!AX22)</f>
        <v>SI</v>
      </c>
      <c r="AW22" s="8">
        <f>+('3 Planilla Preadjudicación OTIC'!AY22)</f>
        <v>0</v>
      </c>
      <c r="AX22" s="6">
        <f>+('3 Planilla Preadjudicación OTIC'!AZ22)</f>
        <v>1</v>
      </c>
      <c r="AY22" s="6">
        <f>+('3 Planilla Preadjudicación OTIC'!BA22)</f>
        <v>7</v>
      </c>
      <c r="AZ22" s="6">
        <f>+('3 Planilla Preadjudicación OTIC'!BB22)</f>
        <v>7</v>
      </c>
      <c r="BA22" s="6">
        <f>+('3 Planilla Preadjudicación OTIC'!BC22)</f>
        <v>7</v>
      </c>
      <c r="BB22" s="6">
        <f>+('3 Planilla Preadjudicación OTIC'!BD22)</f>
        <v>7</v>
      </c>
      <c r="BC22" s="6">
        <f>+('3 Planilla Preadjudicación OTIC'!BE22)</f>
        <v>7</v>
      </c>
      <c r="BD22" s="6">
        <f>+('3 Planilla Preadjudicación OTIC'!BF22)</f>
        <v>7</v>
      </c>
      <c r="BE22" s="6">
        <f>+('3 Planilla Preadjudicación OTIC'!BG22)</f>
        <v>7</v>
      </c>
      <c r="BF22" s="6">
        <f>+('3 Planilla Preadjudicación OTIC'!BH22)</f>
        <v>7</v>
      </c>
      <c r="BG22" s="6">
        <f>+('3 Planilla Preadjudicación OTIC'!BI22)</f>
        <v>7</v>
      </c>
      <c r="BH22" s="6">
        <f>+('3 Planilla Preadjudicación OTIC'!BJ22)</f>
        <v>7</v>
      </c>
      <c r="BI22" s="6">
        <f>+('3 Planilla Preadjudicación OTIC'!BK22)</f>
        <v>7</v>
      </c>
      <c r="BJ22" s="6">
        <f>+('3 Planilla Preadjudicación OTIC'!BL22)</f>
        <v>7</v>
      </c>
      <c r="BK22" s="6">
        <f>+('3 Planilla Preadjudicación OTIC'!BM22)</f>
        <v>7</v>
      </c>
      <c r="BL22" s="6">
        <f>+('3 Planilla Preadjudicación OTIC'!BN22)</f>
        <v>7</v>
      </c>
      <c r="BM22" s="108">
        <f>ROUND(('3 Planilla Preadjudicación OTIC'!BO22),1)</f>
        <v>6.4</v>
      </c>
      <c r="BN22" s="8" t="str">
        <f>+('3 Planilla Preadjudicación OTIC'!BP22)</f>
        <v>SI</v>
      </c>
      <c r="BO22" s="8" t="str">
        <f>+('3 Planilla Preadjudicación OTIC'!BQ22)</f>
        <v>SANDRA VIDAL JIMENES</v>
      </c>
      <c r="BP22" s="8" t="str">
        <f>+('3 Planilla Preadjudicación OTIC'!BR22)</f>
        <v>CONTACTO@CCLS.CL</v>
      </c>
      <c r="BQ22" s="8">
        <f>+('3 Planilla Preadjudicación OTIC'!BS22)</f>
        <v>941070603</v>
      </c>
      <c r="BR22" s="8" t="str">
        <f>+('3 Planilla Preadjudicación OTIC'!BT22)</f>
        <v>Bernardo Ohiggins 210, DE LOS LAGOS, FRESIA, Fresia</v>
      </c>
      <c r="BS22" s="8" t="str">
        <f>+('3 Planilla Preadjudicación OTIC'!BU22)</f>
        <v>Fortalecer las competencias técnicas de estudiantes agropecuarios en producción lechera, mediante la integración de conocimientos especializados, prácticas sustentables y bienestar animal, para mejorar su empleabilidad en el sector lácteo.</v>
      </c>
      <c r="BT22" s="8" t="str">
        <f>+('3 Planilla Preadjudicación OTIC'!BV22)</f>
        <v>Este curso entrega formación teórico-práctica en procesos clave de la producción lechera, como manejo de ordeña, crianza de terneros, sanidad animal y reproducción bovina. Se desarrolla en colaboración con centros especializados y utiliza simuladores de inmersión total para entrenar habilidades en contextos reales</v>
      </c>
      <c r="BU22" s="89">
        <f>IF(VLOOKUP(A22,'BD OFICIAL'!$A$1:$AL$2099,7,0)=D22,0,1)</f>
        <v>0</v>
      </c>
      <c r="BV22" s="89">
        <f>IF(VLOOKUP(A22,'BD OFICIAL'!$A$1:$AL$2099,11,0)=J22,0,1)</f>
        <v>0</v>
      </c>
      <c r="BW22" s="89">
        <f>IF(VLOOKUP(A22,'BD OFICIAL'!$A$1:$AL$2099,13,0)=L22,0,1)</f>
        <v>0</v>
      </c>
      <c r="BX22" s="6">
        <f>IF(VLOOKUP(A22,'BD OFICIAL'!$A$1:$AL$2099,16,0)=O22,0,1)</f>
        <v>0</v>
      </c>
      <c r="BY22" s="6">
        <f>IF(VLOOKUP(A22,'BD OFICIAL'!$A$1:$AL$2099,17,0)=P22,0,1)</f>
        <v>0</v>
      </c>
      <c r="BZ22" s="6">
        <f>IF(VLOOKUP(A22,'BD OFICIAL'!$A$1:$AL$2099,19,0)=R22,0,1)</f>
        <v>0</v>
      </c>
      <c r="CA22" s="6">
        <f>IF(VLOOKUP(A22,'BD OFICIAL'!$A$1:$AL$2099,21,0)=T22,0,1)</f>
        <v>0</v>
      </c>
      <c r="CB22" s="6">
        <f>IF(VLOOKUP(A22,'BD OFICIAL'!$A$1:$AL$2099,24,0)=AK22,0,1)</f>
        <v>0</v>
      </c>
      <c r="CC22" s="6">
        <f>IF(VLOOKUP(A22,'BD OFICIAL'!$A$1:$AL$2099,25,0)=X22,0,1)</f>
        <v>0</v>
      </c>
      <c r="CD22" s="6">
        <f>IF(VLOOKUP(A22,'BD OFICIAL'!$A$1:$AL$2099,26,0)=Y22,0,1)</f>
        <v>0</v>
      </c>
      <c r="CE22" s="6">
        <f>IF(VLOOKUP(A22,'BD OFICIAL'!$A$1:$AL$2099,27,0)=Z22,0,1)</f>
        <v>0</v>
      </c>
      <c r="CF22" s="6">
        <f>IF(VLOOKUP(A22,'BD OFICIAL'!$A$1:$AL$2099,28,0)=AA22,0,1)</f>
        <v>0</v>
      </c>
      <c r="CG22" s="6">
        <f>IF(VLOOKUP(A22,'BD OFICIAL'!$A$1:$AL$2099,33,0)=AF22,0,1)</f>
        <v>0</v>
      </c>
      <c r="CH22" s="6">
        <f>IF(VLOOKUP(A22,'BD OFICIAL'!$A$1:$AL$2099,35,0)=AH22,0,1)</f>
        <v>0</v>
      </c>
      <c r="CI22" s="89">
        <f>IF(VLOOKUP(A22,'BD OFICIAL'!$A$1:$AL$2099,34,0)=AL22,0,1)</f>
        <v>0</v>
      </c>
      <c r="CJ22" s="89">
        <f>VLOOKUP(A22,'BD OFICIAL'!$A$1:$AM$2099,36,0)*AM22-AP22</f>
        <v>0</v>
      </c>
      <c r="CK22" s="89" t="str">
        <f t="shared" si="0"/>
        <v>SSH</v>
      </c>
      <c r="CL22" s="89" t="str">
        <f t="shared" si="1"/>
        <v>NO</v>
      </c>
      <c r="CM22" s="89" t="str">
        <f t="shared" si="2"/>
        <v>SI</v>
      </c>
      <c r="CN22" s="35">
        <f t="shared" si="3"/>
        <v>0</v>
      </c>
      <c r="CO22" s="35">
        <f t="shared" si="19"/>
        <v>0</v>
      </c>
      <c r="CP22" s="35">
        <f t="shared" si="20"/>
        <v>0</v>
      </c>
      <c r="CQ22" s="35">
        <f>IF(VLOOKUP(A22,'BD OFICIAL'!$A:$AT,40,0)=AQ22,0,1)</f>
        <v>0</v>
      </c>
      <c r="CR22" s="35">
        <f>IF(VLOOKUP(A22,'BD OFICIAL'!$A:$AT,41,0)=AS22,0,1)</f>
        <v>0</v>
      </c>
      <c r="CS22" s="35">
        <f t="shared" si="21"/>
        <v>0</v>
      </c>
      <c r="CT22" s="35">
        <f t="shared" si="4"/>
        <v>0</v>
      </c>
      <c r="CU22" s="35">
        <f>IF(VLOOKUP(A22,'BD OFICIAL'!$A$1:$AL$1057,31,0)="SI",IF(AT22&gt;0,0,1),IF(AT22=0,0,1))</f>
        <v>0</v>
      </c>
      <c r="CV22" s="35">
        <f t="shared" si="5"/>
        <v>0</v>
      </c>
      <c r="CW22" s="35">
        <f t="shared" si="6"/>
        <v>0</v>
      </c>
      <c r="CX22" s="89" t="str">
        <f t="shared" si="7"/>
        <v>SI</v>
      </c>
      <c r="CY22" s="35">
        <f t="shared" si="8"/>
        <v>0</v>
      </c>
      <c r="CZ22" s="89" t="str">
        <f>IF(ISERROR(VLOOKUP(AI22,EXPERIENCIA!$A$1:$C$2100,1,0)),"NO","SI")</f>
        <v>NO</v>
      </c>
      <c r="DA22" s="89">
        <f>IF(CX22="no","NO APLICA",IF(AX22=0,"ERROR NOTA",IF(AND(AX22&gt;1,CZ22="NO"),"ERROR NOTA",IF(AND(CZ22="NO",AX22=1),0,IF(VLOOKUP(AI22,EXPERIENCIA!$A$1:$C$2100,3,0)=AX22,0,"ERROR NOTA")))))</f>
        <v>0</v>
      </c>
      <c r="DB22" s="89" t="str">
        <f>IF(ISERROR(VLOOKUP(AI22,COMPORTAMIENTO!$A$1:$C$2100,1,0)),"NO","SI")</f>
        <v>SI</v>
      </c>
      <c r="DC22" s="89">
        <f>IF(CX22="NO","NO APLICA",IF(AY22=0,"ERROR NOTA",IF(AND(DB22="NO",AY22=7),0,IF(VLOOKUP(AI22,COMPORTAMIENTO!$A$2:$H$2100,8,0)=AY22,0,"ERROR NOTA"))))</f>
        <v>0</v>
      </c>
      <c r="DD22" s="108">
        <f t="shared" si="9"/>
        <v>0.1</v>
      </c>
      <c r="DE22" s="108">
        <f t="shared" si="10"/>
        <v>0.70000000000000007</v>
      </c>
      <c r="DF22" s="89" t="str">
        <f t="shared" si="22"/>
        <v>NO</v>
      </c>
      <c r="DG22" s="89">
        <f t="shared" si="11"/>
        <v>7</v>
      </c>
      <c r="DH22" s="89">
        <f t="shared" si="12"/>
        <v>7</v>
      </c>
      <c r="DI22" s="89">
        <f t="shared" si="23"/>
        <v>7</v>
      </c>
      <c r="DJ22" s="16">
        <f t="shared" si="13"/>
        <v>7.0000000000000009</v>
      </c>
      <c r="DK22" s="11">
        <f t="shared" si="24"/>
        <v>7.0000000000000009</v>
      </c>
      <c r="DL22" s="16">
        <f t="shared" si="14"/>
        <v>7434</v>
      </c>
      <c r="DM22" s="16">
        <f>VLOOKUP(A22,'5 TD'!$A$3:$B$35,2,0)</f>
        <v>7434</v>
      </c>
      <c r="DN22" s="11">
        <f t="shared" si="25"/>
        <v>7</v>
      </c>
      <c r="DO22" s="89" t="str">
        <f t="shared" si="26"/>
        <v>APROBADO</v>
      </c>
      <c r="DP22" s="89" t="str">
        <f t="shared" si="27"/>
        <v>APROBADO</v>
      </c>
      <c r="DQ22" s="11">
        <f t="shared" si="28"/>
        <v>6.4</v>
      </c>
      <c r="DR22" s="89" t="str">
        <f t="shared" si="29"/>
        <v>APROBADO</v>
      </c>
      <c r="DS22" s="6" t="str">
        <f>+('3 Planilla Preadjudicación OTIC'!BP23)</f>
        <v>SI</v>
      </c>
      <c r="DT22" s="6">
        <f>IF(DR22="APROBADO",VLOOKUP(A22,'5 TD'!$D$3:$E$270,2,0),"NO APLICA")</f>
        <v>6.4</v>
      </c>
      <c r="DU22" s="6" t="str">
        <f t="shared" si="30"/>
        <v>SI</v>
      </c>
      <c r="DV22" s="6">
        <f>IF(DU22="SI",VLOOKUP(A22,'5 TD'!$G$3:$H$270,2,0),"NO APLICA ")</f>
        <v>7.0000000000000009</v>
      </c>
      <c r="DW22" s="6" t="str">
        <f t="shared" si="15"/>
        <v>SI</v>
      </c>
      <c r="DX22" s="6">
        <f>IF(DW22="SI",VLOOKUP(A22,'5 TD'!$J$4:$K$472,2,0),"NO APLICA")</f>
        <v>7</v>
      </c>
      <c r="DY22" s="6" t="str">
        <f t="shared" si="16"/>
        <v>SI</v>
      </c>
      <c r="DZ22" s="11">
        <f>IF(DY22="SI",VLOOKUP(A22,'5 TD'!$M$4:$N$350,2,0),"NO APLICA")</f>
        <v>1</v>
      </c>
      <c r="EA22" s="6" t="str">
        <f t="shared" si="17"/>
        <v>SI</v>
      </c>
      <c r="EB22" s="16">
        <f t="shared" si="18"/>
        <v>7434</v>
      </c>
      <c r="EC22" s="16">
        <f>IF(EA22="SI",VLOOKUP(A22,'5 TD'!$V$4:$W$479,2,0),"NO APLICA")</f>
        <v>7434</v>
      </c>
      <c r="ED22" s="6" t="str">
        <f t="shared" si="31"/>
        <v>SI</v>
      </c>
      <c r="EE22" s="83">
        <f>IF(ED22="SI",VLOOKUP(AI22,COMPORTAMIENTO!$A$1:$H$2100,7,0),"NO APLICA")</f>
        <v>0</v>
      </c>
      <c r="EF22" s="16">
        <f>IF(ED22="SI",VLOOKUP(A22,'5 TD'!$P$2:$Q$479,2,0),"NO APLICA")</f>
        <v>0</v>
      </c>
      <c r="EG22" s="6" t="str">
        <f t="shared" si="32"/>
        <v>SI</v>
      </c>
      <c r="EH22" s="6">
        <f>IF(CZ22="no",0,VLOOKUP(AI22,EXPERIENCIA!$A$1:$C$2100,2,0))</f>
        <v>0</v>
      </c>
      <c r="EI22" s="6">
        <f>IF(CZ22="si",VLOOKUP(A22,'5 TD'!$S$3:$T$2103,2,0),0)</f>
        <v>0</v>
      </c>
      <c r="EJ22" s="6" t="str">
        <f t="shared" si="33"/>
        <v>SI</v>
      </c>
      <c r="EK22" s="6">
        <f>+('3 Planilla Preadjudicación OTIC'!BW23)</f>
        <v>0</v>
      </c>
      <c r="EO22" s="209" t="s">
        <v>2387</v>
      </c>
    </row>
    <row r="23" spans="1:145" s="7" customFormat="1" x14ac:dyDescent="0.2">
      <c r="A23" s="6">
        <f>+('3 Planilla Preadjudicación OTIC'!A23)</f>
        <v>14385</v>
      </c>
      <c r="B23" s="6" t="str">
        <f>+('3 Planilla Preadjudicación OTIC'!B23)</f>
        <v>SOFOFA</v>
      </c>
      <c r="C23" s="8">
        <f>+('3 Planilla Preadjudicación OTIC'!E23)</f>
        <v>2025</v>
      </c>
      <c r="D23" s="8" t="str">
        <f>+('3 Planilla Preadjudicación OTIC'!F23)</f>
        <v>MANDATO</v>
      </c>
      <c r="E23" s="8" t="str">
        <f>+('3 Planilla Preadjudicación OTIC'!G23)</f>
        <v>65181652-1</v>
      </c>
      <c r="F23" s="8" t="str">
        <f>+('3 Planilla Preadjudicación OTIC'!H23)</f>
        <v>SOFOFA</v>
      </c>
      <c r="G23" s="8" t="str">
        <f>+('3 Planilla Preadjudicación OTIC'!I23)</f>
        <v>65140022-8</v>
      </c>
      <c r="H23" s="8" t="str">
        <f>+('3 Planilla Preadjudicación OTIC'!J23)</f>
        <v>FUTURO DEL TRABAJO</v>
      </c>
      <c r="I23" s="8" t="str">
        <f>+('3 Planilla Preadjudicación OTIC'!K23)</f>
        <v>ASISTENCIA EN EL MANTENIMIENTO ELÉCTRICO DE BAJA TENSIÓN</v>
      </c>
      <c r="J23" s="8" t="str">
        <f>+('3 Planilla Preadjudicación OTIC'!L23)</f>
        <v>PF0638</v>
      </c>
      <c r="K23" s="8" t="str">
        <f>+('3 Planilla Preadjudicación OTIC'!M23)</f>
        <v/>
      </c>
      <c r="L23" s="8" t="str">
        <f>+('3 Planilla Preadjudicación OTIC'!N23)</f>
        <v/>
      </c>
      <c r="M23" s="6">
        <f>+('3 Planilla Preadjudicación OTIC'!O23)</f>
        <v>13</v>
      </c>
      <c r="N23" s="8">
        <f>+('3 Planilla Preadjudicación OTIC'!P23)</f>
        <v>0</v>
      </c>
      <c r="O23" s="8" t="str">
        <f>+('3 Planilla Preadjudicación OTIC'!Q23)</f>
        <v>RENCA</v>
      </c>
      <c r="P23" s="8" t="str">
        <f>+('3 Planilla Preadjudicación OTIC'!R23)</f>
        <v>ESTUDIANTES DE CUARTO AÑO DE ENSEÑANZA MEDIA O DE LICEOS TÉCNICOS PROFESIONALES.</v>
      </c>
      <c r="Q23" s="8" t="str">
        <f>+('3 Planilla Preadjudicación OTIC'!S23)</f>
        <v>PRESENCIAL</v>
      </c>
      <c r="R23" s="8" t="str">
        <f>+('3 Planilla Preadjudicación OTIC'!T23)</f>
        <v>DEPENDIENTE</v>
      </c>
      <c r="S23" s="8" t="str">
        <f>+('3 Planilla Preadjudicación OTIC'!U23)</f>
        <v>03. LUNES - VESPERTINO / 06. MARTES - VESPERTINO / 09. MIÉRCOLES - VESPERTINO / 12. JUEVES - VESPERTINO / 15. VIERNES - VESPERTINO</v>
      </c>
      <c r="T23" s="6">
        <f>+('3 Planilla Preadjudicación OTIC'!V23)</f>
        <v>16</v>
      </c>
      <c r="U23" s="6">
        <f>+('3 Planilla Preadjudicación OTIC'!W23)</f>
        <v>110</v>
      </c>
      <c r="V23" s="6">
        <f>+('3 Planilla Preadjudicación OTIC'!X23)</f>
        <v>0</v>
      </c>
      <c r="W23" s="6">
        <f>+('3 Planilla Preadjudicación OTIC'!Y23)</f>
        <v>110</v>
      </c>
      <c r="X23" s="6">
        <f>+('3 Planilla Preadjudicación OTIC'!Z23)</f>
        <v>4</v>
      </c>
      <c r="Y23" s="6" t="str">
        <f>+('3 Planilla Preadjudicación OTIC'!AA23)</f>
        <v>SI</v>
      </c>
      <c r="Z23" s="6" t="str">
        <f>+('3 Planilla Preadjudicación OTIC'!AB23)</f>
        <v>NO</v>
      </c>
      <c r="AA23" s="6" t="str">
        <f>+('3 Planilla Preadjudicación OTIC'!AC23)</f>
        <v>NO</v>
      </c>
      <c r="AB23" s="8">
        <f>+('3 Planilla Preadjudicación OTIC'!AD23)</f>
        <v>0</v>
      </c>
      <c r="AC23" s="8" t="str">
        <f>+('3 Planilla Preadjudicación OTIC'!AE23)</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23" s="6" t="str">
        <f>+('3 Planilla Preadjudicación OTIC'!AF23)</f>
        <v>NO</v>
      </c>
      <c r="AE23" s="8">
        <f>+('3 Planilla Preadjudicación OTIC'!AG23)</f>
        <v>0</v>
      </c>
      <c r="AF23" s="6" t="str">
        <f>+('3 Planilla Preadjudicación OTIC'!AH23)</f>
        <v>CERRADA</v>
      </c>
      <c r="AG23" s="6">
        <f>+('3 Planilla Preadjudicación OTIC'!AI23)</f>
        <v>28</v>
      </c>
      <c r="AH23" s="6">
        <f>+('3 Planilla Preadjudicación OTIC'!AJ23)</f>
        <v>2</v>
      </c>
      <c r="AI23" s="140" t="str">
        <f>+('3 Planilla Preadjudicación OTIC'!AK23)</f>
        <v>77593380-1</v>
      </c>
      <c r="AJ23" s="8" t="str">
        <f>+('3 Planilla Preadjudicación OTIC'!AL23)</f>
        <v>Centro de Investigación para el Desarrollo y Capacitación Limitada</v>
      </c>
      <c r="AK23" s="6">
        <f>+('3 Planilla Preadjudicación OTIC'!AM23)</f>
        <v>110</v>
      </c>
      <c r="AL23" s="6">
        <f>+('3 Planilla Preadjudicación OTIC'!AN23)</f>
        <v>28</v>
      </c>
      <c r="AM23" s="16">
        <f>+('3 Planilla Preadjudicación OTIC'!AO23)</f>
        <v>5075</v>
      </c>
      <c r="AN23" s="16">
        <f>+('3 Planilla Preadjudicación OTIC'!AP23)</f>
        <v>0</v>
      </c>
      <c r="AO23" s="16">
        <f>+('3 Planilla Preadjudicación OTIC'!AQ23)</f>
        <v>0</v>
      </c>
      <c r="AP23" s="16">
        <f>+('3 Planilla Preadjudicación OTIC'!AR23)</f>
        <v>8932000</v>
      </c>
      <c r="AQ23" s="16">
        <f>+('3 Planilla Preadjudicación OTIC'!AS23)</f>
        <v>1792000</v>
      </c>
      <c r="AR23" s="16">
        <f>+('3 Planilla Preadjudicación OTIC'!AT23)</f>
        <v>0</v>
      </c>
      <c r="AS23" s="16">
        <f>+('3 Planilla Preadjudicación OTIC'!AU23)</f>
        <v>0</v>
      </c>
      <c r="AT23" s="16">
        <f>+('3 Planilla Preadjudicación OTIC'!AV23)</f>
        <v>0</v>
      </c>
      <c r="AU23" s="16">
        <f>+('3 Planilla Preadjudicación OTIC'!AW23)</f>
        <v>10724000</v>
      </c>
      <c r="AV23" s="158" t="str">
        <f>+('3 Planilla Preadjudicación OTIC'!AX23)</f>
        <v>SI</v>
      </c>
      <c r="AW23" s="8">
        <f>+('3 Planilla Preadjudicación OTIC'!AY23)</f>
        <v>0</v>
      </c>
      <c r="AX23" s="6">
        <f>+('3 Planilla Preadjudicación OTIC'!AZ23)</f>
        <v>3</v>
      </c>
      <c r="AY23" s="6">
        <f>+('3 Planilla Preadjudicación OTIC'!BA23)</f>
        <v>7</v>
      </c>
      <c r="AZ23" s="6">
        <f>+('3 Planilla Preadjudicación OTIC'!BB23)</f>
        <v>0</v>
      </c>
      <c r="BA23" s="6">
        <f>+('3 Planilla Preadjudicación OTIC'!BC23)</f>
        <v>0</v>
      </c>
      <c r="BB23" s="6">
        <f>+('3 Planilla Preadjudicación OTIC'!BD23)</f>
        <v>0</v>
      </c>
      <c r="BC23" s="6">
        <f>+('3 Planilla Preadjudicación OTIC'!BE23)</f>
        <v>0</v>
      </c>
      <c r="BD23" s="6">
        <f>+('3 Planilla Preadjudicación OTIC'!BF23)</f>
        <v>0</v>
      </c>
      <c r="BE23" s="6">
        <f>+('3 Planilla Preadjudicación OTIC'!BG23)</f>
        <v>0</v>
      </c>
      <c r="BF23" s="6">
        <f>+('3 Planilla Preadjudicación OTIC'!BH23)</f>
        <v>0</v>
      </c>
      <c r="BG23" s="6">
        <f>+('3 Planilla Preadjudicación OTIC'!BI23)</f>
        <v>7</v>
      </c>
      <c r="BH23" s="6">
        <f>+('3 Planilla Preadjudicación OTIC'!BJ23)</f>
        <v>7</v>
      </c>
      <c r="BI23" s="6">
        <f>+('3 Planilla Preadjudicación OTIC'!BK23)</f>
        <v>7</v>
      </c>
      <c r="BJ23" s="6">
        <f>+('3 Planilla Preadjudicación OTIC'!BL23)</f>
        <v>7</v>
      </c>
      <c r="BK23" s="6">
        <f>+('3 Planilla Preadjudicación OTIC'!BM23)</f>
        <v>7</v>
      </c>
      <c r="BL23" s="6">
        <f>+('3 Planilla Preadjudicación OTIC'!BN23)</f>
        <v>7</v>
      </c>
      <c r="BM23" s="108">
        <f>ROUND(('3 Planilla Preadjudicación OTIC'!BO23),1)</f>
        <v>6.6</v>
      </c>
      <c r="BN23" s="8" t="str">
        <f>+('3 Planilla Preadjudicación OTIC'!BP23)</f>
        <v>SI</v>
      </c>
      <c r="BO23" s="8" t="str">
        <f>+('3 Planilla Preadjudicación OTIC'!BQ23)</f>
        <v>EMILY RODRIGUEZ</v>
      </c>
      <c r="BP23" s="8" t="str">
        <f>+('3 Planilla Preadjudicación OTIC'!BR23)</f>
        <v>ERODRIGUEZ@institutoasiste.cl</v>
      </c>
      <c r="BQ23" s="8">
        <f>+('3 Planilla Preadjudicación OTIC'!BS23)</f>
        <v>225962361</v>
      </c>
      <c r="BR23" s="8" t="str">
        <f>+('3 Planilla Preadjudicación OTIC'!BT23)</f>
        <v>PASAJE VIRGINIO ARIAS 1926, Renca</v>
      </c>
      <c r="BS23" s="8" t="str">
        <f>+('3 Planilla Preadjudicación OTIC'!BU23)</f>
        <v>Capacitar al participante para asistir en tareas de mantenimiento eléctrico de baja tensión, aplicando procedimientos técnicos, normas de seguridad y uso adecuado de herramientas, bajo supervisión especializada.</v>
      </c>
      <c r="BT23" s="8" t="str">
        <f>+('3 Planilla Preadjudicación OTIC'!BV23)</f>
        <v>Este curso entrega conocimientos básicos para apoyar labores de mantenimiento preventivo y correctivo en instalaciones eléctricas de baja tensión. Incluye identificación de componentes, uso de instrumentos de medición, aplicación de protocolos de seguridad y asistencia en inspecciones, limpieza y reparación de equipos eléctricos.</v>
      </c>
      <c r="BU23" s="89">
        <f>IF(VLOOKUP(A23,'BD OFICIAL'!$A$1:$AL$2099,7,0)=D23,0,1)</f>
        <v>0</v>
      </c>
      <c r="BV23" s="89">
        <f>IF(VLOOKUP(A23,'BD OFICIAL'!$A$1:$AL$2099,11,0)=J23,0,1)</f>
        <v>0</v>
      </c>
      <c r="BW23" s="89">
        <f>IF(VLOOKUP(A23,'BD OFICIAL'!$A$1:$AL$2099,13,0)=L23,0,1)</f>
        <v>0</v>
      </c>
      <c r="BX23" s="6">
        <f>IF(VLOOKUP(A23,'BD OFICIAL'!$A$1:$AL$2099,16,0)=O23,0,1)</f>
        <v>0</v>
      </c>
      <c r="BY23" s="6">
        <f>IF(VLOOKUP(A23,'BD OFICIAL'!$A$1:$AL$2099,17,0)=P23,0,1)</f>
        <v>0</v>
      </c>
      <c r="BZ23" s="6">
        <f>IF(VLOOKUP(A23,'BD OFICIAL'!$A$1:$AL$2099,19,0)=R23,0,1)</f>
        <v>0</v>
      </c>
      <c r="CA23" s="6">
        <f>IF(VLOOKUP(A23,'BD OFICIAL'!$A$1:$AL$2099,21,0)=T23,0,1)</f>
        <v>0</v>
      </c>
      <c r="CB23" s="6">
        <f>IF(VLOOKUP(A23,'BD OFICIAL'!$A$1:$AL$2099,24,0)=AK23,0,1)</f>
        <v>0</v>
      </c>
      <c r="CC23" s="6">
        <f>IF(VLOOKUP(A23,'BD OFICIAL'!$A$1:$AL$2099,25,0)=X23,0,1)</f>
        <v>0</v>
      </c>
      <c r="CD23" s="6">
        <f>IF(VLOOKUP(A23,'BD OFICIAL'!$A$1:$AL$2099,26,0)=Y23,0,1)</f>
        <v>0</v>
      </c>
      <c r="CE23" s="6">
        <f>IF(VLOOKUP(A23,'BD OFICIAL'!$A$1:$AL$2099,27,0)=Z23,0,1)</f>
        <v>0</v>
      </c>
      <c r="CF23" s="6">
        <f>IF(VLOOKUP(A23,'BD OFICIAL'!$A$1:$AL$2099,28,0)=AA23,0,1)</f>
        <v>0</v>
      </c>
      <c r="CG23" s="6">
        <f>IF(VLOOKUP(A23,'BD OFICIAL'!$A$1:$AL$2099,33,0)=AF23,0,1)</f>
        <v>0</v>
      </c>
      <c r="CH23" s="6">
        <f>IF(VLOOKUP(A23,'BD OFICIAL'!$A$1:$AL$2099,35,0)=AH23,0,1)</f>
        <v>0</v>
      </c>
      <c r="CI23" s="89">
        <f>IF(VLOOKUP(A23,'BD OFICIAL'!$A$1:$AL$2099,34,0)=AL23,0,1)</f>
        <v>0</v>
      </c>
      <c r="CJ23" s="89">
        <f>VLOOKUP(A23,'BD OFICIAL'!$A$1:$AM$2099,36,0)*AM23-AP23</f>
        <v>0</v>
      </c>
      <c r="CK23" s="89" t="str">
        <f t="shared" si="0"/>
        <v>SSH</v>
      </c>
      <c r="CL23" s="89" t="str">
        <f t="shared" si="1"/>
        <v>SI</v>
      </c>
      <c r="CM23" s="89" t="str">
        <f t="shared" si="2"/>
        <v>NO</v>
      </c>
      <c r="CN23" s="35">
        <f t="shared" si="3"/>
        <v>0</v>
      </c>
      <c r="CO23" s="35">
        <f t="shared" si="19"/>
        <v>0</v>
      </c>
      <c r="CP23" s="35">
        <f t="shared" si="20"/>
        <v>0</v>
      </c>
      <c r="CQ23" s="35">
        <f>IF(VLOOKUP(A23,'BD OFICIAL'!$A:$AT,40,0)=AQ23,0,1)</f>
        <v>0</v>
      </c>
      <c r="CR23" s="35">
        <f>IF(VLOOKUP(A23,'BD OFICIAL'!$A:$AT,41,0)=AS23,0,1)</f>
        <v>0</v>
      </c>
      <c r="CS23" s="35">
        <f t="shared" si="21"/>
        <v>0</v>
      </c>
      <c r="CT23" s="35">
        <f t="shared" si="4"/>
        <v>0</v>
      </c>
      <c r="CU23" s="35">
        <f>IF(VLOOKUP(A23,'BD OFICIAL'!$A$1:$AL$1057,31,0)="SI",IF(AT23&gt;0,0,1),IF(AT23=0,0,1))</f>
        <v>0</v>
      </c>
      <c r="CV23" s="35">
        <f t="shared" si="5"/>
        <v>0</v>
      </c>
      <c r="CW23" s="35">
        <f t="shared" si="6"/>
        <v>0</v>
      </c>
      <c r="CX23" s="89" t="str">
        <f t="shared" si="7"/>
        <v>SI</v>
      </c>
      <c r="CY23" s="35">
        <f t="shared" si="8"/>
        <v>0</v>
      </c>
      <c r="CZ23" s="89" t="str">
        <f>IF(ISERROR(VLOOKUP(AI23,EXPERIENCIA!$A$1:$C$2100,1,0)),"NO","SI")</f>
        <v>SI</v>
      </c>
      <c r="DA23" s="89">
        <f>IF(CX23="no","NO APLICA",IF(AX23=0,"ERROR NOTA",IF(AND(AX23&gt;1,CZ23="NO"),"ERROR NOTA",IF(AND(CZ23="NO",AX23=1),0,IF(VLOOKUP(AI23,EXPERIENCIA!$A$1:$C$2100,3,0)=AX23,0,"ERROR NOTA")))))</f>
        <v>0</v>
      </c>
      <c r="DB23" s="89" t="str">
        <f>IF(ISERROR(VLOOKUP(AI23,COMPORTAMIENTO!$A$1:$C$2100,1,0)),"NO","SI")</f>
        <v>SI</v>
      </c>
      <c r="DC23" s="89">
        <f>IF(CX23="NO","NO APLICA",IF(AY23=0,"ERROR NOTA",IF(AND(DB23="NO",AY23=7),0,IF(VLOOKUP(AI23,COMPORTAMIENTO!$A$2:$H$2100,8,0)=AY23,0,"ERROR NOTA"))))</f>
        <v>0</v>
      </c>
      <c r="DD23" s="108">
        <f t="shared" si="9"/>
        <v>0.30000000000000004</v>
      </c>
      <c r="DE23" s="108">
        <f t="shared" si="10"/>
        <v>0.70000000000000007</v>
      </c>
      <c r="DF23" s="89" t="str">
        <f t="shared" si="22"/>
        <v>SI</v>
      </c>
      <c r="DG23" s="89">
        <f t="shared" si="11"/>
        <v>0</v>
      </c>
      <c r="DH23" s="89">
        <f t="shared" si="12"/>
        <v>0</v>
      </c>
      <c r="DI23" s="89">
        <f t="shared" si="23"/>
        <v>0</v>
      </c>
      <c r="DJ23" s="16">
        <f t="shared" si="13"/>
        <v>7.0000000000000009</v>
      </c>
      <c r="DK23" s="11">
        <f t="shared" si="24"/>
        <v>7.0000000000000009</v>
      </c>
      <c r="DL23" s="16">
        <f t="shared" si="14"/>
        <v>5075</v>
      </c>
      <c r="DM23" s="16">
        <f>VLOOKUP(A23,'5 TD'!$A$3:$B$35,2,0)</f>
        <v>5075</v>
      </c>
      <c r="DN23" s="11">
        <f t="shared" si="25"/>
        <v>7</v>
      </c>
      <c r="DO23" s="89" t="str">
        <f t="shared" si="26"/>
        <v>APROBADO</v>
      </c>
      <c r="DP23" s="89" t="str">
        <f t="shared" si="27"/>
        <v>APROBADO</v>
      </c>
      <c r="DQ23" s="11">
        <f t="shared" si="28"/>
        <v>6.6</v>
      </c>
      <c r="DR23" s="89" t="str">
        <f t="shared" si="29"/>
        <v>APROBADO</v>
      </c>
      <c r="DS23" s="6" t="str">
        <f>+('3 Planilla Preadjudicación OTIC'!BP24)</f>
        <v>SI</v>
      </c>
      <c r="DT23" s="6">
        <f>IF(DR23="APROBADO",VLOOKUP(A23,'5 TD'!$D$3:$E$270,2,0),"NO APLICA")</f>
        <v>6.6</v>
      </c>
      <c r="DU23" s="6" t="str">
        <f t="shared" si="30"/>
        <v>SI</v>
      </c>
      <c r="DV23" s="6">
        <f>IF(DU23="SI",VLOOKUP(A23,'5 TD'!$G$3:$H$270,2,0),"NO APLICA ")</f>
        <v>7.0000000000000009</v>
      </c>
      <c r="DW23" s="6" t="str">
        <f t="shared" si="15"/>
        <v>SI</v>
      </c>
      <c r="DX23" s="6">
        <f>IF(DW23="SI",VLOOKUP(A23,'5 TD'!$J$4:$K$472,2,0),"NO APLICA")</f>
        <v>7</v>
      </c>
      <c r="DY23" s="6" t="str">
        <f t="shared" si="16"/>
        <v>SI</v>
      </c>
      <c r="DZ23" s="11">
        <f>IF(DY23="SI",VLOOKUP(A23,'5 TD'!$M$4:$N$350,2,0),"NO APLICA")</f>
        <v>3</v>
      </c>
      <c r="EA23" s="6" t="str">
        <f t="shared" si="17"/>
        <v>SI</v>
      </c>
      <c r="EB23" s="16">
        <f t="shared" si="18"/>
        <v>5075</v>
      </c>
      <c r="EC23" s="16">
        <f>IF(EA23="SI",VLOOKUP(A23,'5 TD'!$V$4:$W$479,2,0),"NO APLICA")</f>
        <v>5075</v>
      </c>
      <c r="ED23" s="6" t="str">
        <f t="shared" si="31"/>
        <v>SI</v>
      </c>
      <c r="EE23" s="83">
        <f>IF(ED23="SI",VLOOKUP(AI23,COMPORTAMIENTO!$A$1:$H$2100,7,0),"NO APLICA")</f>
        <v>0</v>
      </c>
      <c r="EF23" s="16">
        <f>IF(ED23="SI",VLOOKUP(A23,'5 TD'!$P$2:$Q$479,2,0),"NO APLICA")</f>
        <v>0</v>
      </c>
      <c r="EG23" s="6" t="str">
        <f t="shared" si="32"/>
        <v>SI</v>
      </c>
      <c r="EH23" s="6">
        <f>IF(CZ23="no",0,VLOOKUP(AI23,EXPERIENCIA!$A$1:$C$2100,2,0))</f>
        <v>33</v>
      </c>
      <c r="EI23" s="6">
        <f>IF(CZ23="si",VLOOKUP(A23,'5 TD'!$S$3:$T$2103,2,0),0)</f>
        <v>43</v>
      </c>
      <c r="EJ23" s="6" t="str">
        <f t="shared" si="33"/>
        <v>NO</v>
      </c>
      <c r="EK23" s="6">
        <f>+('3 Planilla Preadjudicación OTIC'!BW24)</f>
        <v>0</v>
      </c>
      <c r="EO23" s="209" t="s">
        <v>2387</v>
      </c>
    </row>
    <row r="24" spans="1:145" s="7" customFormat="1" x14ac:dyDescent="0.25">
      <c r="A24" s="6">
        <f>+('3 Planilla Preadjudicación OTIC'!A24)</f>
        <v>14384</v>
      </c>
      <c r="B24" s="6" t="str">
        <f>+('3 Planilla Preadjudicación OTIC'!B24)</f>
        <v>SOFOFA</v>
      </c>
      <c r="C24" s="8">
        <f>+('3 Planilla Preadjudicación OTIC'!E24)</f>
        <v>2025</v>
      </c>
      <c r="D24" s="8" t="str">
        <f>+('3 Planilla Preadjudicación OTIC'!F24)</f>
        <v>MANDATO</v>
      </c>
      <c r="E24" s="8" t="str">
        <f>+('3 Planilla Preadjudicación OTIC'!G24)</f>
        <v>65181652-1</v>
      </c>
      <c r="F24" s="8" t="str">
        <f>+('3 Planilla Preadjudicación OTIC'!H24)</f>
        <v>SOFOFA</v>
      </c>
      <c r="G24" s="8" t="str">
        <f>+('3 Planilla Preadjudicación OTIC'!I24)</f>
        <v>65140022-8</v>
      </c>
      <c r="H24" s="8" t="str">
        <f>+('3 Planilla Preadjudicación OTIC'!J24)</f>
        <v>FUTURO DEL TRABAJO</v>
      </c>
      <c r="I24" s="8" t="str">
        <f>+('3 Planilla Preadjudicación OTIC'!K24)</f>
        <v>MECÁNICA AUTOMOTRIZ ELECTROMECÁNICA</v>
      </c>
      <c r="J24" s="8" t="str">
        <f>+('3 Planilla Preadjudicación OTIC'!L24)</f>
        <v>PF0585</v>
      </c>
      <c r="K24" s="8">
        <f>+('3 Planilla Preadjudicación OTIC'!M24)</f>
        <v>0</v>
      </c>
      <c r="L24" s="8" t="str">
        <f>+('3 Planilla Preadjudicación OTIC'!N24)</f>
        <v/>
      </c>
      <c r="M24" s="6">
        <f>+('3 Planilla Preadjudicación OTIC'!O24)</f>
        <v>13</v>
      </c>
      <c r="N24" s="8">
        <f>+('3 Planilla Preadjudicación OTIC'!P24)</f>
        <v>0</v>
      </c>
      <c r="O24" s="8" t="str">
        <f>+('3 Planilla Preadjudicación OTIC'!Q24)</f>
        <v>RENCA</v>
      </c>
      <c r="P24" s="8" t="str">
        <f>+('3 Planilla Preadjudicación OTIC'!R24)</f>
        <v>ESTUDIANTES DE CUARTO AÑO DE ENSEÑANZA MEDIA O DE LICEOS TÉCNICOS PROFESIONALES.</v>
      </c>
      <c r="Q24" s="8" t="str">
        <f>+('3 Planilla Preadjudicación OTIC'!S24)</f>
        <v>PRESENCIAL</v>
      </c>
      <c r="R24" s="8" t="str">
        <f>+('3 Planilla Preadjudicación OTIC'!T24)</f>
        <v>DEPENDIENTE</v>
      </c>
      <c r="S24" s="8" t="str">
        <f>+('3 Planilla Preadjudicación OTIC'!U24)</f>
        <v>03. LUNES - VESPERTINO / 06. MARTES - VESPERTINO / 09. MIÉRCOLES - VESPERTINO / 12. JUEVES - VESPERTINO / 15. VIERNES - VESPERTINO</v>
      </c>
      <c r="T24" s="6">
        <f>+('3 Planilla Preadjudicación OTIC'!V24)</f>
        <v>15</v>
      </c>
      <c r="U24" s="6">
        <f>+('3 Planilla Preadjudicación OTIC'!W24)</f>
        <v>120</v>
      </c>
      <c r="V24" s="6">
        <f>+('3 Planilla Preadjudicación OTIC'!X24)</f>
        <v>0</v>
      </c>
      <c r="W24" s="6">
        <f>+('3 Planilla Preadjudicación OTIC'!Y24)</f>
        <v>120</v>
      </c>
      <c r="X24" s="6">
        <f>+('3 Planilla Preadjudicación OTIC'!Z24)</f>
        <v>4</v>
      </c>
      <c r="Y24" s="6" t="str">
        <f>+('3 Planilla Preadjudicación OTIC'!AA24)</f>
        <v>SI</v>
      </c>
      <c r="Z24" s="6" t="str">
        <f>+('3 Planilla Preadjudicación OTIC'!AB24)</f>
        <v>NO</v>
      </c>
      <c r="AA24" s="6" t="str">
        <f>+('3 Planilla Preadjudicación OTIC'!AC24)</f>
        <v>NO</v>
      </c>
      <c r="AB24" s="8">
        <f>+('3 Planilla Preadjudicación OTIC'!AD24)</f>
        <v>0</v>
      </c>
      <c r="AC24" s="8" t="str">
        <f>+('3 Planilla Preadjudicación OTIC'!AE24)</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24" s="6" t="str">
        <f>+('3 Planilla Preadjudicación OTIC'!AF24)</f>
        <v>NO</v>
      </c>
      <c r="AE24" s="8">
        <f>+('3 Planilla Preadjudicación OTIC'!AG24)</f>
        <v>0</v>
      </c>
      <c r="AF24" s="6" t="str">
        <f>+('3 Planilla Preadjudicación OTIC'!AH24)</f>
        <v>CERRADA</v>
      </c>
      <c r="AG24" s="6">
        <f>+('3 Planilla Preadjudicación OTIC'!AI24)</f>
        <v>30</v>
      </c>
      <c r="AH24" s="6">
        <f>+('3 Planilla Preadjudicación OTIC'!AJ24)</f>
        <v>2</v>
      </c>
      <c r="AI24" s="140" t="str">
        <f>+('3 Planilla Preadjudicación OTIC'!AK24)</f>
        <v>77593380-1</v>
      </c>
      <c r="AJ24" s="8" t="str">
        <f>+('3 Planilla Preadjudicación OTIC'!AL24)</f>
        <v>Centro de Investigación para el Desarrollo y Capacitación Limitada</v>
      </c>
      <c r="AK24" s="6">
        <f>+('3 Planilla Preadjudicación OTIC'!AM24)</f>
        <v>120</v>
      </c>
      <c r="AL24" s="6">
        <f>+('3 Planilla Preadjudicación OTIC'!AN24)</f>
        <v>30</v>
      </c>
      <c r="AM24" s="16">
        <f>+('3 Planilla Preadjudicación OTIC'!AO24)</f>
        <v>5075</v>
      </c>
      <c r="AN24" s="16">
        <f>+('3 Planilla Preadjudicación OTIC'!AP24)</f>
        <v>0</v>
      </c>
      <c r="AO24" s="16">
        <f>+('3 Planilla Preadjudicación OTIC'!AQ24)</f>
        <v>0</v>
      </c>
      <c r="AP24" s="16">
        <f>+('3 Planilla Preadjudicación OTIC'!AR24)</f>
        <v>9135000</v>
      </c>
      <c r="AQ24" s="16">
        <f>+('3 Planilla Preadjudicación OTIC'!AS24)</f>
        <v>1800000</v>
      </c>
      <c r="AR24" s="16">
        <f>+('3 Planilla Preadjudicación OTIC'!AT24)</f>
        <v>0</v>
      </c>
      <c r="AS24" s="16">
        <f>+('3 Planilla Preadjudicación OTIC'!AU24)</f>
        <v>0</v>
      </c>
      <c r="AT24" s="16">
        <f>+('3 Planilla Preadjudicación OTIC'!AV24)</f>
        <v>0</v>
      </c>
      <c r="AU24" s="16">
        <f>+('3 Planilla Preadjudicación OTIC'!AW24)</f>
        <v>10935000</v>
      </c>
      <c r="AV24" s="158" t="str">
        <f>+('3 Planilla Preadjudicación OTIC'!AX24)</f>
        <v>SI</v>
      </c>
      <c r="AW24" s="8">
        <f>+('3 Planilla Preadjudicación OTIC'!AY24)</f>
        <v>0</v>
      </c>
      <c r="AX24" s="6">
        <f>+('3 Planilla Preadjudicación OTIC'!AZ24)</f>
        <v>3</v>
      </c>
      <c r="AY24" s="6">
        <f>+('3 Planilla Preadjudicación OTIC'!BA24)</f>
        <v>7</v>
      </c>
      <c r="AZ24" s="6">
        <f>+('3 Planilla Preadjudicación OTIC'!BB24)</f>
        <v>0</v>
      </c>
      <c r="BA24" s="6">
        <f>+('3 Planilla Preadjudicación OTIC'!BC24)</f>
        <v>0</v>
      </c>
      <c r="BB24" s="6">
        <f>+('3 Planilla Preadjudicación OTIC'!BD24)</f>
        <v>0</v>
      </c>
      <c r="BC24" s="6">
        <f>+('3 Planilla Preadjudicación OTIC'!BE24)</f>
        <v>0</v>
      </c>
      <c r="BD24" s="6">
        <f>+('3 Planilla Preadjudicación OTIC'!BF24)</f>
        <v>0</v>
      </c>
      <c r="BE24" s="6">
        <f>+('3 Planilla Preadjudicación OTIC'!BG24)</f>
        <v>0</v>
      </c>
      <c r="BF24" s="6">
        <f>+('3 Planilla Preadjudicación OTIC'!BH24)</f>
        <v>0</v>
      </c>
      <c r="BG24" s="6">
        <f>+('3 Planilla Preadjudicación OTIC'!BI24)</f>
        <v>7</v>
      </c>
      <c r="BH24" s="6">
        <f>+('3 Planilla Preadjudicación OTIC'!BJ24)</f>
        <v>7</v>
      </c>
      <c r="BI24" s="6">
        <f>+('3 Planilla Preadjudicación OTIC'!BK24)</f>
        <v>7</v>
      </c>
      <c r="BJ24" s="6">
        <f>+('3 Planilla Preadjudicación OTIC'!BL24)</f>
        <v>7</v>
      </c>
      <c r="BK24" s="6">
        <f>+('3 Planilla Preadjudicación OTIC'!BM24)</f>
        <v>7</v>
      </c>
      <c r="BL24" s="6">
        <f>+('3 Planilla Preadjudicación OTIC'!BN24)</f>
        <v>7</v>
      </c>
      <c r="BM24" s="108">
        <f>ROUND(('3 Planilla Preadjudicación OTIC'!BO24),1)</f>
        <v>6.6</v>
      </c>
      <c r="BN24" s="8" t="str">
        <f>+('3 Planilla Preadjudicación OTIC'!BP24)</f>
        <v>SI</v>
      </c>
      <c r="BO24" s="8" t="str">
        <f>+('3 Planilla Preadjudicación OTIC'!BQ24)</f>
        <v>EMILY RODRIGUEZ</v>
      </c>
      <c r="BP24" s="8" t="str">
        <f>+('3 Planilla Preadjudicación OTIC'!BR24)</f>
        <v>ERODRIGUEZ@institutoasiste.cl</v>
      </c>
      <c r="BQ24" s="8">
        <f>+('3 Planilla Preadjudicación OTIC'!BS24)</f>
        <v>225962361</v>
      </c>
      <c r="BR24" s="8" t="str">
        <f>+('3 Planilla Preadjudicación OTIC'!BT24)</f>
        <v>PASAJE VIRGINIO ARIAS 1926, Renca</v>
      </c>
      <c r="BS24" s="8" t="str">
        <f>+('3 Planilla Preadjudicación OTIC'!BU24)</f>
        <v>Formar técnicos capacitados en el diagnóstico, mantenimiento y reparación de sistemas electromecánicos de vehículos automotrices, integrando conocimientos de mecánica, electricidad y electrónica bajo estándares de seguridad, calidad y sustentabilidad.</v>
      </c>
      <c r="BT24" s="8" t="str">
        <f>+('3 Planilla Preadjudicación OTIC'!BV24)</f>
        <v>Este curso entrega competencias para intervenir sistemas de propulsión, eléctricos, electrónicos y de confort de vehículos livianos y pesados. Incluye diagnóstico computarizado, mantenimiento preventivo y correctivo, gestión de servicio técnico y aplicación de normativas vigentes en electromovilidad y mecánica automotriz</v>
      </c>
      <c r="BU24" s="89">
        <f>IF(VLOOKUP(A24,'BD OFICIAL'!$A$1:$AL$2099,7,0)=D24,0,1)</f>
        <v>0</v>
      </c>
      <c r="BV24" s="89">
        <f>IF(VLOOKUP(A24,'BD OFICIAL'!$A$1:$AL$2099,11,0)=J24,0,1)</f>
        <v>0</v>
      </c>
      <c r="BW24" s="89">
        <f>IF(VLOOKUP(A24,'BD OFICIAL'!$A$1:$AL$2099,13,0)=L24,0,1)</f>
        <v>0</v>
      </c>
      <c r="BX24" s="6">
        <f>IF(VLOOKUP(A24,'BD OFICIAL'!$A$1:$AL$2099,16,0)=O24,0,1)</f>
        <v>0</v>
      </c>
      <c r="BY24" s="6">
        <f>IF(VLOOKUP(A24,'BD OFICIAL'!$A$1:$AL$2099,17,0)=P24,0,1)</f>
        <v>0</v>
      </c>
      <c r="BZ24" s="6">
        <f>IF(VLOOKUP(A24,'BD OFICIAL'!$A$1:$AL$2099,19,0)=R24,0,1)</f>
        <v>0</v>
      </c>
      <c r="CA24" s="6">
        <f>IF(VLOOKUP(A24,'BD OFICIAL'!$A$1:$AL$2099,21,0)=T24,0,1)</f>
        <v>0</v>
      </c>
      <c r="CB24" s="6">
        <f>IF(VLOOKUP(A24,'BD OFICIAL'!$A$1:$AL$2099,24,0)=AK24,0,1)</f>
        <v>0</v>
      </c>
      <c r="CC24" s="6">
        <f>IF(VLOOKUP(A24,'BD OFICIAL'!$A$1:$AL$2099,25,0)=X24,0,1)</f>
        <v>0</v>
      </c>
      <c r="CD24" s="6">
        <f>IF(VLOOKUP(A24,'BD OFICIAL'!$A$1:$AL$2099,26,0)=Y24,0,1)</f>
        <v>0</v>
      </c>
      <c r="CE24" s="6">
        <f>IF(VLOOKUP(A24,'BD OFICIAL'!$A$1:$AL$2099,27,0)=Z24,0,1)</f>
        <v>0</v>
      </c>
      <c r="CF24" s="6">
        <f>IF(VLOOKUP(A24,'BD OFICIAL'!$A$1:$AL$2099,28,0)=AA24,0,1)</f>
        <v>0</v>
      </c>
      <c r="CG24" s="6">
        <f>IF(VLOOKUP(A24,'BD OFICIAL'!$A$1:$AL$2099,33,0)=AF24,0,1)</f>
        <v>0</v>
      </c>
      <c r="CH24" s="6">
        <f>IF(VLOOKUP(A24,'BD OFICIAL'!$A$1:$AL$2099,35,0)=AH24,0,1)</f>
        <v>0</v>
      </c>
      <c r="CI24" s="89">
        <f>IF(VLOOKUP(A24,'BD OFICIAL'!$A$1:$AL$2099,34,0)=AL24,0,1)</f>
        <v>0</v>
      </c>
      <c r="CJ24" s="89">
        <f>VLOOKUP(A24,'BD OFICIAL'!$A$1:$AM$2099,36,0)*AM24-AP24</f>
        <v>0</v>
      </c>
      <c r="CK24" s="89" t="str">
        <f t="shared" si="0"/>
        <v>SSH</v>
      </c>
      <c r="CL24" s="89" t="str">
        <f t="shared" si="1"/>
        <v>SI</v>
      </c>
      <c r="CM24" s="89" t="str">
        <f t="shared" si="2"/>
        <v>NO</v>
      </c>
      <c r="CN24" s="35">
        <f t="shared" si="3"/>
        <v>0</v>
      </c>
      <c r="CO24" s="35">
        <f t="shared" si="19"/>
        <v>0</v>
      </c>
      <c r="CP24" s="35">
        <f t="shared" si="20"/>
        <v>0</v>
      </c>
      <c r="CQ24" s="35">
        <f>IF(VLOOKUP(A24,'BD OFICIAL'!$A:$AT,40,0)=AQ24,0,1)</f>
        <v>0</v>
      </c>
      <c r="CR24" s="35">
        <f>IF(VLOOKUP(A24,'BD OFICIAL'!$A:$AT,41,0)=AS24,0,1)</f>
        <v>0</v>
      </c>
      <c r="CS24" s="35">
        <f t="shared" si="21"/>
        <v>0</v>
      </c>
      <c r="CT24" s="35">
        <f t="shared" si="4"/>
        <v>0</v>
      </c>
      <c r="CU24" s="35">
        <f>IF(VLOOKUP(A24,'BD OFICIAL'!$A$1:$AL$1057,31,0)="SI",IF(AT24&gt;0,0,1),IF(AT24=0,0,1))</f>
        <v>0</v>
      </c>
      <c r="CV24" s="35">
        <f t="shared" si="5"/>
        <v>0</v>
      </c>
      <c r="CW24" s="35">
        <f t="shared" si="6"/>
        <v>0</v>
      </c>
      <c r="CX24" s="89" t="str">
        <f t="shared" si="7"/>
        <v>SI</v>
      </c>
      <c r="CY24" s="35">
        <f t="shared" si="8"/>
        <v>0</v>
      </c>
      <c r="CZ24" s="89" t="str">
        <f>IF(ISERROR(VLOOKUP(AI24,EXPERIENCIA!$A$1:$C$2100,1,0)),"NO","SI")</f>
        <v>SI</v>
      </c>
      <c r="DA24" s="89">
        <f>IF(CX24="no","NO APLICA",IF(AX24=0,"ERROR NOTA",IF(AND(AX24&gt;1,CZ24="NO"),"ERROR NOTA",IF(AND(CZ24="NO",AX24=1),0,IF(VLOOKUP(AI24,EXPERIENCIA!$A$1:$C$2100,3,0)=AX24,0,"ERROR NOTA")))))</f>
        <v>0</v>
      </c>
      <c r="DB24" s="89" t="str">
        <f>IF(ISERROR(VLOOKUP(AI24,COMPORTAMIENTO!$A$1:$C$2100,1,0)),"NO","SI")</f>
        <v>SI</v>
      </c>
      <c r="DC24" s="89">
        <f>IF(CX24="NO","NO APLICA",IF(AY24=0,"ERROR NOTA",IF(AND(DB24="NO",AY24=7),0,IF(VLOOKUP(AI24,COMPORTAMIENTO!$A$2:$H$2100,8,0)=AY24,0,"ERROR NOTA"))))</f>
        <v>0</v>
      </c>
      <c r="DD24" s="108">
        <f t="shared" si="9"/>
        <v>0.30000000000000004</v>
      </c>
      <c r="DE24" s="108">
        <f t="shared" si="10"/>
        <v>0.70000000000000007</v>
      </c>
      <c r="DF24" s="89" t="str">
        <f t="shared" si="22"/>
        <v>SI</v>
      </c>
      <c r="DG24" s="89">
        <f t="shared" si="11"/>
        <v>0</v>
      </c>
      <c r="DH24" s="89">
        <f t="shared" si="12"/>
        <v>0</v>
      </c>
      <c r="DI24" s="89">
        <f t="shared" si="23"/>
        <v>0</v>
      </c>
      <c r="DJ24" s="16">
        <f t="shared" si="13"/>
        <v>7.0000000000000009</v>
      </c>
      <c r="DK24" s="11">
        <f t="shared" si="24"/>
        <v>7.0000000000000009</v>
      </c>
      <c r="DL24" s="16">
        <f t="shared" si="14"/>
        <v>5075</v>
      </c>
      <c r="DM24" s="16">
        <f>VLOOKUP(A24,'5 TD'!$A$3:$B$35,2,0)</f>
        <v>5075</v>
      </c>
      <c r="DN24" s="11">
        <f t="shared" si="25"/>
        <v>7</v>
      </c>
      <c r="DO24" s="89" t="str">
        <f t="shared" si="26"/>
        <v>APROBADO</v>
      </c>
      <c r="DP24" s="89" t="str">
        <f t="shared" si="27"/>
        <v>APROBADO</v>
      </c>
      <c r="DQ24" s="11">
        <f t="shared" si="28"/>
        <v>6.6</v>
      </c>
      <c r="DR24" s="89" t="str">
        <f t="shared" si="29"/>
        <v>APROBADO</v>
      </c>
      <c r="DS24" s="6" t="str">
        <f>+('3 Planilla Preadjudicación OTIC'!BP25)</f>
        <v>NO</v>
      </c>
      <c r="DT24" s="6">
        <f>IF(DR24="APROBADO",VLOOKUP(A24,'5 TD'!$D$3:$E$270,2,0),"NO APLICA")</f>
        <v>6.6</v>
      </c>
      <c r="DU24" s="6" t="str">
        <f t="shared" si="30"/>
        <v>SI</v>
      </c>
      <c r="DV24" s="6">
        <f>IF(DU24="SI",VLOOKUP(A24,'5 TD'!$G$3:$H$270,2,0),"NO APLICA ")</f>
        <v>7.0000000000000009</v>
      </c>
      <c r="DW24" s="6" t="str">
        <f t="shared" si="15"/>
        <v>SI</v>
      </c>
      <c r="DX24" s="6">
        <f>IF(DW24="SI",VLOOKUP(A24,'5 TD'!$J$4:$K$472,2,0),"NO APLICA")</f>
        <v>7</v>
      </c>
      <c r="DY24" s="6" t="str">
        <f t="shared" si="16"/>
        <v>SI</v>
      </c>
      <c r="DZ24" s="11">
        <f>IF(DY24="SI",VLOOKUP(A24,'5 TD'!$M$4:$N$350,2,0),"NO APLICA")</f>
        <v>3</v>
      </c>
      <c r="EA24" s="6" t="str">
        <f t="shared" si="17"/>
        <v>SI</v>
      </c>
      <c r="EB24" s="16">
        <f t="shared" si="18"/>
        <v>5075</v>
      </c>
      <c r="EC24" s="16">
        <f>IF(EA24="SI",VLOOKUP(A24,'5 TD'!$V$4:$W$479,2,0),"NO APLICA")</f>
        <v>5075</v>
      </c>
      <c r="ED24" s="6" t="str">
        <f t="shared" si="31"/>
        <v>SI</v>
      </c>
      <c r="EE24" s="83">
        <f>IF(ED24="SI",VLOOKUP(AI24,COMPORTAMIENTO!$A$1:$H$2100,7,0),"NO APLICA")</f>
        <v>0</v>
      </c>
      <c r="EF24" s="16">
        <f>IF(ED24="SI",VLOOKUP(A24,'5 TD'!$P$2:$Q$479,2,0),"NO APLICA")</f>
        <v>0</v>
      </c>
      <c r="EG24" s="6" t="str">
        <f t="shared" si="32"/>
        <v>SI</v>
      </c>
      <c r="EH24" s="6">
        <f>IF(CZ24="no",0,VLOOKUP(AI24,EXPERIENCIA!$A$1:$C$2100,2,0))</f>
        <v>33</v>
      </c>
      <c r="EI24" s="6">
        <f>IF(CZ24="si",VLOOKUP(A24,'5 TD'!$S$3:$T$2103,2,0),0)</f>
        <v>33</v>
      </c>
      <c r="EJ24" s="6" t="str">
        <f t="shared" si="33"/>
        <v>SI</v>
      </c>
      <c r="EK24" s="6">
        <f>+('3 Planilla Preadjudicación OTIC'!BW25)</f>
        <v>0</v>
      </c>
      <c r="EL24" s="34" t="s">
        <v>2386</v>
      </c>
      <c r="EM24" s="63" t="s">
        <v>2397</v>
      </c>
      <c r="EO24" s="209" t="s">
        <v>2387</v>
      </c>
    </row>
    <row r="25" spans="1:145" s="7" customFormat="1" ht="12.75" x14ac:dyDescent="0.2">
      <c r="A25" s="6">
        <f>+('3 Planilla Preadjudicación OTIC'!A25)</f>
        <v>14387</v>
      </c>
      <c r="B25" s="6" t="str">
        <f>+('3 Planilla Preadjudicación OTIC'!B25)</f>
        <v>SOFOFA</v>
      </c>
      <c r="C25" s="8">
        <f>+('3 Planilla Preadjudicación OTIC'!E25)</f>
        <v>2025</v>
      </c>
      <c r="D25" s="8" t="str">
        <f>+('3 Planilla Preadjudicación OTIC'!F25)</f>
        <v>MANDATO</v>
      </c>
      <c r="E25" s="8" t="str">
        <f>+('3 Planilla Preadjudicación OTIC'!G25)</f>
        <v>65181652-1</v>
      </c>
      <c r="F25" s="8" t="str">
        <f>+('3 Planilla Preadjudicación OTIC'!H25)</f>
        <v>SOFOFA</v>
      </c>
      <c r="G25" s="8" t="str">
        <f>+('3 Planilla Preadjudicación OTIC'!I25)</f>
        <v>65140022-8</v>
      </c>
      <c r="H25" s="8" t="str">
        <f>+('3 Planilla Preadjudicación OTIC'!J25)</f>
        <v>FUTURO DEL TRABAJO</v>
      </c>
      <c r="I25" s="8" t="str">
        <f>+('3 Planilla Preadjudicación OTIC'!K25)</f>
        <v>OPERACIONES DE CARGA FRONTAL</v>
      </c>
      <c r="J25" s="8" t="str">
        <f>+('3 Planilla Preadjudicación OTIC'!L25)</f>
        <v>PF0795</v>
      </c>
      <c r="K25" s="8">
        <f>+('3 Planilla Preadjudicación OTIC'!M25)</f>
        <v>0</v>
      </c>
      <c r="L25" s="8" t="str">
        <f>+('3 Planilla Preadjudicación OTIC'!N25)</f>
        <v/>
      </c>
      <c r="M25" s="6">
        <f>+('3 Planilla Preadjudicación OTIC'!O25)</f>
        <v>13</v>
      </c>
      <c r="N25" s="8">
        <f>+('3 Planilla Preadjudicación OTIC'!P25)</f>
        <v>0</v>
      </c>
      <c r="O25" s="8" t="str">
        <f>+('3 Planilla Preadjudicación OTIC'!Q25)</f>
        <v>RENCA</v>
      </c>
      <c r="P25" s="8" t="str">
        <f>+('3 Planilla Preadjudicación OTIC'!R25)</f>
        <v>EMPRENDEDORES/AS INFORMALES O PERSONAS VULNERABLES PERTENECIENTES AL 80% MAS VULNERABLE</v>
      </c>
      <c r="Q25" s="8" t="str">
        <f>+('3 Planilla Preadjudicación OTIC'!S25)</f>
        <v>PRESENCIAL</v>
      </c>
      <c r="R25" s="8" t="str">
        <f>+('3 Planilla Preadjudicación OTIC'!T25)</f>
        <v>DEPENDIENTE</v>
      </c>
      <c r="S25" s="8" t="str">
        <f>+('3 Planilla Preadjudicación OTIC'!U25)</f>
        <v>03. LUNES - VESPERTINO / 06. MARTES - VESPERTINO / 09. MIÉRCOLES - VESPERTINO / 12. JUEVES - VESPERTINO / 15. VIERNES - VESPERTINO</v>
      </c>
      <c r="T25" s="6">
        <f>+('3 Planilla Preadjudicación OTIC'!V25)</f>
        <v>14</v>
      </c>
      <c r="U25" s="6">
        <f>+('3 Planilla Preadjudicación OTIC'!W25)</f>
        <v>240</v>
      </c>
      <c r="V25" s="6">
        <f>+('3 Planilla Preadjudicación OTIC'!X25)</f>
        <v>0</v>
      </c>
      <c r="W25" s="6">
        <f>+('3 Planilla Preadjudicación OTIC'!Y25)</f>
        <v>240</v>
      </c>
      <c r="X25" s="6">
        <f>+('3 Planilla Preadjudicación OTIC'!Z25)</f>
        <v>4</v>
      </c>
      <c r="Y25" s="6" t="str">
        <f>+('3 Planilla Preadjudicación OTIC'!AA25)</f>
        <v>SI</v>
      </c>
      <c r="Z25" s="6" t="str">
        <f>+('3 Planilla Preadjudicación OTIC'!AB25)</f>
        <v>NO</v>
      </c>
      <c r="AA25" s="6" t="str">
        <f>+('3 Planilla Preadjudicación OTIC'!AC25)</f>
        <v>NO</v>
      </c>
      <c r="AB25" s="8">
        <f>+('3 Planilla Preadjudicación OTIC'!AD25)</f>
        <v>0</v>
      </c>
      <c r="AC25" s="8" t="str">
        <f>+('3 Planilla Preadjudicación OTIC'!AE25)</f>
        <v>HOMBRES Y MUJERES DE 18 AÑOS O MAS, AGRESADOS DE LA EDUCACIÓN MEDIA, QUE ESTUDIERON EN LICEOS TECNICO PROFESIONALES DE LA COMUNA DE RENCA O RESIDAN EN DICHA COMUNA, CON ESPECIALIDAD EN TEMATICAS ASOCIADAS A LOGISTICA Y QUE TENGAN EDUCACION MEDIA COMPLETA.</v>
      </c>
      <c r="AD25" s="6" t="str">
        <f>+('3 Planilla Preadjudicación OTIC'!AF25)</f>
        <v>SI</v>
      </c>
      <c r="AE25" s="8" t="str">
        <f>+('3 Planilla Preadjudicación OTIC'!AG25)</f>
        <v>LICENCIA DE CONDUCIR CLASE D</v>
      </c>
      <c r="AF25" s="6" t="str">
        <f>+('3 Planilla Preadjudicación OTIC'!AH25)</f>
        <v>CERRADA</v>
      </c>
      <c r="AG25" s="6">
        <f>+('3 Planilla Preadjudicación OTIC'!AI25)</f>
        <v>60</v>
      </c>
      <c r="AH25" s="6">
        <f>+('3 Planilla Preadjudicación OTIC'!AJ25)</f>
        <v>3</v>
      </c>
      <c r="AI25" s="140" t="str">
        <f>+('3 Planilla Preadjudicación OTIC'!AK25)</f>
        <v>77593380-1</v>
      </c>
      <c r="AJ25" s="8" t="str">
        <f>+('3 Planilla Preadjudicación OTIC'!AL25)</f>
        <v>Centro de Investigación para el Desarrollo y Capacitación Limitada</v>
      </c>
      <c r="AK25" s="6">
        <f>+('3 Planilla Preadjudicación OTIC'!AM25)</f>
        <v>240</v>
      </c>
      <c r="AL25" s="6">
        <f>+('3 Planilla Preadjudicación OTIC'!AN25)</f>
        <v>60</v>
      </c>
      <c r="AM25" s="16">
        <f>+('3 Planilla Preadjudicación OTIC'!AO25)</f>
        <v>6373</v>
      </c>
      <c r="AN25" s="16">
        <f>+('3 Planilla Preadjudicación OTIC'!AP25)</f>
        <v>0</v>
      </c>
      <c r="AO25" s="16">
        <f>+('3 Planilla Preadjudicación OTIC'!AQ25)</f>
        <v>50000</v>
      </c>
      <c r="AP25" s="16">
        <f>+('3 Planilla Preadjudicación OTIC'!AR25)</f>
        <v>21413280</v>
      </c>
      <c r="AQ25" s="16">
        <f>+('3 Planilla Preadjudicación OTIC'!AS25)</f>
        <v>3360000</v>
      </c>
      <c r="AR25" s="16">
        <f>+('3 Planilla Preadjudicación OTIC'!AT25)</f>
        <v>0</v>
      </c>
      <c r="AS25" s="16">
        <f>+('3 Planilla Preadjudicación OTIC'!AU25)</f>
        <v>0</v>
      </c>
      <c r="AT25" s="16">
        <f>+('3 Planilla Preadjudicación OTIC'!AV25)</f>
        <v>700000</v>
      </c>
      <c r="AU25" s="16">
        <f>+('3 Planilla Preadjudicación OTIC'!AW25)</f>
        <v>25473280</v>
      </c>
      <c r="AV25" s="158" t="str">
        <f>+('3 Planilla Preadjudicación OTIC'!AX25)</f>
        <v>SI</v>
      </c>
      <c r="AW25" s="8">
        <f>+('3 Planilla Preadjudicación OTIC'!AY25)</f>
        <v>0</v>
      </c>
      <c r="AX25" s="6">
        <f>+('3 Planilla Preadjudicación OTIC'!AZ25)</f>
        <v>3</v>
      </c>
      <c r="AY25" s="6">
        <f>+('3 Planilla Preadjudicación OTIC'!BA25)</f>
        <v>7</v>
      </c>
      <c r="AZ25" s="6">
        <f>+('3 Planilla Preadjudicación OTIC'!BB25)</f>
        <v>0</v>
      </c>
      <c r="BA25" s="6">
        <f>+('3 Planilla Preadjudicación OTIC'!BC25)</f>
        <v>0</v>
      </c>
      <c r="BB25" s="6">
        <f>+('3 Planilla Preadjudicación OTIC'!BD25)</f>
        <v>0</v>
      </c>
      <c r="BC25" s="6">
        <f>+('3 Planilla Preadjudicación OTIC'!BE25)</f>
        <v>0</v>
      </c>
      <c r="BD25" s="6">
        <f>+('3 Planilla Preadjudicación OTIC'!BF25)</f>
        <v>0</v>
      </c>
      <c r="BE25" s="6">
        <f>+('3 Planilla Preadjudicación OTIC'!BG25)</f>
        <v>0</v>
      </c>
      <c r="BF25" s="6">
        <f>+('3 Planilla Preadjudicación OTIC'!BH25)</f>
        <v>0</v>
      </c>
      <c r="BG25" s="6">
        <f>+('3 Planilla Preadjudicación OTIC'!BI25)</f>
        <v>7</v>
      </c>
      <c r="BH25" s="6">
        <f>+('3 Planilla Preadjudicación OTIC'!BJ25)</f>
        <v>7</v>
      </c>
      <c r="BI25" s="6">
        <f>+('3 Planilla Preadjudicación OTIC'!BK25)</f>
        <v>7</v>
      </c>
      <c r="BJ25" s="6">
        <f>+('3 Planilla Preadjudicación OTIC'!BL25)</f>
        <v>7</v>
      </c>
      <c r="BK25" s="6">
        <f>+('3 Planilla Preadjudicación OTIC'!BM25)</f>
        <v>7</v>
      </c>
      <c r="BL25" s="6">
        <f>+('3 Planilla Preadjudicación OTIC'!BN25)</f>
        <v>7</v>
      </c>
      <c r="BM25" s="108">
        <f>ROUND(('3 Planilla Preadjudicación OTIC'!BO25),1)</f>
        <v>6.6</v>
      </c>
      <c r="BN25" s="8" t="str">
        <f>+('3 Planilla Preadjudicación OTIC'!BP25)</f>
        <v>NO</v>
      </c>
      <c r="BO25" s="8" t="str">
        <f>+('3 Planilla Preadjudicación OTIC'!BQ25)</f>
        <v>EMILY RODRIGUEZ</v>
      </c>
      <c r="BP25" s="8" t="str">
        <f>+('3 Planilla Preadjudicación OTIC'!BR25)</f>
        <v>ERODRIGUEZ@institutoasiste.cl</v>
      </c>
      <c r="BQ25" s="8">
        <f>+('3 Planilla Preadjudicación OTIC'!BS25)</f>
        <v>225962361</v>
      </c>
      <c r="BR25" s="8" t="str">
        <f>+('3 Planilla Preadjudicación OTIC'!BT25)</f>
        <v>PASAJE VIRGINIO ARIAS 1926, Renca</v>
      </c>
      <c r="BS25" s="8">
        <f>+('3 Planilla Preadjudicación OTIC'!BU25)</f>
        <v>0</v>
      </c>
      <c r="BT25" s="8">
        <f>+('3 Planilla Preadjudicación OTIC'!BV25)</f>
        <v>0</v>
      </c>
      <c r="BU25" s="89">
        <f>IF(VLOOKUP(A25,'BD OFICIAL'!$A$1:$AL$2099,7,0)=D25,0,1)</f>
        <v>0</v>
      </c>
      <c r="BV25" s="89">
        <f>IF(VLOOKUP(A25,'BD OFICIAL'!$A$1:$AL$2099,11,0)=J25,0,1)</f>
        <v>0</v>
      </c>
      <c r="BW25" s="89">
        <f>IF(VLOOKUP(A25,'BD OFICIAL'!$A$1:$AL$2099,13,0)=L25,0,1)</f>
        <v>0</v>
      </c>
      <c r="BX25" s="6">
        <f>IF(VLOOKUP(A25,'BD OFICIAL'!$A$1:$AL$2099,16,0)=O25,0,1)</f>
        <v>0</v>
      </c>
      <c r="BY25" s="6">
        <f>IF(VLOOKUP(A25,'BD OFICIAL'!$A$1:$AL$2099,17,0)=P25,0,1)</f>
        <v>0</v>
      </c>
      <c r="BZ25" s="6">
        <f>IF(VLOOKUP(A25,'BD OFICIAL'!$A$1:$AL$2099,19,0)=R25,0,1)</f>
        <v>0</v>
      </c>
      <c r="CA25" s="6">
        <f>IF(VLOOKUP(A25,'BD OFICIAL'!$A$1:$AL$2099,21,0)=T25,0,1)</f>
        <v>0</v>
      </c>
      <c r="CB25" s="6">
        <f>IF(VLOOKUP(A25,'BD OFICIAL'!$A$1:$AL$2099,24,0)=AK25,0,1)</f>
        <v>0</v>
      </c>
      <c r="CC25" s="6">
        <f>IF(VLOOKUP(A25,'BD OFICIAL'!$A$1:$AL$2099,25,0)=X25,0,1)</f>
        <v>0</v>
      </c>
      <c r="CD25" s="6">
        <f>IF(VLOOKUP(A25,'BD OFICIAL'!$A$1:$AL$2099,26,0)=Y25,0,1)</f>
        <v>0</v>
      </c>
      <c r="CE25" s="6">
        <f>IF(VLOOKUP(A25,'BD OFICIAL'!$A$1:$AL$2099,27,0)=Z25,0,1)</f>
        <v>0</v>
      </c>
      <c r="CF25" s="6">
        <f>IF(VLOOKUP(A25,'BD OFICIAL'!$A$1:$AL$2099,28,0)=AA25,0,1)</f>
        <v>0</v>
      </c>
      <c r="CG25" s="6">
        <f>IF(VLOOKUP(A25,'BD OFICIAL'!$A$1:$AL$2099,33,0)=AF25,0,1)</f>
        <v>0</v>
      </c>
      <c r="CH25" s="6">
        <f>IF(VLOOKUP(A25,'BD OFICIAL'!$A$1:$AL$2099,35,0)=AH25,0,1)</f>
        <v>0</v>
      </c>
      <c r="CI25" s="89">
        <f>IF(VLOOKUP(A25,'BD OFICIAL'!$A$1:$AL$2099,34,0)=AL25,0,1)</f>
        <v>0</v>
      </c>
      <c r="CJ25" s="89">
        <f>VLOOKUP(A25,'BD OFICIAL'!$A$1:$AM$2099,36,0)*AM25-AP25</f>
        <v>0</v>
      </c>
      <c r="CK25" s="89" t="str">
        <f t="shared" si="0"/>
        <v>SSH</v>
      </c>
      <c r="CL25" s="89" t="str">
        <f t="shared" si="1"/>
        <v>SI</v>
      </c>
      <c r="CM25" s="89" t="str">
        <f t="shared" si="2"/>
        <v>NO</v>
      </c>
      <c r="CN25" s="35">
        <f t="shared" si="3"/>
        <v>0</v>
      </c>
      <c r="CO25" s="35">
        <f t="shared" si="19"/>
        <v>0</v>
      </c>
      <c r="CP25" s="35">
        <f t="shared" si="20"/>
        <v>0</v>
      </c>
      <c r="CQ25" s="35">
        <f>IF(VLOOKUP(A25,'BD OFICIAL'!$A:$AT,40,0)=AQ25,0,1)</f>
        <v>0</v>
      </c>
      <c r="CR25" s="35">
        <f>IF(VLOOKUP(A25,'BD OFICIAL'!$A:$AT,41,0)=AS25,0,1)</f>
        <v>0</v>
      </c>
      <c r="CS25" s="35">
        <f t="shared" si="21"/>
        <v>0</v>
      </c>
      <c r="CT25" s="35">
        <f t="shared" si="4"/>
        <v>0</v>
      </c>
      <c r="CU25" s="35">
        <f>IF(VLOOKUP(A25,'BD OFICIAL'!$A$1:$AL$1057,31,0)="SI",IF(AT25&gt;0,0,1),IF(AT25=0,0,1))</f>
        <v>0</v>
      </c>
      <c r="CV25" s="35">
        <f t="shared" si="5"/>
        <v>0</v>
      </c>
      <c r="CW25" s="35">
        <f t="shared" si="6"/>
        <v>0</v>
      </c>
      <c r="CX25" s="89" t="str">
        <f t="shared" si="7"/>
        <v>SI</v>
      </c>
      <c r="CY25" s="35">
        <f t="shared" si="8"/>
        <v>0</v>
      </c>
      <c r="CZ25" s="89" t="str">
        <f>IF(ISERROR(VLOOKUP(AI25,EXPERIENCIA!$A$1:$C$2100,1,0)),"NO","SI")</f>
        <v>SI</v>
      </c>
      <c r="DA25" s="89">
        <f>IF(CX25="no","NO APLICA",IF(AX25=0,"ERROR NOTA",IF(AND(AX25&gt;1,CZ25="NO"),"ERROR NOTA",IF(AND(CZ25="NO",AX25=1),0,IF(VLOOKUP(AI25,EXPERIENCIA!$A$1:$C$2100,3,0)=AX25,0,"ERROR NOTA")))))</f>
        <v>0</v>
      </c>
      <c r="DB25" s="89" t="str">
        <f>IF(ISERROR(VLOOKUP(AI25,COMPORTAMIENTO!$A$1:$C$2100,1,0)),"NO","SI")</f>
        <v>SI</v>
      </c>
      <c r="DC25" s="89">
        <f>IF(CX25="NO","NO APLICA",IF(AY25=0,"ERROR NOTA",IF(AND(DB25="NO",AY25=7),0,IF(VLOOKUP(AI25,COMPORTAMIENTO!$A$2:$H$2100,8,0)=AY25,0,"ERROR NOTA"))))</f>
        <v>0</v>
      </c>
      <c r="DD25" s="108">
        <f t="shared" si="9"/>
        <v>0.30000000000000004</v>
      </c>
      <c r="DE25" s="108">
        <f t="shared" si="10"/>
        <v>0.70000000000000007</v>
      </c>
      <c r="DF25" s="89" t="str">
        <f t="shared" si="22"/>
        <v>SI</v>
      </c>
      <c r="DG25" s="89">
        <f t="shared" si="11"/>
        <v>0</v>
      </c>
      <c r="DH25" s="89">
        <f t="shared" si="12"/>
        <v>0</v>
      </c>
      <c r="DI25" s="89">
        <f t="shared" si="23"/>
        <v>0</v>
      </c>
      <c r="DJ25" s="16">
        <f t="shared" si="13"/>
        <v>7.0000000000000009</v>
      </c>
      <c r="DK25" s="11">
        <f t="shared" si="24"/>
        <v>7.0000000000000009</v>
      </c>
      <c r="DL25" s="16">
        <f t="shared" si="14"/>
        <v>6373</v>
      </c>
      <c r="DM25" s="16">
        <f>VLOOKUP(A25,'5 TD'!$A$3:$B$35,2,0)</f>
        <v>6373</v>
      </c>
      <c r="DN25" s="11">
        <f t="shared" si="25"/>
        <v>7</v>
      </c>
      <c r="DO25" s="89" t="str">
        <f t="shared" si="26"/>
        <v>APROBADO</v>
      </c>
      <c r="DP25" s="89" t="str">
        <f t="shared" si="27"/>
        <v>APROBADO</v>
      </c>
      <c r="DQ25" s="11">
        <f t="shared" si="28"/>
        <v>6.6</v>
      </c>
      <c r="DR25" s="89" t="str">
        <f t="shared" si="29"/>
        <v>APROBADO</v>
      </c>
      <c r="DS25" s="6" t="str">
        <f>+('3 Planilla Preadjudicación OTIC'!BP26)</f>
        <v>NO</v>
      </c>
      <c r="DT25" s="6">
        <f>IF(DR25="APROBADO",VLOOKUP(A25,'5 TD'!$D$3:$E$270,2,0),"NO APLICA")</f>
        <v>7</v>
      </c>
      <c r="DU25" s="6" t="str">
        <f t="shared" si="30"/>
        <v>NO</v>
      </c>
      <c r="DV25" s="6" t="str">
        <f>IF(DU25="SI",VLOOKUP(A25,'5 TD'!$G$3:$H$270,2,0),"NO APLICA ")</f>
        <v xml:space="preserve">NO APLICA </v>
      </c>
      <c r="DW25" s="6" t="str">
        <f t="shared" si="15"/>
        <v>NO</v>
      </c>
      <c r="DX25" s="6" t="str">
        <f>IF(DW25="SI",VLOOKUP(A25,'5 TD'!$J$4:$K$472,2,0),"NO APLICA")</f>
        <v>NO APLICA</v>
      </c>
      <c r="DY25" s="6" t="str">
        <f t="shared" si="16"/>
        <v>NO APLICA</v>
      </c>
      <c r="DZ25" s="11" t="str">
        <f>IF(DY25="SI",VLOOKUP(A25,'5 TD'!$M$4:$N$350,2,0),"NO APLICA")</f>
        <v>NO APLICA</v>
      </c>
      <c r="EA25" s="6" t="str">
        <f t="shared" si="17"/>
        <v>NO APLICA</v>
      </c>
      <c r="EB25" s="16" t="str">
        <f t="shared" si="18"/>
        <v/>
      </c>
      <c r="EC25" s="16" t="str">
        <f>IF(EA25="SI",VLOOKUP(A25,'5 TD'!$V$4:$W$479,2,0),"NO APLICA")</f>
        <v>NO APLICA</v>
      </c>
      <c r="ED25" s="6" t="str">
        <f t="shared" si="31"/>
        <v>NO</v>
      </c>
      <c r="EE25" s="83" t="str">
        <f>IF(ED25="SI",VLOOKUP(AI25,COMPORTAMIENTO!$A$1:$H$2100,7,0),"NO APLICA")</f>
        <v>NO APLICA</v>
      </c>
      <c r="EF25" s="16" t="str">
        <f>IF(ED25="SI",VLOOKUP(A25,'5 TD'!$P$2:$Q$479,2,0),"NO APLICA")</f>
        <v>NO APLICA</v>
      </c>
      <c r="EG25" s="6" t="str">
        <f t="shared" si="32"/>
        <v>NO</v>
      </c>
      <c r="EH25" s="6">
        <f>IF(CZ25="no",0,VLOOKUP(AI25,EXPERIENCIA!$A$1:$C$2100,2,0))</f>
        <v>33</v>
      </c>
      <c r="EI25" s="6">
        <f>IF(CZ25="si",VLOOKUP(A25,'5 TD'!$S$3:$T$2103,2,0),0)</f>
        <v>67</v>
      </c>
      <c r="EJ25" s="6" t="str">
        <f t="shared" si="33"/>
        <v>NO</v>
      </c>
      <c r="EK25" s="6">
        <f>+('3 Planilla Preadjudicación OTIC'!BW26)</f>
        <v>0</v>
      </c>
      <c r="EL25" s="34"/>
    </row>
    <row r="26" spans="1:145" s="7" customFormat="1" ht="12.75" x14ac:dyDescent="0.2">
      <c r="A26" s="6">
        <f>+('3 Planilla Preadjudicación OTIC'!A26)</f>
        <v>14388</v>
      </c>
      <c r="B26" s="6" t="str">
        <f>+('3 Planilla Preadjudicación OTIC'!B26)</f>
        <v>SOFOFA</v>
      </c>
      <c r="C26" s="8">
        <f>+('3 Planilla Preadjudicación OTIC'!E26)</f>
        <v>2025</v>
      </c>
      <c r="D26" s="8" t="str">
        <f>+('3 Planilla Preadjudicación OTIC'!F26)</f>
        <v>MANDATO</v>
      </c>
      <c r="E26" s="8" t="str">
        <f>+('3 Planilla Preadjudicación OTIC'!G26)</f>
        <v>65181652-1</v>
      </c>
      <c r="F26" s="8" t="str">
        <f>+('3 Planilla Preadjudicación OTIC'!H26)</f>
        <v>SOFOFA</v>
      </c>
      <c r="G26" s="8" t="str">
        <f>+('3 Planilla Preadjudicación OTIC'!I26)</f>
        <v>65140022-8</v>
      </c>
      <c r="H26" s="8" t="str">
        <f>+('3 Planilla Preadjudicación OTIC'!J26)</f>
        <v>FUTURO DEL TRABAJO</v>
      </c>
      <c r="I26" s="8" t="str">
        <f>+('3 Planilla Preadjudicación OTIC'!K26)</f>
        <v>PROCESOS LOGÍSTICOS EN BODEGAS, CENTROS DE DISTRIBUCIÓN Y CENTROS DE TRANSFERENCIA</v>
      </c>
      <c r="J26" s="8" t="str">
        <f>+('3 Planilla Preadjudicación OTIC'!L26)</f>
        <v>PF1444</v>
      </c>
      <c r="K26" s="8">
        <f>+('3 Planilla Preadjudicación OTIC'!M26)</f>
        <v>0</v>
      </c>
      <c r="L26" s="8" t="str">
        <f>+('3 Planilla Preadjudicación OTIC'!N26)</f>
        <v/>
      </c>
      <c r="M26" s="6">
        <f>+('3 Planilla Preadjudicación OTIC'!O26)</f>
        <v>13</v>
      </c>
      <c r="N26" s="8">
        <f>+('3 Planilla Preadjudicación OTIC'!P26)</f>
        <v>0</v>
      </c>
      <c r="O26" s="8" t="str">
        <f>+('3 Planilla Preadjudicación OTIC'!Q26)</f>
        <v>RENCA</v>
      </c>
      <c r="P26" s="8" t="str">
        <f>+('3 Planilla Preadjudicación OTIC'!R26)</f>
        <v>ESTUDIANTES DE CUARTO AÑO DE ENSEÑANZA MEDIA O DE LICEOS TÉCNICOS PROFESIONALES.</v>
      </c>
      <c r="Q26" s="8" t="str">
        <f>+('3 Planilla Preadjudicación OTIC'!S26)</f>
        <v>PRESENCIAL</v>
      </c>
      <c r="R26" s="8" t="str">
        <f>+('3 Planilla Preadjudicación OTIC'!T26)</f>
        <v>DEPENDIENTE</v>
      </c>
      <c r="S26" s="8" t="str">
        <f>+('3 Planilla Preadjudicación OTIC'!U26)</f>
        <v>03. LUNES - VESPERTINO / 06. MARTES - VESPERTINO / 09. MIÉRCOLES - VESPERTINO / 12. JUEVES - VESPERTINO / 15. VIERNES - VESPERTINO</v>
      </c>
      <c r="T26" s="6">
        <f>+('3 Planilla Preadjudicación OTIC'!V26)</f>
        <v>16</v>
      </c>
      <c r="U26" s="6">
        <f>+('3 Planilla Preadjudicación OTIC'!W26)</f>
        <v>80</v>
      </c>
      <c r="V26" s="6">
        <f>+('3 Planilla Preadjudicación OTIC'!X26)</f>
        <v>0</v>
      </c>
      <c r="W26" s="6">
        <f>+('3 Planilla Preadjudicación OTIC'!Y26)</f>
        <v>80</v>
      </c>
      <c r="X26" s="6">
        <f>+('3 Planilla Preadjudicación OTIC'!Z26)</f>
        <v>4</v>
      </c>
      <c r="Y26" s="6" t="str">
        <f>+('3 Planilla Preadjudicación OTIC'!AA26)</f>
        <v>SI</v>
      </c>
      <c r="Z26" s="6" t="str">
        <f>+('3 Planilla Preadjudicación OTIC'!AB26)</f>
        <v>NO</v>
      </c>
      <c r="AA26" s="6" t="str">
        <f>+('3 Planilla Preadjudicación OTIC'!AC26)</f>
        <v>NO</v>
      </c>
      <c r="AB26" s="8">
        <f>+('3 Planilla Preadjudicación OTIC'!AD26)</f>
        <v>0</v>
      </c>
      <c r="AC26" s="8" t="str">
        <f>+('3 Planilla Preadjudicación OTIC'!AE26)</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26" s="6" t="str">
        <f>+('3 Planilla Preadjudicación OTIC'!AF26)</f>
        <v>NO</v>
      </c>
      <c r="AE26" s="8">
        <f>+('3 Planilla Preadjudicación OTIC'!AG26)</f>
        <v>0</v>
      </c>
      <c r="AF26" s="6" t="str">
        <f>+('3 Planilla Preadjudicación OTIC'!AH26)</f>
        <v>CERRADA</v>
      </c>
      <c r="AG26" s="6">
        <f>+('3 Planilla Preadjudicación OTIC'!AI26)</f>
        <v>20</v>
      </c>
      <c r="AH26" s="6">
        <f>+('3 Planilla Preadjudicación OTIC'!AJ26)</f>
        <v>3</v>
      </c>
      <c r="AI26" s="140" t="str">
        <f>+('3 Planilla Preadjudicación OTIC'!AK26)</f>
        <v>76055298-4</v>
      </c>
      <c r="AJ26" s="8" t="str">
        <f>+('3 Planilla Preadjudicación OTIC'!AL26)</f>
        <v>Centro de Formación y Capacitación Limitada</v>
      </c>
      <c r="AK26" s="6">
        <f>+('3 Planilla Preadjudicación OTIC'!AM26)</f>
        <v>80</v>
      </c>
      <c r="AL26" s="6">
        <f>+('3 Planilla Preadjudicación OTIC'!AN26)</f>
        <v>20</v>
      </c>
      <c r="AM26" s="16">
        <f>+('3 Planilla Preadjudicación OTIC'!AO26)</f>
        <v>6373</v>
      </c>
      <c r="AN26" s="16">
        <f>+('3 Planilla Preadjudicación OTIC'!AP26)</f>
        <v>0</v>
      </c>
      <c r="AO26" s="16">
        <f>+('3 Planilla Preadjudicación OTIC'!AQ26)</f>
        <v>0</v>
      </c>
      <c r="AP26" s="16">
        <f>+('3 Planilla Preadjudicación OTIC'!AR26)</f>
        <v>8157440</v>
      </c>
      <c r="AQ26" s="16">
        <f>+('3 Planilla Preadjudicación OTIC'!AS26)</f>
        <v>1280000</v>
      </c>
      <c r="AR26" s="16">
        <f>+('3 Planilla Preadjudicación OTIC'!AT26)</f>
        <v>0</v>
      </c>
      <c r="AS26" s="16">
        <f>+('3 Planilla Preadjudicación OTIC'!AU26)</f>
        <v>0</v>
      </c>
      <c r="AT26" s="16">
        <f>+('3 Planilla Preadjudicación OTIC'!AV26)</f>
        <v>0</v>
      </c>
      <c r="AU26" s="16">
        <f>+('3 Planilla Preadjudicación OTIC'!AW26)</f>
        <v>9437440</v>
      </c>
      <c r="AV26" s="158" t="str">
        <f>+('3 Planilla Preadjudicación OTIC'!AX26)</f>
        <v>SI</v>
      </c>
      <c r="AW26" s="8">
        <f>+('3 Planilla Preadjudicación OTIC'!AY26)</f>
        <v>0</v>
      </c>
      <c r="AX26" s="6">
        <f>+('3 Planilla Preadjudicación OTIC'!AZ26)</f>
        <v>5</v>
      </c>
      <c r="AY26" s="6">
        <f>+('3 Planilla Preadjudicación OTIC'!BA26)</f>
        <v>7</v>
      </c>
      <c r="AZ26" s="6">
        <f>+('3 Planilla Preadjudicación OTIC'!BB26)</f>
        <v>0</v>
      </c>
      <c r="BA26" s="6">
        <f>+('3 Planilla Preadjudicación OTIC'!BC26)</f>
        <v>0</v>
      </c>
      <c r="BB26" s="6">
        <f>+('3 Planilla Preadjudicación OTIC'!BD26)</f>
        <v>0</v>
      </c>
      <c r="BC26" s="6">
        <f>+('3 Planilla Preadjudicación OTIC'!BE26)</f>
        <v>0</v>
      </c>
      <c r="BD26" s="6">
        <f>+('3 Planilla Preadjudicación OTIC'!BF26)</f>
        <v>0</v>
      </c>
      <c r="BE26" s="6">
        <f>+('3 Planilla Preadjudicación OTIC'!BG26)</f>
        <v>0</v>
      </c>
      <c r="BF26" s="6">
        <f>+('3 Planilla Preadjudicación OTIC'!BH26)</f>
        <v>0</v>
      </c>
      <c r="BG26" s="6">
        <f>+('3 Planilla Preadjudicación OTIC'!BI26)</f>
        <v>7</v>
      </c>
      <c r="BH26" s="6">
        <f>+('3 Planilla Preadjudicación OTIC'!BJ26)</f>
        <v>7</v>
      </c>
      <c r="BI26" s="6">
        <f>+('3 Planilla Preadjudicación OTIC'!BK26)</f>
        <v>7</v>
      </c>
      <c r="BJ26" s="6">
        <f>+('3 Planilla Preadjudicación OTIC'!BL26)</f>
        <v>7</v>
      </c>
      <c r="BK26" s="6">
        <f>+('3 Planilla Preadjudicación OTIC'!BM26)</f>
        <v>7</v>
      </c>
      <c r="BL26" s="6">
        <f>+('3 Planilla Preadjudicación OTIC'!BN26)</f>
        <v>7</v>
      </c>
      <c r="BM26" s="108">
        <f>ROUND(('3 Planilla Preadjudicación OTIC'!BO26),1)</f>
        <v>6.8</v>
      </c>
      <c r="BN26" s="8" t="str">
        <f>+('3 Planilla Preadjudicación OTIC'!BP26)</f>
        <v>NO</v>
      </c>
      <c r="BO26" s="8" t="str">
        <f>+('3 Planilla Preadjudicación OTIC'!BQ26)</f>
        <v>José Beniscelli</v>
      </c>
      <c r="BP26" s="8" t="str">
        <f>+('3 Planilla Preadjudicación OTIC'!BR26)</f>
        <v>jbeniscelli@cenfor.cl</v>
      </c>
      <c r="BQ26" s="8">
        <f>+('3 Planilla Preadjudicación OTIC'!BS26)</f>
        <v>986851817</v>
      </c>
      <c r="BR26" s="8" t="str">
        <f>+('3 Planilla Preadjudicación OTIC'!BT26)</f>
        <v>Av. Miraflore 8414, Renca</v>
      </c>
      <c r="BS26" s="8">
        <f>+('3 Planilla Preadjudicación OTIC'!BU26)</f>
        <v>0</v>
      </c>
      <c r="BT26" s="8">
        <f>+('3 Planilla Preadjudicación OTIC'!BV26)</f>
        <v>0</v>
      </c>
      <c r="BU26" s="89">
        <f>IF(VLOOKUP(A26,'BD OFICIAL'!$A$1:$AL$2099,7,0)=D26,0,1)</f>
        <v>0</v>
      </c>
      <c r="BV26" s="89">
        <f>IF(VLOOKUP(A26,'BD OFICIAL'!$A$1:$AL$2099,11,0)=J26,0,1)</f>
        <v>0</v>
      </c>
      <c r="BW26" s="89">
        <f>IF(VLOOKUP(A26,'BD OFICIAL'!$A$1:$AL$2099,13,0)=L26,0,1)</f>
        <v>0</v>
      </c>
      <c r="BX26" s="6">
        <f>IF(VLOOKUP(A26,'BD OFICIAL'!$A$1:$AL$2099,16,0)=O26,0,1)</f>
        <v>0</v>
      </c>
      <c r="BY26" s="6">
        <f>IF(VLOOKUP(A26,'BD OFICIAL'!$A$1:$AL$2099,17,0)=P26,0,1)</f>
        <v>0</v>
      </c>
      <c r="BZ26" s="6">
        <f>IF(VLOOKUP(A26,'BD OFICIAL'!$A$1:$AL$2099,19,0)=R26,0,1)</f>
        <v>0</v>
      </c>
      <c r="CA26" s="6">
        <f>IF(VLOOKUP(A26,'BD OFICIAL'!$A$1:$AL$2099,21,0)=T26,0,1)</f>
        <v>0</v>
      </c>
      <c r="CB26" s="6">
        <f>IF(VLOOKUP(A26,'BD OFICIAL'!$A$1:$AL$2099,24,0)=AK26,0,1)</f>
        <v>0</v>
      </c>
      <c r="CC26" s="6">
        <f>IF(VLOOKUP(A26,'BD OFICIAL'!$A$1:$AL$2099,25,0)=X26,0,1)</f>
        <v>0</v>
      </c>
      <c r="CD26" s="6">
        <f>IF(VLOOKUP(A26,'BD OFICIAL'!$A$1:$AL$2099,26,0)=Y26,0,1)</f>
        <v>0</v>
      </c>
      <c r="CE26" s="6">
        <f>IF(VLOOKUP(A26,'BD OFICIAL'!$A$1:$AL$2099,27,0)=Z26,0,1)</f>
        <v>0</v>
      </c>
      <c r="CF26" s="6">
        <f>IF(VLOOKUP(A26,'BD OFICIAL'!$A$1:$AL$2099,28,0)=AA26,0,1)</f>
        <v>0</v>
      </c>
      <c r="CG26" s="6">
        <f>IF(VLOOKUP(A26,'BD OFICIAL'!$A$1:$AL$2099,33,0)=AF26,0,1)</f>
        <v>0</v>
      </c>
      <c r="CH26" s="6">
        <f>IF(VLOOKUP(A26,'BD OFICIAL'!$A$1:$AL$2099,35,0)=AH26,0,1)</f>
        <v>0</v>
      </c>
      <c r="CI26" s="89">
        <f>IF(VLOOKUP(A26,'BD OFICIAL'!$A$1:$AL$2099,34,0)=AL26,0,1)</f>
        <v>0</v>
      </c>
      <c r="CJ26" s="89">
        <f>VLOOKUP(A26,'BD OFICIAL'!$A$1:$AM$2099,36,0)*AM26-AP26</f>
        <v>0</v>
      </c>
      <c r="CK26" s="89" t="str">
        <f t="shared" si="0"/>
        <v>SSH</v>
      </c>
      <c r="CL26" s="89" t="str">
        <f t="shared" si="1"/>
        <v>SI</v>
      </c>
      <c r="CM26" s="89" t="str">
        <f t="shared" si="2"/>
        <v>NO</v>
      </c>
      <c r="CN26" s="35">
        <f t="shared" si="3"/>
        <v>0</v>
      </c>
      <c r="CO26" s="35">
        <f t="shared" si="19"/>
        <v>0</v>
      </c>
      <c r="CP26" s="35">
        <f t="shared" si="20"/>
        <v>0</v>
      </c>
      <c r="CQ26" s="35">
        <f>IF(VLOOKUP(A26,'BD OFICIAL'!$A:$AT,40,0)=AQ26,0,1)</f>
        <v>0</v>
      </c>
      <c r="CR26" s="35">
        <f>IF(VLOOKUP(A26,'BD OFICIAL'!$A:$AT,41,0)=AS26,0,1)</f>
        <v>0</v>
      </c>
      <c r="CS26" s="35">
        <f t="shared" si="21"/>
        <v>0</v>
      </c>
      <c r="CT26" s="35">
        <f t="shared" si="4"/>
        <v>0</v>
      </c>
      <c r="CU26" s="35">
        <f>IF(VLOOKUP(A26,'BD OFICIAL'!$A$1:$AL$1057,31,0)="SI",IF(AT26&gt;0,0,1),IF(AT26=0,0,1))</f>
        <v>0</v>
      </c>
      <c r="CV26" s="35">
        <f t="shared" si="5"/>
        <v>0</v>
      </c>
      <c r="CW26" s="35">
        <f t="shared" si="6"/>
        <v>0</v>
      </c>
      <c r="CX26" s="89" t="str">
        <f t="shared" si="7"/>
        <v>SI</v>
      </c>
      <c r="CY26" s="35">
        <f t="shared" si="8"/>
        <v>0</v>
      </c>
      <c r="CZ26" s="89" t="str">
        <f>IF(ISERROR(VLOOKUP(AI26,EXPERIENCIA!$A$1:$C$2100,1,0)),"NO","SI")</f>
        <v>SI</v>
      </c>
      <c r="DA26" s="89">
        <f>IF(CX26="no","NO APLICA",IF(AX26=0,"ERROR NOTA",IF(AND(AX26&gt;1,CZ26="NO"),"ERROR NOTA",IF(AND(CZ26="NO",AX26=1),0,IF(VLOOKUP(AI26,EXPERIENCIA!$A$1:$C$2100,3,0)=AX26,0,"ERROR NOTA")))))</f>
        <v>0</v>
      </c>
      <c r="DB26" s="89" t="str">
        <f>IF(ISERROR(VLOOKUP(AI26,COMPORTAMIENTO!$A$1:$C$2100,1,0)),"NO","SI")</f>
        <v>SI</v>
      </c>
      <c r="DC26" s="89">
        <f>IF(CX26="NO","NO APLICA",IF(AY26=0,"ERROR NOTA",IF(AND(DB26="NO",AY26=7),0,IF(VLOOKUP(AI26,COMPORTAMIENTO!$A$2:$H$2100,8,0)=AY26,0,"ERROR NOTA"))))</f>
        <v>0</v>
      </c>
      <c r="DD26" s="108">
        <f t="shared" si="9"/>
        <v>0.5</v>
      </c>
      <c r="DE26" s="108">
        <f t="shared" si="10"/>
        <v>0.70000000000000007</v>
      </c>
      <c r="DF26" s="89" t="str">
        <f t="shared" si="22"/>
        <v>SI</v>
      </c>
      <c r="DG26" s="89">
        <f t="shared" si="11"/>
        <v>0</v>
      </c>
      <c r="DH26" s="89">
        <f t="shared" si="12"/>
        <v>0</v>
      </c>
      <c r="DI26" s="89">
        <f t="shared" si="23"/>
        <v>0</v>
      </c>
      <c r="DJ26" s="16">
        <f t="shared" si="13"/>
        <v>7.0000000000000009</v>
      </c>
      <c r="DK26" s="11">
        <f t="shared" si="24"/>
        <v>7.0000000000000009</v>
      </c>
      <c r="DL26" s="16">
        <f t="shared" si="14"/>
        <v>6373</v>
      </c>
      <c r="DM26" s="16">
        <f>VLOOKUP(A26,'5 TD'!$A$3:$B$35,2,0)</f>
        <v>6373</v>
      </c>
      <c r="DN26" s="11">
        <f t="shared" si="25"/>
        <v>7</v>
      </c>
      <c r="DO26" s="89" t="str">
        <f t="shared" si="26"/>
        <v>APROBADO</v>
      </c>
      <c r="DP26" s="89" t="str">
        <f t="shared" si="27"/>
        <v>APROBADO</v>
      </c>
      <c r="DQ26" s="11">
        <f t="shared" si="28"/>
        <v>6.8</v>
      </c>
      <c r="DR26" s="89" t="str">
        <f t="shared" si="29"/>
        <v>APROBADO</v>
      </c>
      <c r="DS26" s="6" t="str">
        <f>+('3 Planilla Preadjudicación OTIC'!BP27)</f>
        <v>SI</v>
      </c>
      <c r="DT26" s="6">
        <f>IF(DR26="APROBADO",VLOOKUP(A26,'5 TD'!$D$3:$E$270,2,0),"NO APLICA")</f>
        <v>7</v>
      </c>
      <c r="DU26" s="6" t="str">
        <f t="shared" si="30"/>
        <v>NO</v>
      </c>
      <c r="DV26" s="6" t="str">
        <f>IF(DU26="SI",VLOOKUP(A26,'5 TD'!$G$3:$H$270,2,0),"NO APLICA ")</f>
        <v xml:space="preserve">NO APLICA </v>
      </c>
      <c r="DW26" s="6" t="str">
        <f t="shared" si="15"/>
        <v>NO</v>
      </c>
      <c r="DX26" s="6" t="str">
        <f>IF(DW26="SI",VLOOKUP(A26,'5 TD'!$J$4:$K$472,2,0),"NO APLICA")</f>
        <v>NO APLICA</v>
      </c>
      <c r="DY26" s="6" t="str">
        <f t="shared" si="16"/>
        <v>NO APLICA</v>
      </c>
      <c r="DZ26" s="11" t="str">
        <f>IF(DY26="SI",VLOOKUP(A26,'5 TD'!$M$4:$N$350,2,0),"NO APLICA")</f>
        <v>NO APLICA</v>
      </c>
      <c r="EA26" s="6" t="str">
        <f t="shared" si="17"/>
        <v>NO APLICA</v>
      </c>
      <c r="EB26" s="16" t="str">
        <f t="shared" si="18"/>
        <v/>
      </c>
      <c r="EC26" s="16" t="str">
        <f>IF(EA26="SI",VLOOKUP(A26,'5 TD'!$V$4:$W$479,2,0),"NO APLICA")</f>
        <v>NO APLICA</v>
      </c>
      <c r="ED26" s="6" t="str">
        <f t="shared" si="31"/>
        <v>NO</v>
      </c>
      <c r="EE26" s="83" t="str">
        <f>IF(ED26="SI",VLOOKUP(AI26,COMPORTAMIENTO!$A$1:$H$2100,7,0),"NO APLICA")</f>
        <v>NO APLICA</v>
      </c>
      <c r="EF26" s="16" t="str">
        <f>IF(ED26="SI",VLOOKUP(A26,'5 TD'!$P$2:$Q$479,2,0),"NO APLICA")</f>
        <v>NO APLICA</v>
      </c>
      <c r="EG26" s="6" t="str">
        <f t="shared" si="32"/>
        <v>NO</v>
      </c>
      <c r="EH26" s="6">
        <f>IF(CZ26="no",0,VLOOKUP(AI26,EXPERIENCIA!$A$1:$C$2100,2,0))</f>
        <v>48</v>
      </c>
      <c r="EI26" s="6">
        <f>IF(CZ26="si",VLOOKUP(A26,'5 TD'!$S$3:$T$2103,2,0),0)</f>
        <v>125</v>
      </c>
      <c r="EJ26" s="6" t="str">
        <f t="shared" si="33"/>
        <v>NO</v>
      </c>
      <c r="EK26" s="6">
        <f>+('3 Planilla Preadjudicación OTIC'!BW27)</f>
        <v>0</v>
      </c>
      <c r="EL26" s="34"/>
    </row>
    <row r="27" spans="1:145" s="7" customFormat="1" x14ac:dyDescent="0.25">
      <c r="A27" s="6">
        <f>+('3 Planilla Preadjudicación OTIC'!A27)</f>
        <v>14336</v>
      </c>
      <c r="B27" s="6" t="str">
        <f>+('3 Planilla Preadjudicación OTIC'!B27)</f>
        <v>SOFOFA</v>
      </c>
      <c r="C27" s="8">
        <f>+('3 Planilla Preadjudicación OTIC'!E27)</f>
        <v>2025</v>
      </c>
      <c r="D27" s="8" t="str">
        <f>+('3 Planilla Preadjudicación OTIC'!F27)</f>
        <v>MANDATO</v>
      </c>
      <c r="E27" s="8" t="str">
        <f>+('3 Planilla Preadjudicación OTIC'!G27)</f>
        <v>65181652-1</v>
      </c>
      <c r="F27" s="8" t="str">
        <f>+('3 Planilla Preadjudicación OTIC'!H27)</f>
        <v>SOFOFA</v>
      </c>
      <c r="G27" s="8" t="str">
        <f>+('3 Planilla Preadjudicación OTIC'!I27)</f>
        <v>70417500-0</v>
      </c>
      <c r="H27" s="8" t="str">
        <f>+('3 Planilla Preadjudicación OTIC'!J27)</f>
        <v>CORPORACION DE CAPACITACION Y EMPLEO SOFOFA (LICEOS)</v>
      </c>
      <c r="I27" s="8" t="str">
        <f>+('3 Planilla Preadjudicación OTIC'!K27)</f>
        <v>CONTROL DE CALIDAD EN LA INDUSTRIA ALIMENTARIA</v>
      </c>
      <c r="J27" s="8" t="str">
        <f>+('3 Planilla Preadjudicación OTIC'!L27)</f>
        <v>SIN PLAN FORMATIVO</v>
      </c>
      <c r="K27" s="8">
        <f>+('3 Planilla Preadjudicación OTIC'!M27)</f>
        <v>0</v>
      </c>
      <c r="L27" s="8" t="str">
        <f>+('3 Planilla Preadjudicación OTIC'!N27)</f>
        <v/>
      </c>
      <c r="M27" s="6">
        <f>+('3 Planilla Preadjudicación OTIC'!O27)</f>
        <v>13</v>
      </c>
      <c r="N27" s="8">
        <f>+('3 Planilla Preadjudicación OTIC'!P27)</f>
        <v>0</v>
      </c>
      <c r="O27" s="8" t="str">
        <f>+('3 Planilla Preadjudicación OTIC'!Q27)</f>
        <v>SANTIAGO</v>
      </c>
      <c r="P27" s="8" t="str">
        <f>+('3 Planilla Preadjudicación OTIC'!R27)</f>
        <v>ESTUDIANTES DE CUARTO AÑO DE ENSEÑANZA MEDIA O DE LICEOS TÉCNICOS PROFESIONALES.</v>
      </c>
      <c r="Q27" s="8" t="str">
        <f>+('3 Planilla Preadjudicación OTIC'!S27)</f>
        <v>PRESENCIAL</v>
      </c>
      <c r="R27" s="8" t="str">
        <f>+('3 Planilla Preadjudicación OTIC'!T27)</f>
        <v>DEPENDIENTE</v>
      </c>
      <c r="S27" s="8" t="str">
        <f>+('3 Planilla Preadjudicación OTIC'!U27)</f>
        <v>02. LUNES - TARDE / 05. MARTES - TARDE / 08. MIÉRCOLES - TARDE / 11. JUEVES - TARDE / 14. VIERNES - TARDE</v>
      </c>
      <c r="T27" s="6">
        <f>+('3 Planilla Preadjudicación OTIC'!V27)</f>
        <v>15</v>
      </c>
      <c r="U27" s="6">
        <f>+('3 Planilla Preadjudicación OTIC'!W27)</f>
        <v>0</v>
      </c>
      <c r="V27" s="6">
        <f>+('3 Planilla Preadjudicación OTIC'!X27)</f>
        <v>0</v>
      </c>
      <c r="W27" s="6">
        <f>+('3 Planilla Preadjudicación OTIC'!Y27)</f>
        <v>160</v>
      </c>
      <c r="X27" s="6">
        <f>+('3 Planilla Preadjudicación OTIC'!Z27)</f>
        <v>5</v>
      </c>
      <c r="Y27" s="6" t="str">
        <f>+('3 Planilla Preadjudicación OTIC'!AA27)</f>
        <v>SI</v>
      </c>
      <c r="Z27" s="6" t="str">
        <f>+('3 Planilla Preadjudicación OTIC'!AB27)</f>
        <v>NO</v>
      </c>
      <c r="AA27" s="6" t="str">
        <f>+('3 Planilla Preadjudicación OTIC'!AC27)</f>
        <v>NO</v>
      </c>
      <c r="AB27" s="8" t="str">
        <f>+('3 Planilla Preadjudicación OTIC'!AD27)</f>
        <v>- Aplicar normas del Reglamento Sanitario de los Alimentos (RSA) y la Ley 20.606 sobre
etiquetado nutricional.
- Reconocer y aplicar Buenas Prácticas de Manufactura (BPM) en procesos productivos
alimentarios.
- Implementar principios del sistema HACCP para el control de peligros alimentarios.
- Manejar herramientas e instrumentos de medición para evaluación sensorial,
fisicoquímica y microbiológica básica.
- Interpretar y registrar resultados de control de calidad, reportando no conformidades
según protocolos establecidos.
- Aplicar criterios de auditoría y trazabilidad conforme a estándares ISO 22000 y BRC Food.</v>
      </c>
      <c r="AC27" s="8" t="str">
        <f>+('3 Planilla Preadjudicación OTIC'!AE27)</f>
        <v>HOMBRES Y MUJERES, ESTUDIANTES DE CUARTO AÑO MEDIO DE LICEOS TECNICO PROFESIONAL DE LA COMUNA DE SANTIAGOL, CON ENSEÑANZA MEDIA COMPLETA PREFERENTEMENTE</v>
      </c>
      <c r="AD27" s="6" t="str">
        <f>+('3 Planilla Preadjudicación OTIC'!AF27)</f>
        <v>NO</v>
      </c>
      <c r="AE27" s="8">
        <f>+('3 Planilla Preadjudicación OTIC'!AG27)</f>
        <v>0</v>
      </c>
      <c r="AF27" s="6" t="str">
        <f>+('3 Planilla Preadjudicación OTIC'!AH27)</f>
        <v>CERRADA</v>
      </c>
      <c r="AG27" s="6">
        <f>+('3 Planilla Preadjudicación OTIC'!AI27)</f>
        <v>32</v>
      </c>
      <c r="AH27" s="6">
        <f>+('3 Planilla Preadjudicación OTIC'!AJ27)</f>
        <v>3</v>
      </c>
      <c r="AI27" s="140" t="str">
        <f>+('3 Planilla Preadjudicación OTIC'!AK27)</f>
        <v>65062756-3</v>
      </c>
      <c r="AJ27" s="8" t="str">
        <f>+('3 Planilla Preadjudicación OTIC'!AL27)</f>
        <v>Fundaciòn Forpe Chile</v>
      </c>
      <c r="AK27" s="6">
        <f>+('3 Planilla Preadjudicación OTIC'!AM27)</f>
        <v>160</v>
      </c>
      <c r="AL27" s="6">
        <f>+('3 Planilla Preadjudicación OTIC'!AN27)</f>
        <v>32</v>
      </c>
      <c r="AM27" s="16">
        <f>+('3 Planilla Preadjudicación OTIC'!AO27)</f>
        <v>6373</v>
      </c>
      <c r="AN27" s="16">
        <f>+('3 Planilla Preadjudicación OTIC'!AP27)</f>
        <v>0</v>
      </c>
      <c r="AO27" s="16">
        <f>+('3 Planilla Preadjudicación OTIC'!AQ27)</f>
        <v>0</v>
      </c>
      <c r="AP27" s="16">
        <f>+('3 Planilla Preadjudicación OTIC'!AR27)</f>
        <v>15295200</v>
      </c>
      <c r="AQ27" s="16">
        <f>+('3 Planilla Preadjudicación OTIC'!AS27)</f>
        <v>1920000</v>
      </c>
      <c r="AR27" s="16">
        <f>+('3 Planilla Preadjudicación OTIC'!AT27)</f>
        <v>0</v>
      </c>
      <c r="AS27" s="16">
        <f>+('3 Planilla Preadjudicación OTIC'!AU27)</f>
        <v>0</v>
      </c>
      <c r="AT27" s="16">
        <f>+('3 Planilla Preadjudicación OTIC'!AV27)</f>
        <v>0</v>
      </c>
      <c r="AU27" s="16">
        <f>+('3 Planilla Preadjudicación OTIC'!AW27)</f>
        <v>17215200</v>
      </c>
      <c r="AV27" s="158" t="str">
        <f>+('3 Planilla Preadjudicación OTIC'!AX27)</f>
        <v>SI</v>
      </c>
      <c r="AW27" s="8">
        <f>+('3 Planilla Preadjudicación OTIC'!AY27)</f>
        <v>0</v>
      </c>
      <c r="AX27" s="6">
        <f>+('3 Planilla Preadjudicación OTIC'!AZ27)</f>
        <v>7</v>
      </c>
      <c r="AY27" s="6">
        <f>+('3 Planilla Preadjudicación OTIC'!BA27)</f>
        <v>7</v>
      </c>
      <c r="AZ27" s="6">
        <f>+('3 Planilla Preadjudicación OTIC'!BB27)</f>
        <v>7</v>
      </c>
      <c r="BA27" s="6">
        <f>+('3 Planilla Preadjudicación OTIC'!BC27)</f>
        <v>7</v>
      </c>
      <c r="BB27" s="6">
        <f>+('3 Planilla Preadjudicación OTIC'!BD27)</f>
        <v>7</v>
      </c>
      <c r="BC27" s="6">
        <f>+('3 Planilla Preadjudicación OTIC'!BE27)</f>
        <v>7</v>
      </c>
      <c r="BD27" s="6">
        <f>+('3 Planilla Preadjudicación OTIC'!BF27)</f>
        <v>7</v>
      </c>
      <c r="BE27" s="6">
        <f>+('3 Planilla Preadjudicación OTIC'!BG27)</f>
        <v>7</v>
      </c>
      <c r="BF27" s="6">
        <f>+('3 Planilla Preadjudicación OTIC'!BH27)</f>
        <v>7</v>
      </c>
      <c r="BG27" s="6">
        <f>+('3 Planilla Preadjudicación OTIC'!BI27)</f>
        <v>7</v>
      </c>
      <c r="BH27" s="6">
        <f>+('3 Planilla Preadjudicación OTIC'!BJ27)</f>
        <v>7</v>
      </c>
      <c r="BI27" s="6">
        <f>+('3 Planilla Preadjudicación OTIC'!BK27)</f>
        <v>7</v>
      </c>
      <c r="BJ27" s="6">
        <f>+('3 Planilla Preadjudicación OTIC'!BL27)</f>
        <v>7</v>
      </c>
      <c r="BK27" s="6">
        <f>+('3 Planilla Preadjudicación OTIC'!BM27)</f>
        <v>7</v>
      </c>
      <c r="BL27" s="6">
        <f>+('3 Planilla Preadjudicación OTIC'!BN27)</f>
        <v>7</v>
      </c>
      <c r="BM27" s="108">
        <f>ROUND(('3 Planilla Preadjudicación OTIC'!BO27),1)</f>
        <v>7</v>
      </c>
      <c r="BN27" s="8" t="str">
        <f>+('3 Planilla Preadjudicación OTIC'!BP27)</f>
        <v>SI</v>
      </c>
      <c r="BO27" s="8" t="str">
        <f>+('3 Planilla Preadjudicación OTIC'!BQ27)</f>
        <v>ESTEBAN VEGA TORO</v>
      </c>
      <c r="BP27" s="8" t="str">
        <f>+('3 Planilla Preadjudicación OTIC'!BR27)</f>
        <v>contacto@forpe.cl</v>
      </c>
      <c r="BQ27" s="8">
        <f>+('3 Planilla Preadjudicación OTIC'!BS27)</f>
        <v>228347804</v>
      </c>
      <c r="BR27" s="8" t="str">
        <f>+('3 Planilla Preadjudicación OTIC'!BT27)</f>
        <v>Padre Miguel de Olivares 1324, Santiago</v>
      </c>
      <c r="BS27" s="8" t="str">
        <f>+('3 Planilla Preadjudicación OTIC'!BU27)</f>
        <v>Capacitar al participante en la aplicación de procedimientos de control de calidad en la industria alimentaria, asegurando la inocuidad, trazabilidad y cumplimiento de estándares técnicos y normativos en cada etapa del proceso productivo.</v>
      </c>
      <c r="BT27" s="8" t="str">
        <f>+('3 Planilla Preadjudicación OTIC'!BV27)</f>
        <v>Este curso entrega herramientas para implementar controles de calidad en alimentos, desde la recepción de materias primas hasta el producto final. Incluye análisis microbiológicos, físicos y sensoriales, gestión de riesgos, buenas prácticas de manufactura y trazabilidad en procesos alimentarios.</v>
      </c>
      <c r="BU27" s="89">
        <f>IF(VLOOKUP(A27,'BD OFICIAL'!$A$1:$AL$2099,7,0)=D27,0,1)</f>
        <v>0</v>
      </c>
      <c r="BV27" s="89">
        <f>IF(VLOOKUP(A27,'BD OFICIAL'!$A$1:$AL$2099,11,0)=J27,0,1)</f>
        <v>0</v>
      </c>
      <c r="BW27" s="89">
        <f>IF(VLOOKUP(A27,'BD OFICIAL'!$A$1:$AL$2099,13,0)=L27,0,1)</f>
        <v>0</v>
      </c>
      <c r="BX27" s="6">
        <f>IF(VLOOKUP(A27,'BD OFICIAL'!$A$1:$AL$2099,16,0)=O27,0,1)</f>
        <v>0</v>
      </c>
      <c r="BY27" s="6">
        <f>IF(VLOOKUP(A27,'BD OFICIAL'!$A$1:$AL$2099,17,0)=P27,0,1)</f>
        <v>0</v>
      </c>
      <c r="BZ27" s="6">
        <f>IF(VLOOKUP(A27,'BD OFICIAL'!$A$1:$AL$2099,19,0)=R27,0,1)</f>
        <v>0</v>
      </c>
      <c r="CA27" s="6">
        <f>IF(VLOOKUP(A27,'BD OFICIAL'!$A$1:$AL$2099,21,0)=T27,0,1)</f>
        <v>0</v>
      </c>
      <c r="CB27" s="6">
        <f>IF(VLOOKUP(A27,'BD OFICIAL'!$A$1:$AL$2099,24,0)=AK27,0,1)</f>
        <v>0</v>
      </c>
      <c r="CC27" s="6">
        <f>IF(VLOOKUP(A27,'BD OFICIAL'!$A$1:$AL$2099,25,0)=X27,0,1)</f>
        <v>0</v>
      </c>
      <c r="CD27" s="6">
        <f>IF(VLOOKUP(A27,'BD OFICIAL'!$A$1:$AL$2099,26,0)=Y27,0,1)</f>
        <v>0</v>
      </c>
      <c r="CE27" s="6">
        <f>IF(VLOOKUP(A27,'BD OFICIAL'!$A$1:$AL$2099,27,0)=Z27,0,1)</f>
        <v>0</v>
      </c>
      <c r="CF27" s="6">
        <f>IF(VLOOKUP(A27,'BD OFICIAL'!$A$1:$AL$2099,28,0)=AA27,0,1)</f>
        <v>0</v>
      </c>
      <c r="CG27" s="6">
        <f>IF(VLOOKUP(A27,'BD OFICIAL'!$A$1:$AL$2099,33,0)=AF27,0,1)</f>
        <v>0</v>
      </c>
      <c r="CH27" s="6">
        <f>IF(VLOOKUP(A27,'BD OFICIAL'!$A$1:$AL$2099,35,0)=AH27,0,1)</f>
        <v>0</v>
      </c>
      <c r="CI27" s="89">
        <f>IF(VLOOKUP(A27,'BD OFICIAL'!$A$1:$AL$2099,34,0)=AL27,0,1)</f>
        <v>0</v>
      </c>
      <c r="CJ27" s="89">
        <f>VLOOKUP(A27,'BD OFICIAL'!$A$1:$AM$2099,36,0)*AM27-AP27</f>
        <v>0</v>
      </c>
      <c r="CK27" s="89" t="str">
        <f t="shared" si="0"/>
        <v>SSH</v>
      </c>
      <c r="CL27" s="89" t="str">
        <f t="shared" si="1"/>
        <v>NO</v>
      </c>
      <c r="CM27" s="89" t="str">
        <f t="shared" si="2"/>
        <v>SI</v>
      </c>
      <c r="CN27" s="35">
        <f t="shared" si="3"/>
        <v>0</v>
      </c>
      <c r="CO27" s="35">
        <f t="shared" si="19"/>
        <v>0</v>
      </c>
      <c r="CP27" s="35">
        <f t="shared" si="20"/>
        <v>0</v>
      </c>
      <c r="CQ27" s="35">
        <f>IF(VLOOKUP(A27,'BD OFICIAL'!$A:$AT,40,0)=AQ27,0,1)</f>
        <v>0</v>
      </c>
      <c r="CR27" s="35">
        <f>IF(VLOOKUP(A27,'BD OFICIAL'!$A:$AT,41,0)=AS27,0,1)</f>
        <v>0</v>
      </c>
      <c r="CS27" s="35">
        <f t="shared" si="21"/>
        <v>0</v>
      </c>
      <c r="CT27" s="35">
        <f t="shared" si="4"/>
        <v>0</v>
      </c>
      <c r="CU27" s="35">
        <f>IF(VLOOKUP(A27,'BD OFICIAL'!$A$1:$AL$1057,31,0)="SI",IF(AT27&gt;0,0,1),IF(AT27=0,0,1))</f>
        <v>0</v>
      </c>
      <c r="CV27" s="35">
        <f t="shared" si="5"/>
        <v>0</v>
      </c>
      <c r="CW27" s="35">
        <f t="shared" si="6"/>
        <v>0</v>
      </c>
      <c r="CX27" s="89" t="str">
        <f t="shared" si="7"/>
        <v>SI</v>
      </c>
      <c r="CY27" s="35">
        <f t="shared" si="8"/>
        <v>0</v>
      </c>
      <c r="CZ27" s="89" t="str">
        <f>IF(ISERROR(VLOOKUP(AI27,EXPERIENCIA!$A$1:$C$2100,1,0)),"NO","SI")</f>
        <v>SI</v>
      </c>
      <c r="DA27" s="89">
        <f>IF(CX27="no","NO APLICA",IF(AX27=0,"ERROR NOTA",IF(AND(AX27&gt;1,CZ27="NO"),"ERROR NOTA",IF(AND(CZ27="NO",AX27=1),0,IF(VLOOKUP(AI27,EXPERIENCIA!$A$1:$C$2100,3,0)=AX27,0,"ERROR NOTA")))))</f>
        <v>0</v>
      </c>
      <c r="DB27" s="89" t="str">
        <f>IF(ISERROR(VLOOKUP(AI27,COMPORTAMIENTO!$A$1:$C$2100,1,0)),"NO","SI")</f>
        <v>SI</v>
      </c>
      <c r="DC27" s="89">
        <f>IF(CX27="NO","NO APLICA",IF(AY27=0,"ERROR NOTA",IF(AND(DB27="NO",AY27=7),0,IF(VLOOKUP(AI27,COMPORTAMIENTO!$A$2:$H$2100,8,0)=AY27,0,"ERROR NOTA"))))</f>
        <v>0</v>
      </c>
      <c r="DD27" s="108">
        <f t="shared" si="9"/>
        <v>0.70000000000000007</v>
      </c>
      <c r="DE27" s="108">
        <f t="shared" si="10"/>
        <v>0.70000000000000007</v>
      </c>
      <c r="DF27" s="89" t="str">
        <f t="shared" si="22"/>
        <v>NO</v>
      </c>
      <c r="DG27" s="89">
        <f t="shared" si="11"/>
        <v>7</v>
      </c>
      <c r="DH27" s="89">
        <f t="shared" si="12"/>
        <v>7</v>
      </c>
      <c r="DI27" s="89">
        <f t="shared" si="23"/>
        <v>7</v>
      </c>
      <c r="DJ27" s="16">
        <f t="shared" si="13"/>
        <v>7.0000000000000009</v>
      </c>
      <c r="DK27" s="11">
        <f t="shared" si="24"/>
        <v>7.0000000000000009</v>
      </c>
      <c r="DL27" s="16">
        <f t="shared" si="14"/>
        <v>6373</v>
      </c>
      <c r="DM27" s="16">
        <f>VLOOKUP(A27,'5 TD'!$A$3:$B$35,2,0)</f>
        <v>6373</v>
      </c>
      <c r="DN27" s="11">
        <f t="shared" si="25"/>
        <v>7</v>
      </c>
      <c r="DO27" s="89" t="str">
        <f t="shared" si="26"/>
        <v>APROBADO</v>
      </c>
      <c r="DP27" s="89" t="str">
        <f t="shared" si="27"/>
        <v>APROBADO</v>
      </c>
      <c r="DQ27" s="11">
        <f t="shared" si="28"/>
        <v>7</v>
      </c>
      <c r="DR27" s="89" t="str">
        <f t="shared" si="29"/>
        <v>APROBADO</v>
      </c>
      <c r="DS27" s="6" t="str">
        <f>+('3 Planilla Preadjudicación OTIC'!BP28)</f>
        <v>SI</v>
      </c>
      <c r="DT27" s="6">
        <f>IF(DR27="APROBADO",VLOOKUP(A27,'5 TD'!$D$3:$E$270,2,0),"NO APLICA")</f>
        <v>7</v>
      </c>
      <c r="DU27" s="6" t="str">
        <f t="shared" si="30"/>
        <v>SI</v>
      </c>
      <c r="DV27" s="6">
        <f>IF(DU27="SI",VLOOKUP(A27,'5 TD'!$G$3:$H$270,2,0),"NO APLICA ")</f>
        <v>7.0000000000000009</v>
      </c>
      <c r="DW27" s="6" t="str">
        <f t="shared" si="15"/>
        <v>SI</v>
      </c>
      <c r="DX27" s="6">
        <f>IF(DW27="SI",VLOOKUP(A27,'5 TD'!$J$4:$K$472,2,0),"NO APLICA")</f>
        <v>7</v>
      </c>
      <c r="DY27" s="6" t="str">
        <f t="shared" si="16"/>
        <v>SI</v>
      </c>
      <c r="DZ27" s="11">
        <f>IF(DY27="SI",VLOOKUP(A27,'5 TD'!$M$4:$N$350,2,0),"NO APLICA")</f>
        <v>7</v>
      </c>
      <c r="EA27" s="6" t="str">
        <f t="shared" si="17"/>
        <v>SI</v>
      </c>
      <c r="EB27" s="16">
        <f t="shared" si="18"/>
        <v>6373</v>
      </c>
      <c r="EC27" s="16">
        <f>IF(EA27="SI",VLOOKUP(A27,'5 TD'!$V$4:$W$479,2,0),"NO APLICA")</f>
        <v>6373</v>
      </c>
      <c r="ED27" s="6" t="str">
        <f t="shared" si="31"/>
        <v>SI</v>
      </c>
      <c r="EE27" s="83">
        <f>IF(ED27="SI",VLOOKUP(AI27,COMPORTAMIENTO!$A$1:$H$2100,7,0),"NO APLICA")</f>
        <v>0</v>
      </c>
      <c r="EF27" s="16">
        <f>IF(ED27="SI",VLOOKUP(A27,'5 TD'!$P$2:$Q$479,2,0),"NO APLICA")</f>
        <v>0</v>
      </c>
      <c r="EG27" s="6" t="str">
        <f t="shared" si="32"/>
        <v>SI</v>
      </c>
      <c r="EH27" s="6">
        <f>IF(CZ27="no",0,VLOOKUP(AI27,EXPERIENCIA!$A$1:$C$2100,2,0))</f>
        <v>125</v>
      </c>
      <c r="EI27" s="6">
        <f>IF(CZ27="si",VLOOKUP(A27,'5 TD'!$S$3:$T$2103,2,0),0)</f>
        <v>125</v>
      </c>
      <c r="EJ27" s="6" t="str">
        <f t="shared" si="33"/>
        <v>SI</v>
      </c>
      <c r="EK27" s="6">
        <f>+('3 Planilla Preadjudicación OTIC'!BW28)</f>
        <v>0</v>
      </c>
      <c r="EL27" s="34" t="s">
        <v>2385</v>
      </c>
      <c r="EM27" s="63" t="s">
        <v>2397</v>
      </c>
      <c r="EO27" s="209" t="s">
        <v>2387</v>
      </c>
    </row>
    <row r="28" spans="1:145" s="7" customFormat="1" x14ac:dyDescent="0.2">
      <c r="A28" s="6">
        <f>+('3 Planilla Preadjudicación OTIC'!A28)</f>
        <v>14388</v>
      </c>
      <c r="B28" s="6" t="str">
        <f>+('3 Planilla Preadjudicación OTIC'!B28)</f>
        <v>SOFOFA</v>
      </c>
      <c r="C28" s="8">
        <f>+('3 Planilla Preadjudicación OTIC'!E28)</f>
        <v>2025</v>
      </c>
      <c r="D28" s="8" t="str">
        <f>+('3 Planilla Preadjudicación OTIC'!F28)</f>
        <v>MANDATO</v>
      </c>
      <c r="E28" s="8" t="str">
        <f>+('3 Planilla Preadjudicación OTIC'!G28)</f>
        <v>65181652-1</v>
      </c>
      <c r="F28" s="8" t="str">
        <f>+('3 Planilla Preadjudicación OTIC'!H28)</f>
        <v>SOFOFA</v>
      </c>
      <c r="G28" s="8" t="str">
        <f>+('3 Planilla Preadjudicación OTIC'!I28)</f>
        <v>65140022-8</v>
      </c>
      <c r="H28" s="8" t="str">
        <f>+('3 Planilla Preadjudicación OTIC'!J28)</f>
        <v>FUTURO DEL TRABAJO</v>
      </c>
      <c r="I28" s="8" t="str">
        <f>+('3 Planilla Preadjudicación OTIC'!K28)</f>
        <v>PROCESOS LOGÍSTICOS EN BODEGAS, CENTROS DE DISTRIBUCIÓN Y CENTROS DE TRANSFERENCIA</v>
      </c>
      <c r="J28" s="8" t="str">
        <f>+('3 Planilla Preadjudicación OTIC'!L28)</f>
        <v>PF1444</v>
      </c>
      <c r="K28" s="8">
        <f>+('3 Planilla Preadjudicación OTIC'!M28)</f>
        <v>0</v>
      </c>
      <c r="L28" s="8" t="str">
        <f>+('3 Planilla Preadjudicación OTIC'!N28)</f>
        <v/>
      </c>
      <c r="M28" s="6">
        <f>+('3 Planilla Preadjudicación OTIC'!O28)</f>
        <v>13</v>
      </c>
      <c r="N28" s="8">
        <f>+('3 Planilla Preadjudicación OTIC'!P28)</f>
        <v>0</v>
      </c>
      <c r="O28" s="8" t="str">
        <f>+('3 Planilla Preadjudicación OTIC'!Q28)</f>
        <v>RENCA</v>
      </c>
      <c r="P28" s="8" t="str">
        <f>+('3 Planilla Preadjudicación OTIC'!R28)</f>
        <v>ESTUDIANTES DE CUARTO AÑO DE ENSEÑANZA MEDIA O DE LICEOS TÉCNICOS PROFESIONALES.</v>
      </c>
      <c r="Q28" s="8" t="str">
        <f>+('3 Planilla Preadjudicación OTIC'!S28)</f>
        <v>PRESENCIAL</v>
      </c>
      <c r="R28" s="8" t="str">
        <f>+('3 Planilla Preadjudicación OTIC'!T28)</f>
        <v>DEPENDIENTE</v>
      </c>
      <c r="S28" s="8" t="str">
        <f>+('3 Planilla Preadjudicación OTIC'!U28)</f>
        <v>03. LUNES - VESPERTINO / 06. MARTES - VESPERTINO / 09. MIÉRCOLES - VESPERTINO / 12. JUEVES - VESPERTINO / 15. VIERNES - VESPERTINO</v>
      </c>
      <c r="T28" s="6">
        <f>+('3 Planilla Preadjudicación OTIC'!V28)</f>
        <v>16</v>
      </c>
      <c r="U28" s="6">
        <f>+('3 Planilla Preadjudicación OTIC'!W28)</f>
        <v>80</v>
      </c>
      <c r="V28" s="6">
        <f>+('3 Planilla Preadjudicación OTIC'!X28)</f>
        <v>0</v>
      </c>
      <c r="W28" s="6">
        <f>+('3 Planilla Preadjudicación OTIC'!Y28)</f>
        <v>80</v>
      </c>
      <c r="X28" s="6">
        <f>+('3 Planilla Preadjudicación OTIC'!Z28)</f>
        <v>4</v>
      </c>
      <c r="Y28" s="6" t="str">
        <f>+('3 Planilla Preadjudicación OTIC'!AA28)</f>
        <v>SI</v>
      </c>
      <c r="Z28" s="6" t="str">
        <f>+('3 Planilla Preadjudicación OTIC'!AB28)</f>
        <v>NO</v>
      </c>
      <c r="AA28" s="6" t="str">
        <f>+('3 Planilla Preadjudicación OTIC'!AC28)</f>
        <v>NO</v>
      </c>
      <c r="AB28" s="8">
        <f>+('3 Planilla Preadjudicación OTIC'!AD28)</f>
        <v>0</v>
      </c>
      <c r="AC28" s="8" t="str">
        <f>+('3 Planilla Preadjudicación OTIC'!AE28)</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28" s="6" t="str">
        <f>+('3 Planilla Preadjudicación OTIC'!AF28)</f>
        <v>NO</v>
      </c>
      <c r="AE28" s="8">
        <f>+('3 Planilla Preadjudicación OTIC'!AG28)</f>
        <v>0</v>
      </c>
      <c r="AF28" s="6" t="str">
        <f>+('3 Planilla Preadjudicación OTIC'!AH28)</f>
        <v>CERRADA</v>
      </c>
      <c r="AG28" s="6">
        <f>+('3 Planilla Preadjudicación OTIC'!AI28)</f>
        <v>20</v>
      </c>
      <c r="AH28" s="6">
        <f>+('3 Planilla Preadjudicación OTIC'!AJ28)</f>
        <v>3</v>
      </c>
      <c r="AI28" s="140" t="str">
        <f>+('3 Planilla Preadjudicación OTIC'!AK28)</f>
        <v>65062756-3</v>
      </c>
      <c r="AJ28" s="8" t="str">
        <f>+('3 Planilla Preadjudicación OTIC'!AL28)</f>
        <v>Fundaciòn Forpe Chile</v>
      </c>
      <c r="AK28" s="6">
        <f>+('3 Planilla Preadjudicación OTIC'!AM28)</f>
        <v>80</v>
      </c>
      <c r="AL28" s="6">
        <f>+('3 Planilla Preadjudicación OTIC'!AN28)</f>
        <v>20</v>
      </c>
      <c r="AM28" s="16">
        <f>+('3 Planilla Preadjudicación OTIC'!AO28)</f>
        <v>6373</v>
      </c>
      <c r="AN28" s="16">
        <f>+('3 Planilla Preadjudicación OTIC'!AP28)</f>
        <v>0</v>
      </c>
      <c r="AO28" s="16">
        <f>+('3 Planilla Preadjudicación OTIC'!AQ28)</f>
        <v>0</v>
      </c>
      <c r="AP28" s="16">
        <f>+('3 Planilla Preadjudicación OTIC'!AR28)</f>
        <v>8157440</v>
      </c>
      <c r="AQ28" s="16">
        <f>+('3 Planilla Preadjudicación OTIC'!AS28)</f>
        <v>1280000</v>
      </c>
      <c r="AR28" s="16">
        <f>+('3 Planilla Preadjudicación OTIC'!AT28)</f>
        <v>0</v>
      </c>
      <c r="AS28" s="16">
        <f>+('3 Planilla Preadjudicación OTIC'!AU28)</f>
        <v>0</v>
      </c>
      <c r="AT28" s="16">
        <f>+('3 Planilla Preadjudicación OTIC'!AV28)</f>
        <v>0</v>
      </c>
      <c r="AU28" s="16">
        <f>+('3 Planilla Preadjudicación OTIC'!AW28)</f>
        <v>9437440</v>
      </c>
      <c r="AV28" s="158" t="str">
        <f>+('3 Planilla Preadjudicación OTIC'!AX28)</f>
        <v>SI</v>
      </c>
      <c r="AW28" s="8">
        <f>+('3 Planilla Preadjudicación OTIC'!AY28)</f>
        <v>0</v>
      </c>
      <c r="AX28" s="6">
        <f>+('3 Planilla Preadjudicación OTIC'!AZ28)</f>
        <v>7</v>
      </c>
      <c r="AY28" s="6">
        <f>+('3 Planilla Preadjudicación OTIC'!BA28)</f>
        <v>7</v>
      </c>
      <c r="AZ28" s="6">
        <f>+('3 Planilla Preadjudicación OTIC'!BB28)</f>
        <v>0</v>
      </c>
      <c r="BA28" s="6">
        <f>+('3 Planilla Preadjudicación OTIC'!BC28)</f>
        <v>0</v>
      </c>
      <c r="BB28" s="6">
        <f>+('3 Planilla Preadjudicación OTIC'!BD28)</f>
        <v>0</v>
      </c>
      <c r="BC28" s="6">
        <f>+('3 Planilla Preadjudicación OTIC'!BE28)</f>
        <v>0</v>
      </c>
      <c r="BD28" s="6">
        <f>+('3 Planilla Preadjudicación OTIC'!BF28)</f>
        <v>0</v>
      </c>
      <c r="BE28" s="6">
        <f>+('3 Planilla Preadjudicación OTIC'!BG28)</f>
        <v>0</v>
      </c>
      <c r="BF28" s="6">
        <f>+('3 Planilla Preadjudicación OTIC'!BH28)</f>
        <v>0</v>
      </c>
      <c r="BG28" s="6">
        <f>+('3 Planilla Preadjudicación OTIC'!BI28)</f>
        <v>7</v>
      </c>
      <c r="BH28" s="6">
        <f>+('3 Planilla Preadjudicación OTIC'!BJ28)</f>
        <v>7</v>
      </c>
      <c r="BI28" s="6">
        <f>+('3 Planilla Preadjudicación OTIC'!BK28)</f>
        <v>7</v>
      </c>
      <c r="BJ28" s="6">
        <f>+('3 Planilla Preadjudicación OTIC'!BL28)</f>
        <v>7</v>
      </c>
      <c r="BK28" s="6">
        <f>+('3 Planilla Preadjudicación OTIC'!BM28)</f>
        <v>7</v>
      </c>
      <c r="BL28" s="6">
        <f>+('3 Planilla Preadjudicación OTIC'!BN28)</f>
        <v>7</v>
      </c>
      <c r="BM28" s="108">
        <f>ROUND(('3 Planilla Preadjudicación OTIC'!BO28),1)</f>
        <v>7</v>
      </c>
      <c r="BN28" s="8" t="str">
        <f>+('3 Planilla Preadjudicación OTIC'!BP28)</f>
        <v>SI</v>
      </c>
      <c r="BO28" s="8" t="str">
        <f>+('3 Planilla Preadjudicación OTIC'!BQ28)</f>
        <v>ESTEBAN VEGA TORO</v>
      </c>
      <c r="BP28" s="8" t="str">
        <f>+('3 Planilla Preadjudicación OTIC'!BR28)</f>
        <v>contacto@forpe.cl</v>
      </c>
      <c r="BQ28" s="8">
        <f>+('3 Planilla Preadjudicación OTIC'!BS28)</f>
        <v>228347804</v>
      </c>
      <c r="BR28" s="8" t="str">
        <f>+('3 Planilla Preadjudicación OTIC'!BT28)</f>
        <v>Vicuña Makena 1020, Renca</v>
      </c>
      <c r="BS28" s="8" t="str">
        <f>+('3 Planilla Preadjudicación OTIC'!BU28)</f>
        <v>Capacitar al participante en la gestión eficiente de procesos logísticos en bodegas, centros de distribución y centros de transferencia, aplicando técnicas de almacenamiento, manejo de inventarios y control operativo conforme a estándares de calidad y seguridad.</v>
      </c>
      <c r="BT28" s="8" t="str">
        <f>+('3 Planilla Preadjudicación OTIC'!BV28)</f>
        <v>Este curso entrega conocimientos prácticos sobre recepción, almacenamiento, preparación de pedidos y despacho de mercancías. Aborda el diseño de layout, flujo de materiales, optimización de espacios, rotación de inventarios y buenas prácticas logísticas para mejorar la eficiencia operativa en distintos tipos de instalaciones.</v>
      </c>
      <c r="BU28" s="89">
        <f>IF(VLOOKUP(A28,'BD OFICIAL'!$A$1:$AL$2099,7,0)=D28,0,1)</f>
        <v>0</v>
      </c>
      <c r="BV28" s="89">
        <f>IF(VLOOKUP(A28,'BD OFICIAL'!$A$1:$AL$2099,11,0)=J28,0,1)</f>
        <v>0</v>
      </c>
      <c r="BW28" s="89">
        <f>IF(VLOOKUP(A28,'BD OFICIAL'!$A$1:$AL$2099,13,0)=L28,0,1)</f>
        <v>0</v>
      </c>
      <c r="BX28" s="6">
        <f>IF(VLOOKUP(A28,'BD OFICIAL'!$A$1:$AL$2099,16,0)=O28,0,1)</f>
        <v>0</v>
      </c>
      <c r="BY28" s="6">
        <f>IF(VLOOKUP(A28,'BD OFICIAL'!$A$1:$AL$2099,17,0)=P28,0,1)</f>
        <v>0</v>
      </c>
      <c r="BZ28" s="6">
        <f>IF(VLOOKUP(A28,'BD OFICIAL'!$A$1:$AL$2099,19,0)=R28,0,1)</f>
        <v>0</v>
      </c>
      <c r="CA28" s="6">
        <f>IF(VLOOKUP(A28,'BD OFICIAL'!$A$1:$AL$2099,21,0)=T28,0,1)</f>
        <v>0</v>
      </c>
      <c r="CB28" s="6">
        <f>IF(VLOOKUP(A28,'BD OFICIAL'!$A$1:$AL$2099,24,0)=AK28,0,1)</f>
        <v>0</v>
      </c>
      <c r="CC28" s="6">
        <f>IF(VLOOKUP(A28,'BD OFICIAL'!$A$1:$AL$2099,25,0)=X28,0,1)</f>
        <v>0</v>
      </c>
      <c r="CD28" s="6">
        <f>IF(VLOOKUP(A28,'BD OFICIAL'!$A$1:$AL$2099,26,0)=Y28,0,1)</f>
        <v>0</v>
      </c>
      <c r="CE28" s="6">
        <f>IF(VLOOKUP(A28,'BD OFICIAL'!$A$1:$AL$2099,27,0)=Z28,0,1)</f>
        <v>0</v>
      </c>
      <c r="CF28" s="6">
        <f>IF(VLOOKUP(A28,'BD OFICIAL'!$A$1:$AL$2099,28,0)=AA28,0,1)</f>
        <v>0</v>
      </c>
      <c r="CG28" s="6">
        <f>IF(VLOOKUP(A28,'BD OFICIAL'!$A$1:$AL$2099,33,0)=AF28,0,1)</f>
        <v>0</v>
      </c>
      <c r="CH28" s="6">
        <f>IF(VLOOKUP(A28,'BD OFICIAL'!$A$1:$AL$2099,35,0)=AH28,0,1)</f>
        <v>0</v>
      </c>
      <c r="CI28" s="89">
        <f>IF(VLOOKUP(A28,'BD OFICIAL'!$A$1:$AL$2099,34,0)=AL28,0,1)</f>
        <v>0</v>
      </c>
      <c r="CJ28" s="89">
        <f>VLOOKUP(A28,'BD OFICIAL'!$A$1:$AM$2099,36,0)*AM28-AP28</f>
        <v>0</v>
      </c>
      <c r="CK28" s="89" t="str">
        <f t="shared" si="0"/>
        <v>SSH</v>
      </c>
      <c r="CL28" s="89" t="str">
        <f t="shared" si="1"/>
        <v>SI</v>
      </c>
      <c r="CM28" s="89" t="str">
        <f t="shared" si="2"/>
        <v>NO</v>
      </c>
      <c r="CN28" s="35">
        <f t="shared" si="3"/>
        <v>0</v>
      </c>
      <c r="CO28" s="35">
        <f t="shared" si="19"/>
        <v>0</v>
      </c>
      <c r="CP28" s="35">
        <f t="shared" si="20"/>
        <v>0</v>
      </c>
      <c r="CQ28" s="35">
        <f>IF(VLOOKUP(A28,'BD OFICIAL'!$A:$AT,40,0)=AQ28,0,1)</f>
        <v>0</v>
      </c>
      <c r="CR28" s="35">
        <f>IF(VLOOKUP(A28,'BD OFICIAL'!$A:$AT,41,0)=AS28,0,1)</f>
        <v>0</v>
      </c>
      <c r="CS28" s="35">
        <f t="shared" si="21"/>
        <v>0</v>
      </c>
      <c r="CT28" s="35">
        <f t="shared" si="4"/>
        <v>0</v>
      </c>
      <c r="CU28" s="35">
        <f>IF(VLOOKUP(A28,'BD OFICIAL'!$A$1:$AL$1057,31,0)="SI",IF(AT28&gt;0,0,1),IF(AT28=0,0,1))</f>
        <v>0</v>
      </c>
      <c r="CV28" s="35">
        <f t="shared" si="5"/>
        <v>0</v>
      </c>
      <c r="CW28" s="35">
        <f t="shared" si="6"/>
        <v>0</v>
      </c>
      <c r="CX28" s="89" t="str">
        <f t="shared" si="7"/>
        <v>SI</v>
      </c>
      <c r="CY28" s="35">
        <f t="shared" si="8"/>
        <v>0</v>
      </c>
      <c r="CZ28" s="89" t="str">
        <f>IF(ISERROR(VLOOKUP(AI28,EXPERIENCIA!$A$1:$C$2100,1,0)),"NO","SI")</f>
        <v>SI</v>
      </c>
      <c r="DA28" s="89">
        <f>IF(CX28="no","NO APLICA",IF(AX28=0,"ERROR NOTA",IF(AND(AX28&gt;1,CZ28="NO"),"ERROR NOTA",IF(AND(CZ28="NO",AX28=1),0,IF(VLOOKUP(AI28,EXPERIENCIA!$A$1:$C$2100,3,0)=AX28,0,"ERROR NOTA")))))</f>
        <v>0</v>
      </c>
      <c r="DB28" s="89" t="str">
        <f>IF(ISERROR(VLOOKUP(AI28,COMPORTAMIENTO!$A$1:$C$2100,1,0)),"NO","SI")</f>
        <v>SI</v>
      </c>
      <c r="DC28" s="89">
        <f>IF(CX28="NO","NO APLICA",IF(AY28=0,"ERROR NOTA",IF(AND(DB28="NO",AY28=7),0,IF(VLOOKUP(AI28,COMPORTAMIENTO!$A$2:$H$2100,8,0)=AY28,0,"ERROR NOTA"))))</f>
        <v>0</v>
      </c>
      <c r="DD28" s="108">
        <f t="shared" si="9"/>
        <v>0.70000000000000007</v>
      </c>
      <c r="DE28" s="108">
        <f t="shared" si="10"/>
        <v>0.70000000000000007</v>
      </c>
      <c r="DF28" s="89" t="str">
        <f t="shared" si="22"/>
        <v>SI</v>
      </c>
      <c r="DG28" s="89">
        <f t="shared" si="11"/>
        <v>0</v>
      </c>
      <c r="DH28" s="89">
        <f t="shared" si="12"/>
        <v>0</v>
      </c>
      <c r="DI28" s="89">
        <f t="shared" si="23"/>
        <v>0</v>
      </c>
      <c r="DJ28" s="16">
        <f t="shared" si="13"/>
        <v>7.0000000000000009</v>
      </c>
      <c r="DK28" s="11">
        <f t="shared" si="24"/>
        <v>7.0000000000000009</v>
      </c>
      <c r="DL28" s="16">
        <f t="shared" si="14"/>
        <v>6373</v>
      </c>
      <c r="DM28" s="16">
        <f>VLOOKUP(A28,'5 TD'!$A$3:$B$35,2,0)</f>
        <v>6373</v>
      </c>
      <c r="DN28" s="11">
        <f t="shared" si="25"/>
        <v>7</v>
      </c>
      <c r="DO28" s="89" t="str">
        <f t="shared" si="26"/>
        <v>APROBADO</v>
      </c>
      <c r="DP28" s="89" t="str">
        <f t="shared" si="27"/>
        <v>APROBADO</v>
      </c>
      <c r="DQ28" s="11">
        <f t="shared" si="28"/>
        <v>7</v>
      </c>
      <c r="DR28" s="89" t="str">
        <f t="shared" si="29"/>
        <v>APROBADO</v>
      </c>
      <c r="DS28" s="6" t="str">
        <f>+('3 Planilla Preadjudicación OTIC'!BP29)</f>
        <v>SI</v>
      </c>
      <c r="DT28" s="6">
        <f>IF(DR28="APROBADO",VLOOKUP(A28,'5 TD'!$D$3:$E$270,2,0),"NO APLICA")</f>
        <v>7</v>
      </c>
      <c r="DU28" s="6" t="str">
        <f t="shared" si="30"/>
        <v>SI</v>
      </c>
      <c r="DV28" s="6">
        <f>IF(DU28="SI",VLOOKUP(A28,'5 TD'!$G$3:$H$270,2,0),"NO APLICA ")</f>
        <v>7.0000000000000009</v>
      </c>
      <c r="DW28" s="6" t="str">
        <f t="shared" si="15"/>
        <v>SI</v>
      </c>
      <c r="DX28" s="6">
        <f>IF(DW28="SI",VLOOKUP(A28,'5 TD'!$J$4:$K$472,2,0),"NO APLICA")</f>
        <v>7</v>
      </c>
      <c r="DY28" s="6" t="str">
        <f t="shared" si="16"/>
        <v>SI</v>
      </c>
      <c r="DZ28" s="11">
        <f>IF(DY28="SI",VLOOKUP(A28,'5 TD'!$M$4:$N$350,2,0),"NO APLICA")</f>
        <v>7</v>
      </c>
      <c r="EA28" s="6" t="str">
        <f t="shared" si="17"/>
        <v>SI</v>
      </c>
      <c r="EB28" s="16">
        <f t="shared" si="18"/>
        <v>6373</v>
      </c>
      <c r="EC28" s="16">
        <f>IF(EA28="SI",VLOOKUP(A28,'5 TD'!$V$4:$W$479,2,0),"NO APLICA")</f>
        <v>6373</v>
      </c>
      <c r="ED28" s="6" t="str">
        <f t="shared" si="31"/>
        <v>SI</v>
      </c>
      <c r="EE28" s="83">
        <f>IF(ED28="SI",VLOOKUP(AI28,COMPORTAMIENTO!$A$1:$H$2100,7,0),"NO APLICA")</f>
        <v>0</v>
      </c>
      <c r="EF28" s="16">
        <f>IF(ED28="SI",VLOOKUP(A28,'5 TD'!$P$2:$Q$479,2,0),"NO APLICA")</f>
        <v>0</v>
      </c>
      <c r="EG28" s="6" t="str">
        <f t="shared" si="32"/>
        <v>SI</v>
      </c>
      <c r="EH28" s="6">
        <f>IF(CZ28="no",0,VLOOKUP(AI28,EXPERIENCIA!$A$1:$C$2100,2,0))</f>
        <v>125</v>
      </c>
      <c r="EI28" s="6">
        <f>IF(CZ28="si",VLOOKUP(A28,'5 TD'!$S$3:$T$2103,2,0),0)</f>
        <v>125</v>
      </c>
      <c r="EJ28" s="6" t="str">
        <f t="shared" si="33"/>
        <v>SI</v>
      </c>
      <c r="EK28" s="6">
        <f>+('3 Planilla Preadjudicación OTIC'!BW29)</f>
        <v>0</v>
      </c>
      <c r="EL28" s="34"/>
      <c r="EO28" s="209" t="s">
        <v>2387</v>
      </c>
    </row>
    <row r="29" spans="1:145" s="7" customFormat="1" x14ac:dyDescent="0.25">
      <c r="A29" s="6">
        <f>+('3 Planilla Preadjudicación OTIC'!A29)</f>
        <v>14389</v>
      </c>
      <c r="B29" s="6" t="str">
        <f>+('3 Planilla Preadjudicación OTIC'!B29)</f>
        <v>SOFOFA</v>
      </c>
      <c r="C29" s="8">
        <f>+('3 Planilla Preadjudicación OTIC'!E29)</f>
        <v>2025</v>
      </c>
      <c r="D29" s="8" t="str">
        <f>+('3 Planilla Preadjudicación OTIC'!F29)</f>
        <v>MANDATO</v>
      </c>
      <c r="E29" s="8" t="str">
        <f>+('3 Planilla Preadjudicación OTIC'!G29)</f>
        <v>65181652-1</v>
      </c>
      <c r="F29" s="8" t="str">
        <f>+('3 Planilla Preadjudicación OTIC'!H29)</f>
        <v>SOFOFA</v>
      </c>
      <c r="G29" s="8" t="str">
        <f>+('3 Planilla Preadjudicación OTIC'!I29)</f>
        <v>65140022-8</v>
      </c>
      <c r="H29" s="8" t="str">
        <f>+('3 Planilla Preadjudicación OTIC'!J29)</f>
        <v>FUTURO DEL TRABAJO</v>
      </c>
      <c r="I29" s="8" t="str">
        <f>+('3 Planilla Preadjudicación OTIC'!K29)</f>
        <v>TÉCNICAS DE SOLDADURA POR OXIGÁS, ARCO VOLTAICO, TIG Y MIG</v>
      </c>
      <c r="J29" s="8" t="str">
        <f>+('3 Planilla Preadjudicación OTIC'!L29)</f>
        <v>PF0622</v>
      </c>
      <c r="K29" s="8" t="str">
        <f>+('3 Planilla Preadjudicación OTIC'!M29)</f>
        <v>TÉCNICAS PARA EL EMPRENDIMIENTO</v>
      </c>
      <c r="L29" s="8" t="str">
        <f>+('3 Planilla Preadjudicación OTIC'!N29)</f>
        <v>PF0921</v>
      </c>
      <c r="M29" s="6">
        <f>+('3 Planilla Preadjudicación OTIC'!O29)</f>
        <v>13</v>
      </c>
      <c r="N29" s="8">
        <f>+('3 Planilla Preadjudicación OTIC'!P29)</f>
        <v>0</v>
      </c>
      <c r="O29" s="8" t="str">
        <f>+('3 Planilla Preadjudicación OTIC'!Q29)</f>
        <v>RENCA</v>
      </c>
      <c r="P29" s="8" t="str">
        <f>+('3 Planilla Preadjudicación OTIC'!R29)</f>
        <v>ESTUDIANTES DE CUARTO AÑO DE ENSEÑANZA MEDIA O DE LICEOS TÉCNICOS PROFESIONALES.</v>
      </c>
      <c r="Q29" s="8" t="str">
        <f>+('3 Planilla Preadjudicación OTIC'!S29)</f>
        <v>PRESENCIAL</v>
      </c>
      <c r="R29" s="8" t="str">
        <f>+('3 Planilla Preadjudicación OTIC'!T29)</f>
        <v>INDEPENDIENTE</v>
      </c>
      <c r="S29" s="8" t="str">
        <f>+('3 Planilla Preadjudicación OTIC'!U29)</f>
        <v>03. LUNES - VESPERTINO / 06. MARTES - VESPERTINO / 09. MIÉRCOLES - VESPERTINO / 12. JUEVES - VESPERTINO / 15. VIERNES - VESPERTINO</v>
      </c>
      <c r="T29" s="6">
        <f>+('3 Planilla Preadjudicación OTIC'!V29)</f>
        <v>14</v>
      </c>
      <c r="U29" s="6">
        <f>+('3 Planilla Preadjudicación OTIC'!W29)</f>
        <v>260</v>
      </c>
      <c r="V29" s="6">
        <f>+('3 Planilla Preadjudicación OTIC'!X29)</f>
        <v>12</v>
      </c>
      <c r="W29" s="6">
        <f>+('3 Planilla Preadjudicación OTIC'!Y29)</f>
        <v>272</v>
      </c>
      <c r="X29" s="6">
        <f>+('3 Planilla Preadjudicación OTIC'!Z29)</f>
        <v>4</v>
      </c>
      <c r="Y29" s="6" t="str">
        <f>+('3 Planilla Preadjudicación OTIC'!AA29)</f>
        <v>SI</v>
      </c>
      <c r="Z29" s="6" t="str">
        <f>+('3 Planilla Preadjudicación OTIC'!AB29)</f>
        <v>NO</v>
      </c>
      <c r="AA29" s="6" t="str">
        <f>+('3 Planilla Preadjudicación OTIC'!AC29)</f>
        <v>SI</v>
      </c>
      <c r="AB29" s="8">
        <f>+('3 Planilla Preadjudicación OTIC'!AD29)</f>
        <v>0</v>
      </c>
      <c r="AC29" s="8" t="str">
        <f>+('3 Planilla Preadjudicación OTIC'!AE29)</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29" s="6" t="str">
        <f>+('3 Planilla Preadjudicación OTIC'!AF29)</f>
        <v>SI</v>
      </c>
      <c r="AE29" s="8" t="str">
        <f>+('3 Planilla Preadjudicación OTIC'!AG29)</f>
        <v>CERTIFICACIÓN COMO SOLDADOR.</v>
      </c>
      <c r="AF29" s="6" t="str">
        <f>+('3 Planilla Preadjudicación OTIC'!AH29)</f>
        <v>CERRADA</v>
      </c>
      <c r="AG29" s="6">
        <f>+('3 Planilla Preadjudicación OTIC'!AI29)</f>
        <v>68</v>
      </c>
      <c r="AH29" s="6">
        <f>+('3 Planilla Preadjudicación OTIC'!AJ29)</f>
        <v>2</v>
      </c>
      <c r="AI29" s="140" t="str">
        <f>+('3 Planilla Preadjudicación OTIC'!AK29)</f>
        <v>65062756-3</v>
      </c>
      <c r="AJ29" s="8" t="str">
        <f>+('3 Planilla Preadjudicación OTIC'!AL29)</f>
        <v>Fundaciòn Forpe Chile</v>
      </c>
      <c r="AK29" s="6">
        <f>+('3 Planilla Preadjudicación OTIC'!AM29)</f>
        <v>272</v>
      </c>
      <c r="AL29" s="6">
        <f>+('3 Planilla Preadjudicación OTIC'!AN29)</f>
        <v>68</v>
      </c>
      <c r="AM29" s="16">
        <f>+('3 Planilla Preadjudicación OTIC'!AO29)</f>
        <v>5075</v>
      </c>
      <c r="AN29" s="16">
        <f>+('3 Planilla Preadjudicación OTIC'!AP29)</f>
        <v>250000</v>
      </c>
      <c r="AO29" s="16">
        <f>+('3 Planilla Preadjudicación OTIC'!AQ29)</f>
        <v>250000</v>
      </c>
      <c r="AP29" s="16">
        <f>+('3 Planilla Preadjudicación OTIC'!AR29)</f>
        <v>19325600</v>
      </c>
      <c r="AQ29" s="16">
        <f>+('3 Planilla Preadjudicación OTIC'!AS29)</f>
        <v>3808000</v>
      </c>
      <c r="AR29" s="16">
        <f>+('3 Planilla Preadjudicación OTIC'!AT29)</f>
        <v>3500000</v>
      </c>
      <c r="AS29" s="16">
        <f>+('3 Planilla Preadjudicación OTIC'!AU29)</f>
        <v>0</v>
      </c>
      <c r="AT29" s="16">
        <f>+('3 Planilla Preadjudicación OTIC'!AV29)</f>
        <v>3500000</v>
      </c>
      <c r="AU29" s="16">
        <f>+('3 Planilla Preadjudicación OTIC'!AW29)</f>
        <v>30133600</v>
      </c>
      <c r="AV29" s="158" t="str">
        <f>+('3 Planilla Preadjudicación OTIC'!AX29)</f>
        <v>SI</v>
      </c>
      <c r="AW29" s="8">
        <f>+('3 Planilla Preadjudicación OTIC'!AY29)</f>
        <v>0</v>
      </c>
      <c r="AX29" s="6">
        <f>+('3 Planilla Preadjudicación OTIC'!AZ29)</f>
        <v>7</v>
      </c>
      <c r="AY29" s="6">
        <f>+('3 Planilla Preadjudicación OTIC'!BA29)</f>
        <v>7</v>
      </c>
      <c r="AZ29" s="6">
        <f>+('3 Planilla Preadjudicación OTIC'!BB29)</f>
        <v>0</v>
      </c>
      <c r="BA29" s="6">
        <f>+('3 Planilla Preadjudicación OTIC'!BC29)</f>
        <v>0</v>
      </c>
      <c r="BB29" s="6">
        <f>+('3 Planilla Preadjudicación OTIC'!BD29)</f>
        <v>0</v>
      </c>
      <c r="BC29" s="6">
        <f>+('3 Planilla Preadjudicación OTIC'!BE29)</f>
        <v>0</v>
      </c>
      <c r="BD29" s="6">
        <f>+('3 Planilla Preadjudicación OTIC'!BF29)</f>
        <v>0</v>
      </c>
      <c r="BE29" s="6">
        <f>+('3 Planilla Preadjudicación OTIC'!BG29)</f>
        <v>0</v>
      </c>
      <c r="BF29" s="6">
        <f>+('3 Planilla Preadjudicación OTIC'!BH29)</f>
        <v>0</v>
      </c>
      <c r="BG29" s="6">
        <f>+('3 Planilla Preadjudicación OTIC'!BI29)</f>
        <v>7</v>
      </c>
      <c r="BH29" s="6">
        <f>+('3 Planilla Preadjudicación OTIC'!BJ29)</f>
        <v>7</v>
      </c>
      <c r="BI29" s="6">
        <f>+('3 Planilla Preadjudicación OTIC'!BK29)</f>
        <v>7</v>
      </c>
      <c r="BJ29" s="6">
        <f>+('3 Planilla Preadjudicación OTIC'!BL29)</f>
        <v>7</v>
      </c>
      <c r="BK29" s="6">
        <f>+('3 Planilla Preadjudicación OTIC'!BM29)</f>
        <v>7</v>
      </c>
      <c r="BL29" s="6">
        <f>+('3 Planilla Preadjudicación OTIC'!BN29)</f>
        <v>6.9</v>
      </c>
      <c r="BM29" s="108">
        <f>ROUND(('3 Planilla Preadjudicación OTIC'!BO29),1)</f>
        <v>7</v>
      </c>
      <c r="BN29" s="8" t="str">
        <f>+('3 Planilla Preadjudicación OTIC'!BP29)</f>
        <v>SI</v>
      </c>
      <c r="BO29" s="8" t="str">
        <f>+('3 Planilla Preadjudicación OTIC'!BQ29)</f>
        <v>ESTEBAN VEGA TORO</v>
      </c>
      <c r="BP29" s="8" t="str">
        <f>+('3 Planilla Preadjudicación OTIC'!BR29)</f>
        <v>contacto@forpe.cl</v>
      </c>
      <c r="BQ29" s="8">
        <f>+('3 Planilla Preadjudicación OTIC'!BS29)</f>
        <v>228347804</v>
      </c>
      <c r="BR29" s="8" t="str">
        <f>+('3 Planilla Preadjudicación OTIC'!BT29)</f>
        <v>Vicuña Makena 1020, Renca</v>
      </c>
      <c r="BS29" s="8" t="str">
        <f>+('3 Planilla Preadjudicación OTIC'!BU29)</f>
        <v>Capacitar al participante en la aplicación de técnicas de soldadura por Oxigás, Arco Voltaico, TIG y MIG sobre piezas metálicas, cumpliendo con normas de seguridad, calidad y procedimientos operativos del sector metalmecánico.</v>
      </c>
      <c r="BT29" s="8" t="str">
        <f>+('3 Planilla Preadjudicación OTIC'!BV29)</f>
        <v>Este curso entrega conocimientos prácticos para ejecutar soldaduras en distintos procesos y posiciones, utilizando equipos adecuados y aplicando normas de higiene, seguridad y calidad. Incluye preparación de superficies, configuración de parámetros, ejecución de cordones y registro de procedimientos técnicos.</v>
      </c>
      <c r="BU29" s="89">
        <f>IF(VLOOKUP(A29,'BD OFICIAL'!$A$1:$AL$2099,7,0)=D29,0,1)</f>
        <v>0</v>
      </c>
      <c r="BV29" s="89">
        <f>IF(VLOOKUP(A29,'BD OFICIAL'!$A$1:$AL$2099,11,0)=J29,0,1)</f>
        <v>0</v>
      </c>
      <c r="BW29" s="89">
        <f>IF(VLOOKUP(A29,'BD OFICIAL'!$A$1:$AL$2099,13,0)=L29,0,1)</f>
        <v>0</v>
      </c>
      <c r="BX29" s="6">
        <f>IF(VLOOKUP(A29,'BD OFICIAL'!$A$1:$AL$2099,16,0)=O29,0,1)</f>
        <v>0</v>
      </c>
      <c r="BY29" s="6">
        <f>IF(VLOOKUP(A29,'BD OFICIAL'!$A$1:$AL$2099,17,0)=P29,0,1)</f>
        <v>0</v>
      </c>
      <c r="BZ29" s="6">
        <f>IF(VLOOKUP(A29,'BD OFICIAL'!$A$1:$AL$2099,19,0)=R29,0,1)</f>
        <v>0</v>
      </c>
      <c r="CA29" s="6">
        <f>IF(VLOOKUP(A29,'BD OFICIAL'!$A$1:$AL$2099,21,0)=T29,0,1)</f>
        <v>0</v>
      </c>
      <c r="CB29" s="6">
        <f>IF(VLOOKUP(A29,'BD OFICIAL'!$A$1:$AL$2099,24,0)=AK29,0,1)</f>
        <v>0</v>
      </c>
      <c r="CC29" s="6">
        <f>IF(VLOOKUP(A29,'BD OFICIAL'!$A$1:$AL$2099,25,0)=X29,0,1)</f>
        <v>0</v>
      </c>
      <c r="CD29" s="6">
        <f>IF(VLOOKUP(A29,'BD OFICIAL'!$A$1:$AL$2099,26,0)=Y29,0,1)</f>
        <v>0</v>
      </c>
      <c r="CE29" s="6">
        <f>IF(VLOOKUP(A29,'BD OFICIAL'!$A$1:$AL$2099,27,0)=Z29,0,1)</f>
        <v>0</v>
      </c>
      <c r="CF29" s="6">
        <f>IF(VLOOKUP(A29,'BD OFICIAL'!$A$1:$AL$2099,28,0)=AA29,0,1)</f>
        <v>0</v>
      </c>
      <c r="CG29" s="6">
        <f>IF(VLOOKUP(A29,'BD OFICIAL'!$A$1:$AL$2099,33,0)=AF29,0,1)</f>
        <v>0</v>
      </c>
      <c r="CH29" s="6">
        <f>IF(VLOOKUP(A29,'BD OFICIAL'!$A$1:$AL$2099,35,0)=AH29,0,1)</f>
        <v>0</v>
      </c>
      <c r="CI29" s="89">
        <f>IF(VLOOKUP(A29,'BD OFICIAL'!$A$1:$AL$2099,34,0)=AL29,0,1)</f>
        <v>0</v>
      </c>
      <c r="CJ29" s="89">
        <f>VLOOKUP(A29,'BD OFICIAL'!$A$1:$AM$2099,36,0)*AM29-AP29</f>
        <v>0</v>
      </c>
      <c r="CK29" s="89" t="str">
        <f t="shared" si="0"/>
        <v>SHMAN</v>
      </c>
      <c r="CL29" s="89" t="str">
        <f t="shared" si="1"/>
        <v>SI</v>
      </c>
      <c r="CM29" s="89" t="str">
        <f t="shared" si="2"/>
        <v>NO</v>
      </c>
      <c r="CN29" s="35">
        <f t="shared" si="3"/>
        <v>0</v>
      </c>
      <c r="CO29" s="35">
        <f t="shared" si="19"/>
        <v>0</v>
      </c>
      <c r="CP29" s="35">
        <f t="shared" si="20"/>
        <v>0</v>
      </c>
      <c r="CQ29" s="35">
        <f>IF(VLOOKUP(A29,'BD OFICIAL'!$A:$AT,40,0)=AQ29,0,1)</f>
        <v>0</v>
      </c>
      <c r="CR29" s="35">
        <f>IF(VLOOKUP(A29,'BD OFICIAL'!$A:$AT,41,0)=AS29,0,1)</f>
        <v>0</v>
      </c>
      <c r="CS29" s="35">
        <f t="shared" si="21"/>
        <v>0</v>
      </c>
      <c r="CT29" s="35">
        <f t="shared" si="4"/>
        <v>0</v>
      </c>
      <c r="CU29" s="35">
        <f>IF(VLOOKUP(A29,'BD OFICIAL'!$A$1:$AL$1057,31,0)="SI",IF(AT29&gt;0,0,1),IF(AT29=0,0,1))</f>
        <v>0</v>
      </c>
      <c r="CV29" s="35">
        <f t="shared" si="5"/>
        <v>0</v>
      </c>
      <c r="CW29" s="35">
        <f t="shared" si="6"/>
        <v>0</v>
      </c>
      <c r="CX29" s="89" t="str">
        <f t="shared" si="7"/>
        <v>SI</v>
      </c>
      <c r="CY29" s="35">
        <f t="shared" si="8"/>
        <v>0</v>
      </c>
      <c r="CZ29" s="89" t="str">
        <f>IF(ISERROR(VLOOKUP(AI29,EXPERIENCIA!$A$1:$C$2100,1,0)),"NO","SI")</f>
        <v>SI</v>
      </c>
      <c r="DA29" s="89">
        <f>IF(CX29="no","NO APLICA",IF(AX29=0,"ERROR NOTA",IF(AND(AX29&gt;1,CZ29="NO"),"ERROR NOTA",IF(AND(CZ29="NO",AX29=1),0,IF(VLOOKUP(AI29,EXPERIENCIA!$A$1:$C$2100,3,0)=AX29,0,"ERROR NOTA")))))</f>
        <v>0</v>
      </c>
      <c r="DB29" s="89" t="str">
        <f>IF(ISERROR(VLOOKUP(AI29,COMPORTAMIENTO!$A$1:$C$2100,1,0)),"NO","SI")</f>
        <v>SI</v>
      </c>
      <c r="DC29" s="89">
        <f>IF(CX29="NO","NO APLICA",IF(AY29=0,"ERROR NOTA",IF(AND(DB29="NO",AY29=7),0,IF(VLOOKUP(AI29,COMPORTAMIENTO!$A$2:$H$2100,8,0)=AY29,0,"ERROR NOTA"))))</f>
        <v>0</v>
      </c>
      <c r="DD29" s="108">
        <f t="shared" si="9"/>
        <v>0.70000000000000007</v>
      </c>
      <c r="DE29" s="108">
        <f t="shared" si="10"/>
        <v>0.70000000000000007</v>
      </c>
      <c r="DF29" s="89" t="str">
        <f t="shared" si="22"/>
        <v>SI</v>
      </c>
      <c r="DG29" s="89">
        <f t="shared" si="11"/>
        <v>0</v>
      </c>
      <c r="DH29" s="89">
        <f t="shared" si="12"/>
        <v>0</v>
      </c>
      <c r="DI29" s="89">
        <f t="shared" si="23"/>
        <v>0</v>
      </c>
      <c r="DJ29" s="16">
        <f t="shared" si="13"/>
        <v>7.0000000000000009</v>
      </c>
      <c r="DK29" s="11">
        <f t="shared" si="24"/>
        <v>7.0000000000000009</v>
      </c>
      <c r="DL29" s="16">
        <f t="shared" si="14"/>
        <v>5075</v>
      </c>
      <c r="DM29" s="16">
        <f>VLOOKUP(A29,'5 TD'!$A$3:$B$35,2,0)</f>
        <v>5000</v>
      </c>
      <c r="DN29" s="11">
        <f t="shared" si="25"/>
        <v>6.9</v>
      </c>
      <c r="DO29" s="89" t="str">
        <f t="shared" si="26"/>
        <v>APROBADO</v>
      </c>
      <c r="DP29" s="89" t="str">
        <f t="shared" si="27"/>
        <v>APROBADO</v>
      </c>
      <c r="DQ29" s="11">
        <f t="shared" si="28"/>
        <v>7</v>
      </c>
      <c r="DR29" s="89" t="str">
        <f t="shared" si="29"/>
        <v>APROBADO</v>
      </c>
      <c r="DS29" s="6" t="str">
        <f>+('3 Planilla Preadjudicación OTIC'!BP30)</f>
        <v>NO</v>
      </c>
      <c r="DT29" s="6">
        <f>IF(DR29="APROBADO",VLOOKUP(A29,'5 TD'!$D$3:$E$270,2,0),"NO APLICA")</f>
        <v>7</v>
      </c>
      <c r="DU29" s="6" t="str">
        <f t="shared" si="30"/>
        <v>SI</v>
      </c>
      <c r="DV29" s="6">
        <f>IF(DU29="SI",VLOOKUP(A29,'5 TD'!$G$3:$H$270,2,0),"NO APLICA ")</f>
        <v>7.0000000000000009</v>
      </c>
      <c r="DW29" s="6" t="str">
        <f t="shared" si="15"/>
        <v>SI</v>
      </c>
      <c r="DX29" s="6">
        <f>IF(DW29="SI",VLOOKUP(A29,'5 TD'!$J$4:$K$472,2,0),"NO APLICA")</f>
        <v>7</v>
      </c>
      <c r="DY29" s="6" t="str">
        <f t="shared" si="16"/>
        <v>SI</v>
      </c>
      <c r="DZ29" s="11">
        <f>IF(DY29="SI",VLOOKUP(A29,'5 TD'!$M$4:$N$350,2,0),"NO APLICA")</f>
        <v>7</v>
      </c>
      <c r="EA29" s="6" t="str">
        <f t="shared" si="17"/>
        <v>SI</v>
      </c>
      <c r="EB29" s="16">
        <f t="shared" si="18"/>
        <v>5075</v>
      </c>
      <c r="EC29" s="16">
        <f>IF(EA29="SI",VLOOKUP(A29,'5 TD'!$V$4:$W$479,2,0),"NO APLICA")</f>
        <v>5075</v>
      </c>
      <c r="ED29" s="6" t="str">
        <f t="shared" si="31"/>
        <v>SI</v>
      </c>
      <c r="EE29" s="83">
        <f>IF(ED29="SI",VLOOKUP(AI29,COMPORTAMIENTO!$A$1:$H$2100,7,0),"NO APLICA")</f>
        <v>0</v>
      </c>
      <c r="EF29" s="16">
        <f>IF(ED29="SI",VLOOKUP(A29,'5 TD'!$P$2:$Q$479,2,0),"NO APLICA")</f>
        <v>0</v>
      </c>
      <c r="EG29" s="6" t="str">
        <f t="shared" si="32"/>
        <v>SI</v>
      </c>
      <c r="EH29" s="6">
        <f>IF(CZ29="no",0,VLOOKUP(AI29,EXPERIENCIA!$A$1:$C$2100,2,0))</f>
        <v>125</v>
      </c>
      <c r="EI29" s="6">
        <f>IF(CZ29="si",VLOOKUP(A29,'5 TD'!$S$3:$T$2103,2,0),0)</f>
        <v>125</v>
      </c>
      <c r="EJ29" s="6" t="str">
        <f t="shared" si="33"/>
        <v>SI</v>
      </c>
      <c r="EK29" s="6" t="str">
        <f>+('3 Planilla Preadjudicación OTIC'!BW30)</f>
        <v>Numeral 7 ítem e) Menor “porcentaje de multas ponderadas” en ítem evaluación comportamiento considerando 4 decimales.</v>
      </c>
      <c r="EL29" s="34" t="s">
        <v>2385</v>
      </c>
      <c r="EM29" s="63" t="s">
        <v>2397</v>
      </c>
      <c r="EO29" s="209" t="s">
        <v>2387</v>
      </c>
    </row>
    <row r="30" spans="1:145" s="7" customFormat="1" ht="12.75" x14ac:dyDescent="0.2">
      <c r="A30" s="6">
        <f>+('3 Planilla Preadjudicación OTIC'!A30)</f>
        <v>14384</v>
      </c>
      <c r="B30" s="6" t="str">
        <f>+('3 Planilla Preadjudicación OTIC'!B30)</f>
        <v>SOFOFA</v>
      </c>
      <c r="C30" s="8">
        <f>+('3 Planilla Preadjudicación OTIC'!E30)</f>
        <v>2025</v>
      </c>
      <c r="D30" s="8" t="str">
        <f>+('3 Planilla Preadjudicación OTIC'!F30)</f>
        <v>MANDATO</v>
      </c>
      <c r="E30" s="8" t="str">
        <f>+('3 Planilla Preadjudicación OTIC'!G30)</f>
        <v>65181652-1</v>
      </c>
      <c r="F30" s="8" t="str">
        <f>+('3 Planilla Preadjudicación OTIC'!H30)</f>
        <v>SOFOFA</v>
      </c>
      <c r="G30" s="8" t="str">
        <f>+('3 Planilla Preadjudicación OTIC'!I30)</f>
        <v>65140022-8</v>
      </c>
      <c r="H30" s="8" t="str">
        <f>+('3 Planilla Preadjudicación OTIC'!J30)</f>
        <v>FUTURO DEL TRABAJO</v>
      </c>
      <c r="I30" s="8" t="str">
        <f>+('3 Planilla Preadjudicación OTIC'!K30)</f>
        <v>MECÁNICA AUTOMOTRIZ ELECTROMECÁNICA</v>
      </c>
      <c r="J30" s="8" t="str">
        <f>+('3 Planilla Preadjudicación OTIC'!L30)</f>
        <v>PF0585</v>
      </c>
      <c r="K30" s="8">
        <f>+('3 Planilla Preadjudicación OTIC'!M30)</f>
        <v>0</v>
      </c>
      <c r="L30" s="8" t="str">
        <f>+('3 Planilla Preadjudicación OTIC'!N30)</f>
        <v/>
      </c>
      <c r="M30" s="6">
        <f>+('3 Planilla Preadjudicación OTIC'!O30)</f>
        <v>13</v>
      </c>
      <c r="N30" s="8">
        <f>+('3 Planilla Preadjudicación OTIC'!P30)</f>
        <v>0</v>
      </c>
      <c r="O30" s="8" t="str">
        <f>+('3 Planilla Preadjudicación OTIC'!Q30)</f>
        <v>RENCA</v>
      </c>
      <c r="P30" s="8" t="str">
        <f>+('3 Planilla Preadjudicación OTIC'!R30)</f>
        <v>ESTUDIANTES DE CUARTO AÑO DE ENSEÑANZA MEDIA O DE LICEOS TÉCNICOS PROFESIONALES.</v>
      </c>
      <c r="Q30" s="8" t="str">
        <f>+('3 Planilla Preadjudicación OTIC'!S30)</f>
        <v>PRESENCIAL</v>
      </c>
      <c r="R30" s="8" t="str">
        <f>+('3 Planilla Preadjudicación OTIC'!T30)</f>
        <v>DEPENDIENTE</v>
      </c>
      <c r="S30" s="8" t="str">
        <f>+('3 Planilla Preadjudicación OTIC'!U30)</f>
        <v>03. LUNES - VESPERTINO / 06. MARTES - VESPERTINO / 09. MIÉRCOLES - VESPERTINO / 12. JUEVES - VESPERTINO / 15. VIERNES - VESPERTINO</v>
      </c>
      <c r="T30" s="6">
        <f>+('3 Planilla Preadjudicación OTIC'!V30)</f>
        <v>15</v>
      </c>
      <c r="U30" s="6">
        <f>+('3 Planilla Preadjudicación OTIC'!W30)</f>
        <v>120</v>
      </c>
      <c r="V30" s="6">
        <f>+('3 Planilla Preadjudicación OTIC'!X30)</f>
        <v>0</v>
      </c>
      <c r="W30" s="6">
        <f>+('3 Planilla Preadjudicación OTIC'!Y30)</f>
        <v>120</v>
      </c>
      <c r="X30" s="6">
        <f>+('3 Planilla Preadjudicación OTIC'!Z30)</f>
        <v>4</v>
      </c>
      <c r="Y30" s="6" t="str">
        <f>+('3 Planilla Preadjudicación OTIC'!AA30)</f>
        <v>SI</v>
      </c>
      <c r="Z30" s="6" t="str">
        <f>+('3 Planilla Preadjudicación OTIC'!AB30)</f>
        <v>NO</v>
      </c>
      <c r="AA30" s="6" t="str">
        <f>+('3 Planilla Preadjudicación OTIC'!AC30)</f>
        <v>NO</v>
      </c>
      <c r="AB30" s="8">
        <f>+('3 Planilla Preadjudicación OTIC'!AD30)</f>
        <v>0</v>
      </c>
      <c r="AC30" s="8" t="str">
        <f>+('3 Planilla Preadjudicación OTIC'!AE30)</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30" s="6" t="str">
        <f>+('3 Planilla Preadjudicación OTIC'!AF30)</f>
        <v>NO</v>
      </c>
      <c r="AE30" s="8">
        <f>+('3 Planilla Preadjudicación OTIC'!AG30)</f>
        <v>0</v>
      </c>
      <c r="AF30" s="6" t="str">
        <f>+('3 Planilla Preadjudicación OTIC'!AH30)</f>
        <v>CERRADA</v>
      </c>
      <c r="AG30" s="6">
        <f>+('3 Planilla Preadjudicación OTIC'!AI30)</f>
        <v>30</v>
      </c>
      <c r="AH30" s="6">
        <f>+('3 Planilla Preadjudicación OTIC'!AJ30)</f>
        <v>2</v>
      </c>
      <c r="AI30" s="140" t="str">
        <f>+('3 Planilla Preadjudicación OTIC'!AK30)</f>
        <v>76928190-8</v>
      </c>
      <c r="AJ30" s="8" t="str">
        <f>+('3 Planilla Preadjudicación OTIC'!AL30)</f>
        <v>Véliz, Núñez y Cía. Ltda.</v>
      </c>
      <c r="AK30" s="6">
        <f>+('3 Planilla Preadjudicación OTIC'!AM30)</f>
        <v>120</v>
      </c>
      <c r="AL30" s="6">
        <f>+('3 Planilla Preadjudicación OTIC'!AN30)</f>
        <v>30</v>
      </c>
      <c r="AM30" s="16">
        <f>+('3 Planilla Preadjudicación OTIC'!AO30)</f>
        <v>5075</v>
      </c>
      <c r="AN30" s="16">
        <f>+('3 Planilla Preadjudicación OTIC'!AP30)</f>
        <v>0</v>
      </c>
      <c r="AO30" s="16">
        <f>+('3 Planilla Preadjudicación OTIC'!AQ30)</f>
        <v>0</v>
      </c>
      <c r="AP30" s="16">
        <f>+('3 Planilla Preadjudicación OTIC'!AR30)</f>
        <v>9135000</v>
      </c>
      <c r="AQ30" s="16">
        <f>+('3 Planilla Preadjudicación OTIC'!AS30)</f>
        <v>1800000</v>
      </c>
      <c r="AR30" s="16">
        <f>+('3 Planilla Preadjudicación OTIC'!AT30)</f>
        <v>0</v>
      </c>
      <c r="AS30" s="16">
        <f>+('3 Planilla Preadjudicación OTIC'!AU30)</f>
        <v>0</v>
      </c>
      <c r="AT30" s="16">
        <f>+('3 Planilla Preadjudicación OTIC'!AV30)</f>
        <v>0</v>
      </c>
      <c r="AU30" s="16">
        <f>+('3 Planilla Preadjudicación OTIC'!AW30)</f>
        <v>10935000</v>
      </c>
      <c r="AV30" s="158" t="str">
        <f>+('3 Planilla Preadjudicación OTIC'!AX30)</f>
        <v>SI</v>
      </c>
      <c r="AW30" s="8">
        <f>+('3 Planilla Preadjudicación OTIC'!AY30)</f>
        <v>0</v>
      </c>
      <c r="AX30" s="6">
        <f>+('3 Planilla Preadjudicación OTIC'!AZ30)</f>
        <v>3</v>
      </c>
      <c r="AY30" s="6">
        <f>+('3 Planilla Preadjudicación OTIC'!BA30)</f>
        <v>7</v>
      </c>
      <c r="AZ30" s="6">
        <f>+('3 Planilla Preadjudicación OTIC'!BB30)</f>
        <v>0</v>
      </c>
      <c r="BA30" s="6">
        <f>+('3 Planilla Preadjudicación OTIC'!BC30)</f>
        <v>0</v>
      </c>
      <c r="BB30" s="6">
        <f>+('3 Planilla Preadjudicación OTIC'!BD30)</f>
        <v>0</v>
      </c>
      <c r="BC30" s="6">
        <f>+('3 Planilla Preadjudicación OTIC'!BE30)</f>
        <v>0</v>
      </c>
      <c r="BD30" s="6">
        <f>+('3 Planilla Preadjudicación OTIC'!BF30)</f>
        <v>0</v>
      </c>
      <c r="BE30" s="6">
        <f>+('3 Planilla Preadjudicación OTIC'!BG30)</f>
        <v>0</v>
      </c>
      <c r="BF30" s="6">
        <f>+('3 Planilla Preadjudicación OTIC'!BH30)</f>
        <v>0</v>
      </c>
      <c r="BG30" s="6">
        <f>+('3 Planilla Preadjudicación OTIC'!BI30)</f>
        <v>7</v>
      </c>
      <c r="BH30" s="6">
        <f>+('3 Planilla Preadjudicación OTIC'!BJ30)</f>
        <v>7</v>
      </c>
      <c r="BI30" s="6">
        <f>+('3 Planilla Preadjudicación OTIC'!BK30)</f>
        <v>7</v>
      </c>
      <c r="BJ30" s="6">
        <f>+('3 Planilla Preadjudicación OTIC'!BL30)</f>
        <v>7</v>
      </c>
      <c r="BK30" s="6">
        <f>+('3 Planilla Preadjudicación OTIC'!BM30)</f>
        <v>7</v>
      </c>
      <c r="BL30" s="6">
        <f>+('3 Planilla Preadjudicación OTIC'!BN30)</f>
        <v>7</v>
      </c>
      <c r="BM30" s="108">
        <f>ROUND(('3 Planilla Preadjudicación OTIC'!BO30),1)</f>
        <v>6.6</v>
      </c>
      <c r="BN30" s="8" t="str">
        <f>+('3 Planilla Preadjudicación OTIC'!BP30)</f>
        <v>NO</v>
      </c>
      <c r="BO30" s="8" t="str">
        <f>+('3 Planilla Preadjudicación OTIC'!BQ30)</f>
        <v>Marianela Núñez Véliz</v>
      </c>
      <c r="BP30" s="8" t="str">
        <f>+('3 Planilla Preadjudicación OTIC'!BR30)</f>
        <v>surorienteemprende@gmail.com</v>
      </c>
      <c r="BQ30" s="8">
        <f>+('3 Planilla Preadjudicación OTIC'!BS30)</f>
        <v>228507710</v>
      </c>
      <c r="BR30" s="8" t="str">
        <f>+('3 Planilla Preadjudicación OTIC'!BT30)</f>
        <v>Las Margaritas 3875, Renca</v>
      </c>
      <c r="BS30" s="8">
        <f>+('3 Planilla Preadjudicación OTIC'!BU30)</f>
        <v>0</v>
      </c>
      <c r="BT30" s="8">
        <f>+('3 Planilla Preadjudicación OTIC'!BV30)</f>
        <v>0</v>
      </c>
      <c r="BU30" s="89">
        <f>IF(VLOOKUP(A30,'BD OFICIAL'!$A$1:$AL$2099,7,0)=D30,0,1)</f>
        <v>0</v>
      </c>
      <c r="BV30" s="89">
        <f>IF(VLOOKUP(A30,'BD OFICIAL'!$A$1:$AL$2099,11,0)=J30,0,1)</f>
        <v>0</v>
      </c>
      <c r="BW30" s="89">
        <f>IF(VLOOKUP(A30,'BD OFICIAL'!$A$1:$AL$2099,13,0)=L30,0,1)</f>
        <v>0</v>
      </c>
      <c r="BX30" s="6">
        <f>IF(VLOOKUP(A30,'BD OFICIAL'!$A$1:$AL$2099,16,0)=O30,0,1)</f>
        <v>0</v>
      </c>
      <c r="BY30" s="6">
        <f>IF(VLOOKUP(A30,'BD OFICIAL'!$A$1:$AL$2099,17,0)=P30,0,1)</f>
        <v>0</v>
      </c>
      <c r="BZ30" s="6">
        <f>IF(VLOOKUP(A30,'BD OFICIAL'!$A$1:$AL$2099,19,0)=R30,0,1)</f>
        <v>0</v>
      </c>
      <c r="CA30" s="6">
        <f>IF(VLOOKUP(A30,'BD OFICIAL'!$A$1:$AL$2099,21,0)=T30,0,1)</f>
        <v>0</v>
      </c>
      <c r="CB30" s="6">
        <f>IF(VLOOKUP(A30,'BD OFICIAL'!$A$1:$AL$2099,24,0)=AK30,0,1)</f>
        <v>0</v>
      </c>
      <c r="CC30" s="6">
        <f>IF(VLOOKUP(A30,'BD OFICIAL'!$A$1:$AL$2099,25,0)=X30,0,1)</f>
        <v>0</v>
      </c>
      <c r="CD30" s="6">
        <f>IF(VLOOKUP(A30,'BD OFICIAL'!$A$1:$AL$2099,26,0)=Y30,0,1)</f>
        <v>0</v>
      </c>
      <c r="CE30" s="6">
        <f>IF(VLOOKUP(A30,'BD OFICIAL'!$A$1:$AL$2099,27,0)=Z30,0,1)</f>
        <v>0</v>
      </c>
      <c r="CF30" s="6">
        <f>IF(VLOOKUP(A30,'BD OFICIAL'!$A$1:$AL$2099,28,0)=AA30,0,1)</f>
        <v>0</v>
      </c>
      <c r="CG30" s="6">
        <f>IF(VLOOKUP(A30,'BD OFICIAL'!$A$1:$AL$2099,33,0)=AF30,0,1)</f>
        <v>0</v>
      </c>
      <c r="CH30" s="6">
        <f>IF(VLOOKUP(A30,'BD OFICIAL'!$A$1:$AL$2099,35,0)=AH30,0,1)</f>
        <v>0</v>
      </c>
      <c r="CI30" s="89">
        <f>IF(VLOOKUP(A30,'BD OFICIAL'!$A$1:$AL$2099,34,0)=AL30,0,1)</f>
        <v>0</v>
      </c>
      <c r="CJ30" s="89">
        <f>VLOOKUP(A30,'BD OFICIAL'!$A$1:$AM$2099,36,0)*AM30-AP30</f>
        <v>0</v>
      </c>
      <c r="CK30" s="89" t="str">
        <f t="shared" si="0"/>
        <v>SSH</v>
      </c>
      <c r="CL30" s="89" t="str">
        <f t="shared" si="1"/>
        <v>SI</v>
      </c>
      <c r="CM30" s="89" t="str">
        <f t="shared" si="2"/>
        <v>NO</v>
      </c>
      <c r="CN30" s="35">
        <f t="shared" si="3"/>
        <v>0</v>
      </c>
      <c r="CO30" s="35">
        <f t="shared" si="19"/>
        <v>0</v>
      </c>
      <c r="CP30" s="35">
        <f t="shared" si="20"/>
        <v>0</v>
      </c>
      <c r="CQ30" s="35">
        <f>IF(VLOOKUP(A30,'BD OFICIAL'!$A:$AT,40,0)=AQ30,0,1)</f>
        <v>0</v>
      </c>
      <c r="CR30" s="35">
        <f>IF(VLOOKUP(A30,'BD OFICIAL'!$A:$AT,41,0)=AS30,0,1)</f>
        <v>0</v>
      </c>
      <c r="CS30" s="35">
        <f t="shared" si="21"/>
        <v>0</v>
      </c>
      <c r="CT30" s="35">
        <f t="shared" si="4"/>
        <v>0</v>
      </c>
      <c r="CU30" s="35">
        <f>IF(VLOOKUP(A30,'BD OFICIAL'!$A$1:$AL$1057,31,0)="SI",IF(AT30&gt;0,0,1),IF(AT30=0,0,1))</f>
        <v>0</v>
      </c>
      <c r="CV30" s="35">
        <f t="shared" si="5"/>
        <v>0</v>
      </c>
      <c r="CW30" s="35">
        <f t="shared" si="6"/>
        <v>0</v>
      </c>
      <c r="CX30" s="89" t="str">
        <f t="shared" si="7"/>
        <v>SI</v>
      </c>
      <c r="CY30" s="35">
        <f t="shared" si="8"/>
        <v>0</v>
      </c>
      <c r="CZ30" s="89" t="str">
        <f>IF(ISERROR(VLOOKUP(AI30,EXPERIENCIA!$A$1:$C$2100,1,0)),"NO","SI")</f>
        <v>SI</v>
      </c>
      <c r="DA30" s="89">
        <f>IF(CX30="no","NO APLICA",IF(AX30=0,"ERROR NOTA",IF(AND(AX30&gt;1,CZ30="NO"),"ERROR NOTA",IF(AND(CZ30="NO",AX30=1),0,IF(VLOOKUP(AI30,EXPERIENCIA!$A$1:$C$2100,3,0)=AX30,0,"ERROR NOTA")))))</f>
        <v>0</v>
      </c>
      <c r="DB30" s="89" t="str">
        <f>IF(ISERROR(VLOOKUP(AI30,COMPORTAMIENTO!$A$1:$C$2100,1,0)),"NO","SI")</f>
        <v>SI</v>
      </c>
      <c r="DC30" s="89">
        <f>IF(CX30="NO","NO APLICA",IF(AY30=0,"ERROR NOTA",IF(AND(DB30="NO",AY30=7),0,IF(VLOOKUP(AI30,COMPORTAMIENTO!$A$2:$H$2100,8,0)=AY30,0,"ERROR NOTA"))))</f>
        <v>0</v>
      </c>
      <c r="DD30" s="108">
        <f t="shared" si="9"/>
        <v>0.30000000000000004</v>
      </c>
      <c r="DE30" s="108">
        <f t="shared" si="10"/>
        <v>0.70000000000000007</v>
      </c>
      <c r="DF30" s="89" t="str">
        <f t="shared" si="22"/>
        <v>SI</v>
      </c>
      <c r="DG30" s="89">
        <f t="shared" si="11"/>
        <v>0</v>
      </c>
      <c r="DH30" s="89">
        <f t="shared" si="12"/>
        <v>0</v>
      </c>
      <c r="DI30" s="89">
        <f t="shared" si="23"/>
        <v>0</v>
      </c>
      <c r="DJ30" s="16">
        <f t="shared" si="13"/>
        <v>7.0000000000000009</v>
      </c>
      <c r="DK30" s="11">
        <f t="shared" si="24"/>
        <v>7.0000000000000009</v>
      </c>
      <c r="DL30" s="16">
        <f t="shared" si="14"/>
        <v>5075</v>
      </c>
      <c r="DM30" s="16">
        <f>VLOOKUP(A30,'5 TD'!$A$3:$B$35,2,0)</f>
        <v>5075</v>
      </c>
      <c r="DN30" s="11">
        <f t="shared" si="25"/>
        <v>7</v>
      </c>
      <c r="DO30" s="89" t="str">
        <f t="shared" si="26"/>
        <v>APROBADO</v>
      </c>
      <c r="DP30" s="89" t="str">
        <f t="shared" si="27"/>
        <v>APROBADO</v>
      </c>
      <c r="DQ30" s="11">
        <f t="shared" si="28"/>
        <v>6.6</v>
      </c>
      <c r="DR30" s="89" t="str">
        <f t="shared" si="29"/>
        <v>APROBADO</v>
      </c>
      <c r="DS30" s="6" t="str">
        <f>+('3 Planilla Preadjudicación OTIC'!BP31)</f>
        <v>NO</v>
      </c>
      <c r="DT30" s="6">
        <f>IF(DR30="APROBADO",VLOOKUP(A30,'5 TD'!$D$3:$E$270,2,0),"NO APLICA")</f>
        <v>6.6</v>
      </c>
      <c r="DU30" s="6" t="str">
        <f t="shared" si="30"/>
        <v>SI</v>
      </c>
      <c r="DV30" s="6">
        <f>IF(DU30="SI",VLOOKUP(A30,'5 TD'!$G$3:$H$270,2,0),"NO APLICA ")</f>
        <v>7.0000000000000009</v>
      </c>
      <c r="DW30" s="6" t="str">
        <f t="shared" si="15"/>
        <v>SI</v>
      </c>
      <c r="DX30" s="6">
        <f>IF(DW30="SI",VLOOKUP(A30,'5 TD'!$J$4:$K$472,2,0),"NO APLICA")</f>
        <v>7</v>
      </c>
      <c r="DY30" s="6" t="str">
        <f t="shared" si="16"/>
        <v>SI</v>
      </c>
      <c r="DZ30" s="11">
        <f>IF(DY30="SI",VLOOKUP(A30,'5 TD'!$M$4:$N$350,2,0),"NO APLICA")</f>
        <v>3</v>
      </c>
      <c r="EA30" s="6" t="str">
        <f t="shared" si="17"/>
        <v>SI</v>
      </c>
      <c r="EB30" s="16">
        <f t="shared" si="18"/>
        <v>5075</v>
      </c>
      <c r="EC30" s="16">
        <f>IF(EA30="SI",VLOOKUP(A30,'5 TD'!$V$4:$W$479,2,0),"NO APLICA")</f>
        <v>5075</v>
      </c>
      <c r="ED30" s="6" t="str">
        <f t="shared" si="31"/>
        <v>SI</v>
      </c>
      <c r="EE30" s="83">
        <f>IF(ED30="SI",VLOOKUP(AI30,COMPORTAMIENTO!$A$1:$H$2100,7,0),"NO APLICA")</f>
        <v>0.51724137931034486</v>
      </c>
      <c r="EF30" s="16">
        <f>IF(ED30="SI",VLOOKUP(A30,'5 TD'!$P$2:$Q$479,2,0),"NO APLICA")</f>
        <v>0</v>
      </c>
      <c r="EG30" s="6" t="str">
        <f t="shared" si="32"/>
        <v>NO</v>
      </c>
      <c r="EH30" s="6">
        <f>IF(CZ30="no",0,VLOOKUP(AI30,EXPERIENCIA!$A$1:$C$2100,2,0))</f>
        <v>29</v>
      </c>
      <c r="EI30" s="6">
        <f>IF(CZ30="si",VLOOKUP(A30,'5 TD'!$S$3:$T$2103,2,0),0)</f>
        <v>33</v>
      </c>
      <c r="EJ30" s="6" t="str">
        <f t="shared" si="33"/>
        <v>NO</v>
      </c>
      <c r="EK30" s="6">
        <f>+('3 Planilla Preadjudicación OTIC'!BW31)</f>
        <v>0</v>
      </c>
      <c r="EL30" s="34" t="s">
        <v>2384</v>
      </c>
      <c r="EM30" s="7" t="s">
        <v>2397</v>
      </c>
    </row>
    <row r="31" spans="1:145" s="7" customFormat="1" ht="12.75" x14ac:dyDescent="0.2">
      <c r="A31" s="6">
        <f>+('3 Planilla Preadjudicación OTIC'!A31)</f>
        <v>14388</v>
      </c>
      <c r="B31" s="6" t="str">
        <f>+('3 Planilla Preadjudicación OTIC'!B31)</f>
        <v>SOFOFA</v>
      </c>
      <c r="C31" s="8">
        <f>+('3 Planilla Preadjudicación OTIC'!E31)</f>
        <v>2025</v>
      </c>
      <c r="D31" s="8" t="str">
        <f>+('3 Planilla Preadjudicación OTIC'!F31)</f>
        <v>MANDATO</v>
      </c>
      <c r="E31" s="8" t="str">
        <f>+('3 Planilla Preadjudicación OTIC'!G31)</f>
        <v>65181652-1</v>
      </c>
      <c r="F31" s="8" t="str">
        <f>+('3 Planilla Preadjudicación OTIC'!H31)</f>
        <v>SOFOFA</v>
      </c>
      <c r="G31" s="8" t="str">
        <f>+('3 Planilla Preadjudicación OTIC'!I31)</f>
        <v>65140022-8</v>
      </c>
      <c r="H31" s="8" t="str">
        <f>+('3 Planilla Preadjudicación OTIC'!J31)</f>
        <v>FUTURO DEL TRABAJO</v>
      </c>
      <c r="I31" s="8" t="str">
        <f>+('3 Planilla Preadjudicación OTIC'!K31)</f>
        <v>PROCESOS LOGÍSTICOS EN BODEGAS, CENTROS DE DISTRIBUCIÓN Y CENTROS DE TRANSFERENCIA</v>
      </c>
      <c r="J31" s="8" t="str">
        <f>+('3 Planilla Preadjudicación OTIC'!L31)</f>
        <v>PF1444</v>
      </c>
      <c r="K31" s="8">
        <f>+('3 Planilla Preadjudicación OTIC'!M31)</f>
        <v>0</v>
      </c>
      <c r="L31" s="8" t="str">
        <f>+('3 Planilla Preadjudicación OTIC'!N31)</f>
        <v/>
      </c>
      <c r="M31" s="6">
        <f>+('3 Planilla Preadjudicación OTIC'!O31)</f>
        <v>13</v>
      </c>
      <c r="N31" s="8">
        <f>+('3 Planilla Preadjudicación OTIC'!P31)</f>
        <v>0</v>
      </c>
      <c r="O31" s="8" t="str">
        <f>+('3 Planilla Preadjudicación OTIC'!Q31)</f>
        <v>RENCA</v>
      </c>
      <c r="P31" s="8" t="str">
        <f>+('3 Planilla Preadjudicación OTIC'!R31)</f>
        <v>ESTUDIANTES DE CUARTO AÑO DE ENSEÑANZA MEDIA O DE LICEOS TÉCNICOS PROFESIONALES.</v>
      </c>
      <c r="Q31" s="8" t="str">
        <f>+('3 Planilla Preadjudicación OTIC'!S31)</f>
        <v>PRESENCIAL</v>
      </c>
      <c r="R31" s="8" t="str">
        <f>+('3 Planilla Preadjudicación OTIC'!T31)</f>
        <v>DEPENDIENTE</v>
      </c>
      <c r="S31" s="8" t="str">
        <f>+('3 Planilla Preadjudicación OTIC'!U31)</f>
        <v>03. LUNES - VESPERTINO / 06. MARTES - VESPERTINO / 09. MIÉRCOLES - VESPERTINO / 12. JUEVES - VESPERTINO / 15. VIERNES - VESPERTINO</v>
      </c>
      <c r="T31" s="6">
        <f>+('3 Planilla Preadjudicación OTIC'!V31)</f>
        <v>16</v>
      </c>
      <c r="U31" s="6">
        <f>+('3 Planilla Preadjudicación OTIC'!W31)</f>
        <v>80</v>
      </c>
      <c r="V31" s="6">
        <f>+('3 Planilla Preadjudicación OTIC'!X31)</f>
        <v>0</v>
      </c>
      <c r="W31" s="6">
        <f>+('3 Planilla Preadjudicación OTIC'!Y31)</f>
        <v>80</v>
      </c>
      <c r="X31" s="6">
        <f>+('3 Planilla Preadjudicación OTIC'!Z31)</f>
        <v>4</v>
      </c>
      <c r="Y31" s="6" t="str">
        <f>+('3 Planilla Preadjudicación OTIC'!AA31)</f>
        <v>SI</v>
      </c>
      <c r="Z31" s="6" t="str">
        <f>+('3 Planilla Preadjudicación OTIC'!AB31)</f>
        <v>NO</v>
      </c>
      <c r="AA31" s="6" t="str">
        <f>+('3 Planilla Preadjudicación OTIC'!AC31)</f>
        <v>NO</v>
      </c>
      <c r="AB31" s="8">
        <f>+('3 Planilla Preadjudicación OTIC'!AD31)</f>
        <v>0</v>
      </c>
      <c r="AC31" s="8" t="str">
        <f>+('3 Planilla Preadjudicación OTIC'!AE31)</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31" s="6" t="str">
        <f>+('3 Planilla Preadjudicación OTIC'!AF31)</f>
        <v>NO</v>
      </c>
      <c r="AE31" s="8">
        <f>+('3 Planilla Preadjudicación OTIC'!AG31)</f>
        <v>0</v>
      </c>
      <c r="AF31" s="6" t="str">
        <f>+('3 Planilla Preadjudicación OTIC'!AH31)</f>
        <v>CERRADA</v>
      </c>
      <c r="AG31" s="6">
        <f>+('3 Planilla Preadjudicación OTIC'!AI31)</f>
        <v>20</v>
      </c>
      <c r="AH31" s="6">
        <f>+('3 Planilla Preadjudicación OTIC'!AJ31)</f>
        <v>3</v>
      </c>
      <c r="AI31" s="140" t="str">
        <f>+('3 Planilla Preadjudicación OTIC'!AK31)</f>
        <v>76928190-8</v>
      </c>
      <c r="AJ31" s="8" t="str">
        <f>+('3 Planilla Preadjudicación OTIC'!AL31)</f>
        <v>Véliz, Núñez y Cía. Ltda.</v>
      </c>
      <c r="AK31" s="6">
        <f>+('3 Planilla Preadjudicación OTIC'!AM31)</f>
        <v>80</v>
      </c>
      <c r="AL31" s="6">
        <f>+('3 Planilla Preadjudicación OTIC'!AN31)</f>
        <v>20</v>
      </c>
      <c r="AM31" s="16">
        <f>+('3 Planilla Preadjudicación OTIC'!AO31)</f>
        <v>6373</v>
      </c>
      <c r="AN31" s="16">
        <f>+('3 Planilla Preadjudicación OTIC'!AP31)</f>
        <v>0</v>
      </c>
      <c r="AO31" s="16">
        <f>+('3 Planilla Preadjudicación OTIC'!AQ31)</f>
        <v>0</v>
      </c>
      <c r="AP31" s="16">
        <f>+('3 Planilla Preadjudicación OTIC'!AR31)</f>
        <v>8157440</v>
      </c>
      <c r="AQ31" s="16">
        <f>+('3 Planilla Preadjudicación OTIC'!AS31)</f>
        <v>1280000</v>
      </c>
      <c r="AR31" s="16">
        <f>+('3 Planilla Preadjudicación OTIC'!AT31)</f>
        <v>0</v>
      </c>
      <c r="AS31" s="16">
        <f>+('3 Planilla Preadjudicación OTIC'!AU31)</f>
        <v>0</v>
      </c>
      <c r="AT31" s="16">
        <f>+('3 Planilla Preadjudicación OTIC'!AV31)</f>
        <v>0</v>
      </c>
      <c r="AU31" s="16">
        <f>+('3 Planilla Preadjudicación OTIC'!AW31)</f>
        <v>9437440</v>
      </c>
      <c r="AV31" s="158" t="str">
        <f>+('3 Planilla Preadjudicación OTIC'!AX31)</f>
        <v>SI</v>
      </c>
      <c r="AW31" s="8">
        <f>+('3 Planilla Preadjudicación OTIC'!AY31)</f>
        <v>0</v>
      </c>
      <c r="AX31" s="6">
        <f>+('3 Planilla Preadjudicación OTIC'!AZ31)</f>
        <v>3</v>
      </c>
      <c r="AY31" s="6">
        <f>+('3 Planilla Preadjudicación OTIC'!BA31)</f>
        <v>7</v>
      </c>
      <c r="AZ31" s="6">
        <f>+('3 Planilla Preadjudicación OTIC'!BB31)</f>
        <v>0</v>
      </c>
      <c r="BA31" s="6">
        <f>+('3 Planilla Preadjudicación OTIC'!BC31)</f>
        <v>0</v>
      </c>
      <c r="BB31" s="6">
        <f>+('3 Planilla Preadjudicación OTIC'!BD31)</f>
        <v>0</v>
      </c>
      <c r="BC31" s="6">
        <f>+('3 Planilla Preadjudicación OTIC'!BE31)</f>
        <v>0</v>
      </c>
      <c r="BD31" s="6">
        <f>+('3 Planilla Preadjudicación OTIC'!BF31)</f>
        <v>0</v>
      </c>
      <c r="BE31" s="6">
        <f>+('3 Planilla Preadjudicación OTIC'!BG31)</f>
        <v>0</v>
      </c>
      <c r="BF31" s="6">
        <f>+('3 Planilla Preadjudicación OTIC'!BH31)</f>
        <v>0</v>
      </c>
      <c r="BG31" s="6">
        <f>+('3 Planilla Preadjudicación OTIC'!BI31)</f>
        <v>7</v>
      </c>
      <c r="BH31" s="6">
        <f>+('3 Planilla Preadjudicación OTIC'!BJ31)</f>
        <v>7</v>
      </c>
      <c r="BI31" s="6">
        <f>+('3 Planilla Preadjudicación OTIC'!BK31)</f>
        <v>7</v>
      </c>
      <c r="BJ31" s="6">
        <f>+('3 Planilla Preadjudicación OTIC'!BL31)</f>
        <v>7</v>
      </c>
      <c r="BK31" s="6">
        <f>+('3 Planilla Preadjudicación OTIC'!BM31)</f>
        <v>7</v>
      </c>
      <c r="BL31" s="6">
        <f>+('3 Planilla Preadjudicación OTIC'!BN31)</f>
        <v>7</v>
      </c>
      <c r="BM31" s="108">
        <f>ROUND(('3 Planilla Preadjudicación OTIC'!BO31),1)</f>
        <v>6.6</v>
      </c>
      <c r="BN31" s="8" t="str">
        <f>+('3 Planilla Preadjudicación OTIC'!BP31)</f>
        <v>NO</v>
      </c>
      <c r="BO31" s="8" t="str">
        <f>+('3 Planilla Preadjudicación OTIC'!BQ31)</f>
        <v>Marianela Núñez Véliz</v>
      </c>
      <c r="BP31" s="8" t="str">
        <f>+('3 Planilla Preadjudicación OTIC'!BR31)</f>
        <v>surorienteemprende@gmail.com</v>
      </c>
      <c r="BQ31" s="8">
        <f>+('3 Planilla Preadjudicación OTIC'!BS31)</f>
        <v>228507710</v>
      </c>
      <c r="BR31" s="8" t="str">
        <f>+('3 Planilla Preadjudicación OTIC'!BT31)</f>
        <v>Las Margaritas 3875, Renca</v>
      </c>
      <c r="BS31" s="8">
        <f>+('3 Planilla Preadjudicación OTIC'!BU31)</f>
        <v>0</v>
      </c>
      <c r="BT31" s="8">
        <f>+('3 Planilla Preadjudicación OTIC'!BV31)</f>
        <v>0</v>
      </c>
      <c r="BU31" s="89">
        <f>IF(VLOOKUP(A31,'BD OFICIAL'!$A$1:$AL$2099,7,0)=D31,0,1)</f>
        <v>0</v>
      </c>
      <c r="BV31" s="89">
        <f>IF(VLOOKUP(A31,'BD OFICIAL'!$A$1:$AL$2099,11,0)=J31,0,1)</f>
        <v>0</v>
      </c>
      <c r="BW31" s="89">
        <f>IF(VLOOKUP(A31,'BD OFICIAL'!$A$1:$AL$2099,13,0)=L31,0,1)</f>
        <v>0</v>
      </c>
      <c r="BX31" s="6">
        <f>IF(VLOOKUP(A31,'BD OFICIAL'!$A$1:$AL$2099,16,0)=O31,0,1)</f>
        <v>0</v>
      </c>
      <c r="BY31" s="6">
        <f>IF(VLOOKUP(A31,'BD OFICIAL'!$A$1:$AL$2099,17,0)=P31,0,1)</f>
        <v>0</v>
      </c>
      <c r="BZ31" s="6">
        <f>IF(VLOOKUP(A31,'BD OFICIAL'!$A$1:$AL$2099,19,0)=R31,0,1)</f>
        <v>0</v>
      </c>
      <c r="CA31" s="6">
        <f>IF(VLOOKUP(A31,'BD OFICIAL'!$A$1:$AL$2099,21,0)=T31,0,1)</f>
        <v>0</v>
      </c>
      <c r="CB31" s="6">
        <f>IF(VLOOKUP(A31,'BD OFICIAL'!$A$1:$AL$2099,24,0)=AK31,0,1)</f>
        <v>0</v>
      </c>
      <c r="CC31" s="6">
        <f>IF(VLOOKUP(A31,'BD OFICIAL'!$A$1:$AL$2099,25,0)=X31,0,1)</f>
        <v>0</v>
      </c>
      <c r="CD31" s="6">
        <f>IF(VLOOKUP(A31,'BD OFICIAL'!$A$1:$AL$2099,26,0)=Y31,0,1)</f>
        <v>0</v>
      </c>
      <c r="CE31" s="6">
        <f>IF(VLOOKUP(A31,'BD OFICIAL'!$A$1:$AL$2099,27,0)=Z31,0,1)</f>
        <v>0</v>
      </c>
      <c r="CF31" s="6">
        <f>IF(VLOOKUP(A31,'BD OFICIAL'!$A$1:$AL$2099,28,0)=AA31,0,1)</f>
        <v>0</v>
      </c>
      <c r="CG31" s="6">
        <f>IF(VLOOKUP(A31,'BD OFICIAL'!$A$1:$AL$2099,33,0)=AF31,0,1)</f>
        <v>0</v>
      </c>
      <c r="CH31" s="6">
        <f>IF(VLOOKUP(A31,'BD OFICIAL'!$A$1:$AL$2099,35,0)=AH31,0,1)</f>
        <v>0</v>
      </c>
      <c r="CI31" s="89">
        <f>IF(VLOOKUP(A31,'BD OFICIAL'!$A$1:$AL$2099,34,0)=AL31,0,1)</f>
        <v>0</v>
      </c>
      <c r="CJ31" s="89">
        <f>VLOOKUP(A31,'BD OFICIAL'!$A$1:$AM$2099,36,0)*AM31-AP31</f>
        <v>0</v>
      </c>
      <c r="CK31" s="89" t="str">
        <f t="shared" si="0"/>
        <v>SSH</v>
      </c>
      <c r="CL31" s="89" t="str">
        <f t="shared" si="1"/>
        <v>SI</v>
      </c>
      <c r="CM31" s="89" t="str">
        <f t="shared" si="2"/>
        <v>NO</v>
      </c>
      <c r="CN31" s="35">
        <f t="shared" si="3"/>
        <v>0</v>
      </c>
      <c r="CO31" s="35">
        <f t="shared" si="19"/>
        <v>0</v>
      </c>
      <c r="CP31" s="35">
        <f t="shared" si="20"/>
        <v>0</v>
      </c>
      <c r="CQ31" s="35">
        <f>IF(VLOOKUP(A31,'BD OFICIAL'!$A:$AT,40,0)=AQ31,0,1)</f>
        <v>0</v>
      </c>
      <c r="CR31" s="35">
        <f>IF(VLOOKUP(A31,'BD OFICIAL'!$A:$AT,41,0)=AS31,0,1)</f>
        <v>0</v>
      </c>
      <c r="CS31" s="35">
        <f t="shared" si="21"/>
        <v>0</v>
      </c>
      <c r="CT31" s="35">
        <f t="shared" si="4"/>
        <v>0</v>
      </c>
      <c r="CU31" s="35">
        <f>IF(VLOOKUP(A31,'BD OFICIAL'!$A$1:$AL$1057,31,0)="SI",IF(AT31&gt;0,0,1),IF(AT31=0,0,1))</f>
        <v>0</v>
      </c>
      <c r="CV31" s="35">
        <f t="shared" si="5"/>
        <v>0</v>
      </c>
      <c r="CW31" s="35">
        <f t="shared" si="6"/>
        <v>0</v>
      </c>
      <c r="CX31" s="89" t="str">
        <f t="shared" si="7"/>
        <v>SI</v>
      </c>
      <c r="CY31" s="35">
        <f t="shared" si="8"/>
        <v>0</v>
      </c>
      <c r="CZ31" s="89" t="str">
        <f>IF(ISERROR(VLOOKUP(AI31,EXPERIENCIA!$A$1:$C$2100,1,0)),"NO","SI")</f>
        <v>SI</v>
      </c>
      <c r="DA31" s="89">
        <f>IF(CX31="no","NO APLICA",IF(AX31=0,"ERROR NOTA",IF(AND(AX31&gt;1,CZ31="NO"),"ERROR NOTA",IF(AND(CZ31="NO",AX31=1),0,IF(VLOOKUP(AI31,EXPERIENCIA!$A$1:$C$2100,3,0)=AX31,0,"ERROR NOTA")))))</f>
        <v>0</v>
      </c>
      <c r="DB31" s="89" t="str">
        <f>IF(ISERROR(VLOOKUP(AI31,COMPORTAMIENTO!$A$1:$C$2100,1,0)),"NO","SI")</f>
        <v>SI</v>
      </c>
      <c r="DC31" s="89">
        <f>IF(CX31="NO","NO APLICA",IF(AY31=0,"ERROR NOTA",IF(AND(DB31="NO",AY31=7),0,IF(VLOOKUP(AI31,COMPORTAMIENTO!$A$2:$H$2100,8,0)=AY31,0,"ERROR NOTA"))))</f>
        <v>0</v>
      </c>
      <c r="DD31" s="108">
        <f t="shared" si="9"/>
        <v>0.30000000000000004</v>
      </c>
      <c r="DE31" s="108">
        <f t="shared" si="10"/>
        <v>0.70000000000000007</v>
      </c>
      <c r="DF31" s="89" t="str">
        <f t="shared" si="22"/>
        <v>SI</v>
      </c>
      <c r="DG31" s="89">
        <f t="shared" si="11"/>
        <v>0</v>
      </c>
      <c r="DH31" s="89">
        <f t="shared" si="12"/>
        <v>0</v>
      </c>
      <c r="DI31" s="89">
        <f t="shared" si="23"/>
        <v>0</v>
      </c>
      <c r="DJ31" s="16">
        <f t="shared" si="13"/>
        <v>7.0000000000000009</v>
      </c>
      <c r="DK31" s="11">
        <f t="shared" si="24"/>
        <v>7.0000000000000009</v>
      </c>
      <c r="DL31" s="16">
        <f t="shared" si="14"/>
        <v>6373</v>
      </c>
      <c r="DM31" s="16">
        <f>VLOOKUP(A31,'5 TD'!$A$3:$B$35,2,0)</f>
        <v>6373</v>
      </c>
      <c r="DN31" s="11">
        <f t="shared" si="25"/>
        <v>7</v>
      </c>
      <c r="DO31" s="89" t="str">
        <f t="shared" si="26"/>
        <v>APROBADO</v>
      </c>
      <c r="DP31" s="89" t="str">
        <f t="shared" si="27"/>
        <v>APROBADO</v>
      </c>
      <c r="DQ31" s="11">
        <f t="shared" si="28"/>
        <v>6.6</v>
      </c>
      <c r="DR31" s="89" t="str">
        <f t="shared" si="29"/>
        <v>APROBADO</v>
      </c>
      <c r="DS31" s="6" t="str">
        <f>+('3 Planilla Preadjudicación OTIC'!BP32)</f>
        <v>NO</v>
      </c>
      <c r="DT31" s="6">
        <f>IF(DR31="APROBADO",VLOOKUP(A31,'5 TD'!$D$3:$E$270,2,0),"NO APLICA")</f>
        <v>7</v>
      </c>
      <c r="DU31" s="6" t="str">
        <f t="shared" si="30"/>
        <v>NO</v>
      </c>
      <c r="DV31" s="6" t="str">
        <f>IF(DU31="SI",VLOOKUP(A31,'5 TD'!$G$3:$H$270,2,0),"NO APLICA ")</f>
        <v xml:space="preserve">NO APLICA </v>
      </c>
      <c r="DW31" s="6" t="str">
        <f t="shared" si="15"/>
        <v>NO</v>
      </c>
      <c r="DX31" s="6" t="str">
        <f>IF(DW31="SI",VLOOKUP(A31,'5 TD'!$J$4:$K$472,2,0),"NO APLICA")</f>
        <v>NO APLICA</v>
      </c>
      <c r="DY31" s="6" t="str">
        <f t="shared" si="16"/>
        <v>NO APLICA</v>
      </c>
      <c r="DZ31" s="11" t="str">
        <f>IF(DY31="SI",VLOOKUP(A31,'5 TD'!$M$4:$N$350,2,0),"NO APLICA")</f>
        <v>NO APLICA</v>
      </c>
      <c r="EA31" s="6" t="str">
        <f t="shared" si="17"/>
        <v>NO APLICA</v>
      </c>
      <c r="EB31" s="16" t="str">
        <f t="shared" si="18"/>
        <v/>
      </c>
      <c r="EC31" s="16" t="str">
        <f>IF(EA31="SI",VLOOKUP(A31,'5 TD'!$V$4:$W$479,2,0),"NO APLICA")</f>
        <v>NO APLICA</v>
      </c>
      <c r="ED31" s="6" t="str">
        <f t="shared" si="31"/>
        <v>NO</v>
      </c>
      <c r="EE31" s="83" t="str">
        <f>IF(ED31="SI",VLOOKUP(AI31,COMPORTAMIENTO!$A$1:$H$2100,7,0),"NO APLICA")</f>
        <v>NO APLICA</v>
      </c>
      <c r="EF31" s="16" t="str">
        <f>IF(ED31="SI",VLOOKUP(A31,'5 TD'!$P$2:$Q$479,2,0),"NO APLICA")</f>
        <v>NO APLICA</v>
      </c>
      <c r="EG31" s="6" t="str">
        <f t="shared" si="32"/>
        <v>NO</v>
      </c>
      <c r="EH31" s="6">
        <f>IF(CZ31="no",0,VLOOKUP(AI31,EXPERIENCIA!$A$1:$C$2100,2,0))</f>
        <v>29</v>
      </c>
      <c r="EI31" s="6">
        <f>IF(CZ31="si",VLOOKUP(A31,'5 TD'!$S$3:$T$2103,2,0),0)</f>
        <v>125</v>
      </c>
      <c r="EJ31" s="6" t="str">
        <f t="shared" si="33"/>
        <v>NO</v>
      </c>
      <c r="EK31" s="6">
        <f>+('3 Planilla Preadjudicación OTIC'!BW32)</f>
        <v>0</v>
      </c>
    </row>
    <row r="32" spans="1:145" s="7" customFormat="1" ht="12.75" x14ac:dyDescent="0.2">
      <c r="A32" s="6">
        <f>+('3 Planilla Preadjudicación OTIC'!A32)</f>
        <v>14336</v>
      </c>
      <c r="B32" s="6" t="str">
        <f>+('3 Planilla Preadjudicación OTIC'!B32)</f>
        <v>SOFOFA</v>
      </c>
      <c r="C32" s="8">
        <f>+('3 Planilla Preadjudicación OTIC'!E32)</f>
        <v>2025</v>
      </c>
      <c r="D32" s="8" t="str">
        <f>+('3 Planilla Preadjudicación OTIC'!F32)</f>
        <v>MANDATO</v>
      </c>
      <c r="E32" s="8" t="str">
        <f>+('3 Planilla Preadjudicación OTIC'!G32)</f>
        <v>65181652-1</v>
      </c>
      <c r="F32" s="8" t="str">
        <f>+('3 Planilla Preadjudicación OTIC'!H32)</f>
        <v>SOFOFA</v>
      </c>
      <c r="G32" s="8" t="str">
        <f>+('3 Planilla Preadjudicación OTIC'!I32)</f>
        <v>70417500-0</v>
      </c>
      <c r="H32" s="8" t="str">
        <f>+('3 Planilla Preadjudicación OTIC'!J32)</f>
        <v>CORPORACION DE CAPACITACION Y EMPLEO SOFOFA (LICEOS)</v>
      </c>
      <c r="I32" s="8" t="str">
        <f>+('3 Planilla Preadjudicación OTIC'!K32)</f>
        <v>CONTROL DE CALIDAD EN LA INDUSTRIA ALIMENTARIA</v>
      </c>
      <c r="J32" s="8" t="str">
        <f>+('3 Planilla Preadjudicación OTIC'!L32)</f>
        <v>SIN PLAN FORMATIVO</v>
      </c>
      <c r="K32" s="8">
        <f>+('3 Planilla Preadjudicación OTIC'!M32)</f>
        <v>0</v>
      </c>
      <c r="L32" s="8" t="str">
        <f>+('3 Planilla Preadjudicación OTIC'!N32)</f>
        <v/>
      </c>
      <c r="M32" s="6">
        <f>+('3 Planilla Preadjudicación OTIC'!O32)</f>
        <v>13</v>
      </c>
      <c r="N32" s="8">
        <f>+('3 Planilla Preadjudicación OTIC'!P32)</f>
        <v>0</v>
      </c>
      <c r="O32" s="8" t="str">
        <f>+('3 Planilla Preadjudicación OTIC'!Q32)</f>
        <v>SANTIAGO</v>
      </c>
      <c r="P32" s="8" t="str">
        <f>+('3 Planilla Preadjudicación OTIC'!R32)</f>
        <v>ESTUDIANTES DE CUARTO AÑO DE ENSEÑANZA MEDIA O DE LICEOS TÉCNICOS PROFESIONALES.</v>
      </c>
      <c r="Q32" s="8" t="str">
        <f>+('3 Planilla Preadjudicación OTIC'!S32)</f>
        <v>PRESENCIAL</v>
      </c>
      <c r="R32" s="8" t="str">
        <f>+('3 Planilla Preadjudicación OTIC'!T32)</f>
        <v>DEPENDIENTE</v>
      </c>
      <c r="S32" s="8" t="str">
        <f>+('3 Planilla Preadjudicación OTIC'!U32)</f>
        <v>02. LUNES - TARDE / 05. MARTES - TARDE / 08. MIÉRCOLES - TARDE / 11. JUEVES - TARDE / 14. VIERNES - TARDE</v>
      </c>
      <c r="T32" s="6">
        <f>+('3 Planilla Preadjudicación OTIC'!V32)</f>
        <v>15</v>
      </c>
      <c r="U32" s="6">
        <f>+('3 Planilla Preadjudicación OTIC'!W32)</f>
        <v>0</v>
      </c>
      <c r="V32" s="6">
        <f>+('3 Planilla Preadjudicación OTIC'!X32)</f>
        <v>0</v>
      </c>
      <c r="W32" s="6">
        <f>+('3 Planilla Preadjudicación OTIC'!Y32)</f>
        <v>160</v>
      </c>
      <c r="X32" s="6">
        <f>+('3 Planilla Preadjudicación OTIC'!Z32)</f>
        <v>5</v>
      </c>
      <c r="Y32" s="6" t="str">
        <f>+('3 Planilla Preadjudicación OTIC'!AA32)</f>
        <v>SI</v>
      </c>
      <c r="Z32" s="6" t="str">
        <f>+('3 Planilla Preadjudicación OTIC'!AB32)</f>
        <v>NO</v>
      </c>
      <c r="AA32" s="6" t="str">
        <f>+('3 Planilla Preadjudicación OTIC'!AC32)</f>
        <v>NO</v>
      </c>
      <c r="AB32" s="8" t="str">
        <f>+('3 Planilla Preadjudicación OTIC'!AD32)</f>
        <v>- Aplicar normas del Reglamento Sanitario de los Alimentos (RSA) y la Ley 20.606 sobre
etiquetado nutricional.
- Reconocer y aplicar Buenas Prácticas de Manufactura (BPM) en procesos productivos
alimentarios.
- Implementar principios del sistema HACCP para el control de peligros alimentarios.
- Manejar herramientas e instrumentos de medición para evaluación sensorial,
fisicoquímica y microbiológica básica.
- Interpretar y registrar resultados de control de calidad, reportando no conformidades
según protocolos establecidos.
- Aplicar criterios de auditoría y trazabilidad conforme a estándares ISO 22000 y BRC Food.</v>
      </c>
      <c r="AC32" s="8" t="str">
        <f>+('3 Planilla Preadjudicación OTIC'!AE32)</f>
        <v>HOMBRES Y MUJERES, ESTUDIANTES DE CUARTO AÑO MEDIO DE LICEOS TECNICO PROFESIONAL DE LA COMUNA DE SANTIAGOL, CON ENSEÑANZA MEDIA COMPLETA PREFERENTEMENTE</v>
      </c>
      <c r="AD32" s="6" t="str">
        <f>+('3 Planilla Preadjudicación OTIC'!AF32)</f>
        <v>NO</v>
      </c>
      <c r="AE32" s="8">
        <f>+('3 Planilla Preadjudicación OTIC'!AG32)</f>
        <v>0</v>
      </c>
      <c r="AF32" s="6" t="str">
        <f>+('3 Planilla Preadjudicación OTIC'!AH32)</f>
        <v>CERRADA</v>
      </c>
      <c r="AG32" s="6">
        <f>+('3 Planilla Preadjudicación OTIC'!AI32)</f>
        <v>32</v>
      </c>
      <c r="AH32" s="6">
        <f>+('3 Planilla Preadjudicación OTIC'!AJ32)</f>
        <v>3</v>
      </c>
      <c r="AI32" s="140" t="str">
        <f>+('3 Planilla Preadjudicación OTIC'!AK32)</f>
        <v>76928190-8</v>
      </c>
      <c r="AJ32" s="8" t="str">
        <f>+('3 Planilla Preadjudicación OTIC'!AL32)</f>
        <v>Véliz, Núñez y Cía. Ltda.</v>
      </c>
      <c r="AK32" s="6">
        <f>+('3 Planilla Preadjudicación OTIC'!AM32)</f>
        <v>160</v>
      </c>
      <c r="AL32" s="6">
        <f>+('3 Planilla Preadjudicación OTIC'!AN32)</f>
        <v>32</v>
      </c>
      <c r="AM32" s="16">
        <f>+('3 Planilla Preadjudicación OTIC'!AO32)</f>
        <v>6373</v>
      </c>
      <c r="AN32" s="16">
        <f>+('3 Planilla Preadjudicación OTIC'!AP32)</f>
        <v>0</v>
      </c>
      <c r="AO32" s="16">
        <f>+('3 Planilla Preadjudicación OTIC'!AQ32)</f>
        <v>0</v>
      </c>
      <c r="AP32" s="16">
        <f>+('3 Planilla Preadjudicación OTIC'!AR32)</f>
        <v>15295200</v>
      </c>
      <c r="AQ32" s="16">
        <f>+('3 Planilla Preadjudicación OTIC'!AS32)</f>
        <v>1920000</v>
      </c>
      <c r="AR32" s="16">
        <f>+('3 Planilla Preadjudicación OTIC'!AT32)</f>
        <v>0</v>
      </c>
      <c r="AS32" s="16">
        <f>+('3 Planilla Preadjudicación OTIC'!AU32)</f>
        <v>0</v>
      </c>
      <c r="AT32" s="16">
        <f>+('3 Planilla Preadjudicación OTIC'!AV32)</f>
        <v>0</v>
      </c>
      <c r="AU32" s="16">
        <f>+('3 Planilla Preadjudicación OTIC'!AW32)</f>
        <v>17215200</v>
      </c>
      <c r="AV32" s="158" t="str">
        <f>+('3 Planilla Preadjudicación OTIC'!AX32)</f>
        <v>SI</v>
      </c>
      <c r="AW32" s="8">
        <f>+('3 Planilla Preadjudicación OTIC'!AY32)</f>
        <v>0</v>
      </c>
      <c r="AX32" s="6">
        <f>+('3 Planilla Preadjudicación OTIC'!AZ32)</f>
        <v>3</v>
      </c>
      <c r="AY32" s="6">
        <f>+('3 Planilla Preadjudicación OTIC'!BA32)</f>
        <v>7</v>
      </c>
      <c r="AZ32" s="6">
        <f>+('3 Planilla Preadjudicación OTIC'!BB32)</f>
        <v>7</v>
      </c>
      <c r="BA32" s="6">
        <f>+('3 Planilla Preadjudicación OTIC'!BC32)</f>
        <v>7</v>
      </c>
      <c r="BB32" s="6">
        <f>+('3 Planilla Preadjudicación OTIC'!BD32)</f>
        <v>7</v>
      </c>
      <c r="BC32" s="6">
        <f>+('3 Planilla Preadjudicación OTIC'!BE32)</f>
        <v>7</v>
      </c>
      <c r="BD32" s="6">
        <f>+('3 Planilla Preadjudicación OTIC'!BF32)</f>
        <v>7</v>
      </c>
      <c r="BE32" s="6">
        <f>+('3 Planilla Preadjudicación OTIC'!BG32)</f>
        <v>7</v>
      </c>
      <c r="BF32" s="6">
        <f>+('3 Planilla Preadjudicación OTIC'!BH32)</f>
        <v>7</v>
      </c>
      <c r="BG32" s="6">
        <f>+('3 Planilla Preadjudicación OTIC'!BI32)</f>
        <v>7</v>
      </c>
      <c r="BH32" s="6">
        <f>+('3 Planilla Preadjudicación OTIC'!BJ32)</f>
        <v>7</v>
      </c>
      <c r="BI32" s="6">
        <f>+('3 Planilla Preadjudicación OTIC'!BK32)</f>
        <v>7</v>
      </c>
      <c r="BJ32" s="6">
        <f>+('3 Planilla Preadjudicación OTIC'!BL32)</f>
        <v>7</v>
      </c>
      <c r="BK32" s="6">
        <f>+('3 Planilla Preadjudicación OTIC'!BM32)</f>
        <v>7</v>
      </c>
      <c r="BL32" s="6">
        <f>+('3 Planilla Preadjudicación OTIC'!BN32)</f>
        <v>7</v>
      </c>
      <c r="BM32" s="108">
        <f>ROUND(('3 Planilla Preadjudicación OTIC'!BO32),1)</f>
        <v>6.6</v>
      </c>
      <c r="BN32" s="8" t="str">
        <f>+('3 Planilla Preadjudicación OTIC'!BP32)</f>
        <v>NO</v>
      </c>
      <c r="BO32" s="8" t="str">
        <f>+('3 Planilla Preadjudicación OTIC'!BQ32)</f>
        <v>Marianela Núñez Véliz</v>
      </c>
      <c r="BP32" s="8" t="str">
        <f>+('3 Planilla Preadjudicación OTIC'!BR32)</f>
        <v>surorienteemprende@gmail.com</v>
      </c>
      <c r="BQ32" s="8">
        <f>+('3 Planilla Preadjudicación OTIC'!BS32)</f>
        <v>228507710</v>
      </c>
      <c r="BR32" s="8" t="str">
        <f>+('3 Planilla Preadjudicación OTIC'!BT32)</f>
        <v>Pedro Lagos 1414, Santiago</v>
      </c>
      <c r="BS32" s="8">
        <f>+('3 Planilla Preadjudicación OTIC'!BU32)</f>
        <v>0</v>
      </c>
      <c r="BT32" s="8">
        <f>+('3 Planilla Preadjudicación OTIC'!BV32)</f>
        <v>0</v>
      </c>
      <c r="BU32" s="89">
        <f>IF(VLOOKUP(A32,'BD OFICIAL'!$A$1:$AL$2099,7,0)=D32,0,1)</f>
        <v>0</v>
      </c>
      <c r="BV32" s="89">
        <f>IF(VLOOKUP(A32,'BD OFICIAL'!$A$1:$AL$2099,11,0)=J32,0,1)</f>
        <v>0</v>
      </c>
      <c r="BW32" s="89">
        <f>IF(VLOOKUP(A32,'BD OFICIAL'!$A$1:$AL$2099,13,0)=L32,0,1)</f>
        <v>0</v>
      </c>
      <c r="BX32" s="6">
        <f>IF(VLOOKUP(A32,'BD OFICIAL'!$A$1:$AL$2099,16,0)=O32,0,1)</f>
        <v>0</v>
      </c>
      <c r="BY32" s="6">
        <f>IF(VLOOKUP(A32,'BD OFICIAL'!$A$1:$AL$2099,17,0)=P32,0,1)</f>
        <v>0</v>
      </c>
      <c r="BZ32" s="6">
        <f>IF(VLOOKUP(A32,'BD OFICIAL'!$A$1:$AL$2099,19,0)=R32,0,1)</f>
        <v>0</v>
      </c>
      <c r="CA32" s="6">
        <f>IF(VLOOKUP(A32,'BD OFICIAL'!$A$1:$AL$2099,21,0)=T32,0,1)</f>
        <v>0</v>
      </c>
      <c r="CB32" s="6">
        <f>IF(VLOOKUP(A32,'BD OFICIAL'!$A$1:$AL$2099,24,0)=AK32,0,1)</f>
        <v>0</v>
      </c>
      <c r="CC32" s="6">
        <f>IF(VLOOKUP(A32,'BD OFICIAL'!$A$1:$AL$2099,25,0)=X32,0,1)</f>
        <v>0</v>
      </c>
      <c r="CD32" s="6">
        <f>IF(VLOOKUP(A32,'BD OFICIAL'!$A$1:$AL$2099,26,0)=Y32,0,1)</f>
        <v>0</v>
      </c>
      <c r="CE32" s="6">
        <f>IF(VLOOKUP(A32,'BD OFICIAL'!$A$1:$AL$2099,27,0)=Z32,0,1)</f>
        <v>0</v>
      </c>
      <c r="CF32" s="6">
        <f>IF(VLOOKUP(A32,'BD OFICIAL'!$A$1:$AL$2099,28,0)=AA32,0,1)</f>
        <v>0</v>
      </c>
      <c r="CG32" s="6">
        <f>IF(VLOOKUP(A32,'BD OFICIAL'!$A$1:$AL$2099,33,0)=AF32,0,1)</f>
        <v>0</v>
      </c>
      <c r="CH32" s="6">
        <f>IF(VLOOKUP(A32,'BD OFICIAL'!$A$1:$AL$2099,35,0)=AH32,0,1)</f>
        <v>0</v>
      </c>
      <c r="CI32" s="89">
        <f>IF(VLOOKUP(A32,'BD OFICIAL'!$A$1:$AL$2099,34,0)=AL32,0,1)</f>
        <v>0</v>
      </c>
      <c r="CJ32" s="89">
        <f>VLOOKUP(A32,'BD OFICIAL'!$A$1:$AM$2099,36,0)*AM32-AP32</f>
        <v>0</v>
      </c>
      <c r="CK32" s="89" t="str">
        <f t="shared" si="0"/>
        <v>SSH</v>
      </c>
      <c r="CL32" s="89" t="str">
        <f t="shared" si="1"/>
        <v>NO</v>
      </c>
      <c r="CM32" s="89" t="str">
        <f t="shared" si="2"/>
        <v>SI</v>
      </c>
      <c r="CN32" s="35">
        <f t="shared" si="3"/>
        <v>0</v>
      </c>
      <c r="CO32" s="35">
        <f t="shared" si="19"/>
        <v>0</v>
      </c>
      <c r="CP32" s="35">
        <f t="shared" si="20"/>
        <v>0</v>
      </c>
      <c r="CQ32" s="35">
        <f>IF(VLOOKUP(A32,'BD OFICIAL'!$A:$AT,40,0)=AQ32,0,1)</f>
        <v>0</v>
      </c>
      <c r="CR32" s="35">
        <f>IF(VLOOKUP(A32,'BD OFICIAL'!$A:$AT,41,0)=AS32,0,1)</f>
        <v>0</v>
      </c>
      <c r="CS32" s="35">
        <f t="shared" si="21"/>
        <v>0</v>
      </c>
      <c r="CT32" s="35">
        <f t="shared" si="4"/>
        <v>0</v>
      </c>
      <c r="CU32" s="35">
        <f>IF(VLOOKUP(A32,'BD OFICIAL'!$A$1:$AL$1057,31,0)="SI",IF(AT32&gt;0,0,1),IF(AT32=0,0,1))</f>
        <v>0</v>
      </c>
      <c r="CV32" s="35">
        <f t="shared" si="5"/>
        <v>0</v>
      </c>
      <c r="CW32" s="35">
        <f t="shared" si="6"/>
        <v>0</v>
      </c>
      <c r="CX32" s="89" t="str">
        <f t="shared" si="7"/>
        <v>SI</v>
      </c>
      <c r="CY32" s="35">
        <f t="shared" si="8"/>
        <v>0</v>
      </c>
      <c r="CZ32" s="89" t="str">
        <f>IF(ISERROR(VLOOKUP(AI32,EXPERIENCIA!$A$1:$C$2100,1,0)),"NO","SI")</f>
        <v>SI</v>
      </c>
      <c r="DA32" s="89">
        <f>IF(CX32="no","NO APLICA",IF(AX32=0,"ERROR NOTA",IF(AND(AX32&gt;1,CZ32="NO"),"ERROR NOTA",IF(AND(CZ32="NO",AX32=1),0,IF(VLOOKUP(AI32,EXPERIENCIA!$A$1:$C$2100,3,0)=AX32,0,"ERROR NOTA")))))</f>
        <v>0</v>
      </c>
      <c r="DB32" s="89" t="str">
        <f>IF(ISERROR(VLOOKUP(AI32,COMPORTAMIENTO!$A$1:$C$2100,1,0)),"NO","SI")</f>
        <v>SI</v>
      </c>
      <c r="DC32" s="89">
        <f>IF(CX32="NO","NO APLICA",IF(AY32=0,"ERROR NOTA",IF(AND(DB32="NO",AY32=7),0,IF(VLOOKUP(AI32,COMPORTAMIENTO!$A$2:$H$2100,8,0)=AY32,0,"ERROR NOTA"))))</f>
        <v>0</v>
      </c>
      <c r="DD32" s="108">
        <f t="shared" si="9"/>
        <v>0.30000000000000004</v>
      </c>
      <c r="DE32" s="108">
        <f t="shared" si="10"/>
        <v>0.70000000000000007</v>
      </c>
      <c r="DF32" s="89" t="str">
        <f t="shared" si="22"/>
        <v>NO</v>
      </c>
      <c r="DG32" s="89">
        <f t="shared" si="11"/>
        <v>7</v>
      </c>
      <c r="DH32" s="89">
        <f t="shared" si="12"/>
        <v>7</v>
      </c>
      <c r="DI32" s="89">
        <f t="shared" si="23"/>
        <v>7</v>
      </c>
      <c r="DJ32" s="16">
        <f t="shared" si="13"/>
        <v>7.0000000000000009</v>
      </c>
      <c r="DK32" s="11">
        <f t="shared" si="24"/>
        <v>7.0000000000000009</v>
      </c>
      <c r="DL32" s="16">
        <f t="shared" si="14"/>
        <v>6373</v>
      </c>
      <c r="DM32" s="16">
        <f>VLOOKUP(A32,'5 TD'!$A$3:$B$35,2,0)</f>
        <v>6373</v>
      </c>
      <c r="DN32" s="11">
        <f t="shared" si="25"/>
        <v>7</v>
      </c>
      <c r="DO32" s="89" t="str">
        <f t="shared" si="26"/>
        <v>APROBADO</v>
      </c>
      <c r="DP32" s="89" t="str">
        <f t="shared" si="27"/>
        <v>APROBADO</v>
      </c>
      <c r="DQ32" s="11">
        <f t="shared" si="28"/>
        <v>6.6</v>
      </c>
      <c r="DR32" s="89" t="str">
        <f t="shared" si="29"/>
        <v>APROBADO</v>
      </c>
      <c r="DS32" s="6" t="str">
        <f>+('3 Planilla Preadjudicación OTIC'!BP33)</f>
        <v>NO</v>
      </c>
      <c r="DT32" s="6">
        <f>IF(DR32="APROBADO",VLOOKUP(A32,'5 TD'!$D$3:$E$270,2,0),"NO APLICA")</f>
        <v>7</v>
      </c>
      <c r="DU32" s="6" t="str">
        <f t="shared" si="30"/>
        <v>NO</v>
      </c>
      <c r="DV32" s="6" t="str">
        <f>IF(DU32="SI",VLOOKUP(A32,'5 TD'!$G$3:$H$270,2,0),"NO APLICA ")</f>
        <v xml:space="preserve">NO APLICA </v>
      </c>
      <c r="DW32" s="6" t="str">
        <f t="shared" ref="DW32:DW49" si="34">IF(DV32="NO APLICA","NO",IF(DV32=DJ32,"SI","NO"))</f>
        <v>NO</v>
      </c>
      <c r="DX32" s="6" t="str">
        <f>IF(DW32="SI",VLOOKUP(A32,'5 TD'!$J$4:$K$472,2,0),"NO APLICA")</f>
        <v>NO APLICA</v>
      </c>
      <c r="DY32" s="6" t="str">
        <f t="shared" si="16"/>
        <v>NO APLICA</v>
      </c>
      <c r="DZ32" s="11" t="str">
        <f>IF(DY32="SI",VLOOKUP(A32,'5 TD'!$M$4:$N$350,2,0),"NO APLICA")</f>
        <v>NO APLICA</v>
      </c>
      <c r="EA32" s="6" t="str">
        <f t="shared" si="17"/>
        <v>NO APLICA</v>
      </c>
      <c r="EB32" s="16" t="str">
        <f t="shared" si="18"/>
        <v/>
      </c>
      <c r="EC32" s="16" t="str">
        <f>IF(EA32="SI",VLOOKUP(A32,'5 TD'!$V$4:$W$479,2,0),"NO APLICA")</f>
        <v>NO APLICA</v>
      </c>
      <c r="ED32" s="6" t="str">
        <f t="shared" si="31"/>
        <v>NO</v>
      </c>
      <c r="EE32" s="83" t="str">
        <f>IF(ED32="SI",VLOOKUP(AI32,COMPORTAMIENTO!$A$1:$H$2100,7,0),"NO APLICA")</f>
        <v>NO APLICA</v>
      </c>
      <c r="EF32" s="16" t="str">
        <f>IF(ED32="SI",VLOOKUP(A32,'5 TD'!$P$2:$Q$479,2,0),"NO APLICA")</f>
        <v>NO APLICA</v>
      </c>
      <c r="EG32" s="6" t="str">
        <f t="shared" si="32"/>
        <v>NO</v>
      </c>
      <c r="EH32" s="6">
        <f>IF(CZ32="no",0,VLOOKUP(AI32,EXPERIENCIA!$A$1:$C$2100,2,0))</f>
        <v>29</v>
      </c>
      <c r="EI32" s="6">
        <f>IF(CZ32="si",VLOOKUP(A32,'5 TD'!$S$3:$T$2103,2,0),0)</f>
        <v>125</v>
      </c>
      <c r="EJ32" s="6" t="str">
        <f t="shared" si="33"/>
        <v>NO</v>
      </c>
      <c r="EK32" s="6">
        <f>+('3 Planilla Preadjudicación OTIC'!BW33)</f>
        <v>0</v>
      </c>
    </row>
    <row r="33" spans="1:146" s="7" customFormat="1" ht="12.75" x14ac:dyDescent="0.2">
      <c r="A33" s="6">
        <f>+('3 Planilla Preadjudicación OTIC'!A33)</f>
        <v>14279</v>
      </c>
      <c r="B33" s="6" t="str">
        <f>+('3 Planilla Preadjudicación OTIC'!B33)</f>
        <v>SOFOFA</v>
      </c>
      <c r="C33" s="8">
        <f>+('3 Planilla Preadjudicación OTIC'!E33)</f>
        <v>2025</v>
      </c>
      <c r="D33" s="8" t="str">
        <f>+('3 Planilla Preadjudicación OTIC'!F33)</f>
        <v>MANDATO</v>
      </c>
      <c r="E33" s="8" t="str">
        <f>+('3 Planilla Preadjudicación OTIC'!G33)</f>
        <v>65181652-1</v>
      </c>
      <c r="F33" s="8" t="str">
        <f>+('3 Planilla Preadjudicación OTIC'!H33)</f>
        <v>SOFOFA</v>
      </c>
      <c r="G33" s="8" t="str">
        <f>+('3 Planilla Preadjudicación OTIC'!I33)</f>
        <v>53333861-5</v>
      </c>
      <c r="H33" s="8" t="str">
        <f>+('3 Planilla Preadjudicación OTIC'!J33)</f>
        <v>FUNDACIÓN DE BENEFICENCIA PÚBLICA, CIENTÍFICA Y EDUCACIONAL TRES HOJAS</v>
      </c>
      <c r="I33" s="8" t="str">
        <f>+('3 Planilla Preadjudicación OTIC'!K33)</f>
        <v>INTEGRACIÓN DE COMPETENCIAS ESPECIALIZADAS DE PRODUCCIÓN LECHERA, EN LA FORMACIÓN DE TÉCNICOS AGROPECUARIOS.</v>
      </c>
      <c r="J33" s="8" t="str">
        <f>+('3 Planilla Preadjudicación OTIC'!L33)</f>
        <v>SIN PLAN FORMATIVO</v>
      </c>
      <c r="K33" s="8" t="str">
        <f>+('3 Planilla Preadjudicación OTIC'!M33)</f>
        <v>APRESTO LABORAL PARA EL TRABAJO</v>
      </c>
      <c r="L33" s="8" t="str">
        <f>+('3 Planilla Preadjudicación OTIC'!N33)</f>
        <v>PF0916</v>
      </c>
      <c r="M33" s="6">
        <f>+('3 Planilla Preadjudicación OTIC'!O33)</f>
        <v>10</v>
      </c>
      <c r="N33" s="8">
        <f>+('3 Planilla Preadjudicación OTIC'!P33)</f>
        <v>0</v>
      </c>
      <c r="O33" s="8" t="str">
        <f>+('3 Planilla Preadjudicación OTIC'!Q33)</f>
        <v>FRESIA</v>
      </c>
      <c r="P33" s="8" t="str">
        <f>+('3 Planilla Preadjudicación OTIC'!R33)</f>
        <v>ESTUDIANTES DE CUARTO AÑO DE ENSEÑANZA MEDIA O DE LICEOS TÉCNICOS PROFESIONALES.</v>
      </c>
      <c r="Q33" s="8" t="str">
        <f>+('3 Planilla Preadjudicación OTIC'!S33)</f>
        <v>PRESENCIAL</v>
      </c>
      <c r="R33" s="8" t="str">
        <f>+('3 Planilla Preadjudicación OTIC'!T33)</f>
        <v>DEPENDIENTE</v>
      </c>
      <c r="S33" s="8" t="str">
        <f>+('3 Planilla Preadjudicación OTIC'!U33)</f>
        <v>10. JUEVES - MAÑANA</v>
      </c>
      <c r="T33" s="6">
        <f>+('3 Planilla Preadjudicación OTIC'!V33)</f>
        <v>20</v>
      </c>
      <c r="U33" s="6">
        <f>+('3 Planilla Preadjudicación OTIC'!W33)</f>
        <v>0</v>
      </c>
      <c r="V33" s="6">
        <f>+('3 Planilla Preadjudicación OTIC'!X33)</f>
        <v>0</v>
      </c>
      <c r="W33" s="6">
        <f>+('3 Planilla Preadjudicación OTIC'!Y33)</f>
        <v>224</v>
      </c>
      <c r="X33" s="6">
        <f>+('3 Planilla Preadjudicación OTIC'!Z33)</f>
        <v>8</v>
      </c>
      <c r="Y33" s="6" t="str">
        <f>+('3 Planilla Preadjudicación OTIC'!AA33)</f>
        <v>SI</v>
      </c>
      <c r="Z33" s="6" t="str">
        <f>+('3 Planilla Preadjudicación OTIC'!AB33)</f>
        <v>NO</v>
      </c>
      <c r="AA33" s="6" t="str">
        <f>+('3 Planilla Preadjudicación OTIC'!AC33)</f>
        <v>NO</v>
      </c>
      <c r="AB33" s="8" t="str">
        <f>+('3 Planilla Preadjudicación OTIC'!AD33)</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33" s="8" t="str">
        <f>+('3 Planilla Preadjudicación OTIC'!AE33)</f>
        <v>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33" s="6" t="str">
        <f>+('3 Planilla Preadjudicación OTIC'!AF33)</f>
        <v>NO</v>
      </c>
      <c r="AE33" s="8">
        <f>+('3 Planilla Preadjudicación OTIC'!AG33)</f>
        <v>0</v>
      </c>
      <c r="AF33" s="6" t="str">
        <f>+('3 Planilla Preadjudicación OTIC'!AH33)</f>
        <v>CERRADA</v>
      </c>
      <c r="AG33" s="6">
        <f>+('3 Planilla Preadjudicación OTIC'!AI33)</f>
        <v>28</v>
      </c>
      <c r="AH33" s="6">
        <f>+('3 Planilla Preadjudicación OTIC'!AJ33)</f>
        <v>3</v>
      </c>
      <c r="AI33" s="140" t="str">
        <f>+('3 Planilla Preadjudicación OTIC'!AK33)</f>
        <v>76715240-K</v>
      </c>
      <c r="AJ33" s="8" t="str">
        <f>+('3 Planilla Preadjudicación OTIC'!AL33)</f>
        <v>CAPACITACION INTEGRAL LTDA</v>
      </c>
      <c r="AK33" s="6">
        <f>+('3 Planilla Preadjudicación OTIC'!AM33)</f>
        <v>224</v>
      </c>
      <c r="AL33" s="6">
        <f>+('3 Planilla Preadjudicación OTIC'!AN33)</f>
        <v>28</v>
      </c>
      <c r="AM33" s="16">
        <f>+('3 Planilla Preadjudicación OTIC'!AO33)</f>
        <v>6373</v>
      </c>
      <c r="AN33" s="16">
        <f>+('3 Planilla Preadjudicación OTIC'!AP33)</f>
        <v>0</v>
      </c>
      <c r="AO33" s="16">
        <f>+('3 Planilla Preadjudicación OTIC'!AQ33)</f>
        <v>0</v>
      </c>
      <c r="AP33" s="16">
        <f>+('3 Planilla Preadjudicación OTIC'!AR33)</f>
        <v>28551040</v>
      </c>
      <c r="AQ33" s="16">
        <f>+('3 Planilla Preadjudicación OTIC'!AS33)</f>
        <v>2240000</v>
      </c>
      <c r="AR33" s="16">
        <f>+('3 Planilla Preadjudicación OTIC'!AT33)</f>
        <v>0</v>
      </c>
      <c r="AS33" s="16">
        <f>+('3 Planilla Preadjudicación OTIC'!AU33)</f>
        <v>0</v>
      </c>
      <c r="AT33" s="16">
        <f>+('3 Planilla Preadjudicación OTIC'!AV33)</f>
        <v>0</v>
      </c>
      <c r="AU33" s="16">
        <f>+('3 Planilla Preadjudicación OTIC'!AW33)</f>
        <v>30791040</v>
      </c>
      <c r="AV33" s="158" t="str">
        <f>+('3 Planilla Preadjudicación OTIC'!AX33)</f>
        <v>NO</v>
      </c>
      <c r="AW33" s="8" t="str">
        <f>+('3 Planilla Preadjudicación OTIC'!AY33)</f>
        <v>NUMERAL 6.1.2. ÍTEM 1 - NO DESARROLLA METODOLOGÍA PARA EL MODULO 10 DEL CURSO
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33" s="6">
        <f>+('3 Planilla Preadjudicación OTIC'!AZ33)</f>
        <v>0</v>
      </c>
      <c r="AY33" s="6">
        <f>+('3 Planilla Preadjudicación OTIC'!BA33)</f>
        <v>0</v>
      </c>
      <c r="AZ33" s="6">
        <f>+('3 Planilla Preadjudicación OTIC'!BB33)</f>
        <v>0</v>
      </c>
      <c r="BA33" s="6">
        <f>+('3 Planilla Preadjudicación OTIC'!BC33)</f>
        <v>0</v>
      </c>
      <c r="BB33" s="6">
        <f>+('3 Planilla Preadjudicación OTIC'!BD33)</f>
        <v>0</v>
      </c>
      <c r="BC33" s="6">
        <f>+('3 Planilla Preadjudicación OTIC'!BE33)</f>
        <v>0</v>
      </c>
      <c r="BD33" s="6">
        <f>+('3 Planilla Preadjudicación OTIC'!BF33)</f>
        <v>0</v>
      </c>
      <c r="BE33" s="6">
        <f>+('3 Planilla Preadjudicación OTIC'!BG33)</f>
        <v>0</v>
      </c>
      <c r="BF33" s="6">
        <f>+('3 Planilla Preadjudicación OTIC'!BH33)</f>
        <v>0</v>
      </c>
      <c r="BG33" s="6">
        <f>+('3 Planilla Preadjudicación OTIC'!BI33)</f>
        <v>0</v>
      </c>
      <c r="BH33" s="6">
        <f>+('3 Planilla Preadjudicación OTIC'!BJ33)</f>
        <v>0</v>
      </c>
      <c r="BI33" s="6">
        <f>+('3 Planilla Preadjudicación OTIC'!BK33)</f>
        <v>0</v>
      </c>
      <c r="BJ33" s="6">
        <f>+('3 Planilla Preadjudicación OTIC'!BL33)</f>
        <v>0</v>
      </c>
      <c r="BK33" s="6">
        <f>+('3 Planilla Preadjudicación OTIC'!BM33)</f>
        <v>0</v>
      </c>
      <c r="BL33" s="6">
        <f>+('3 Planilla Preadjudicación OTIC'!BN33)</f>
        <v>0</v>
      </c>
      <c r="BM33" s="108">
        <f>ROUND(('3 Planilla Preadjudicación OTIC'!BO33),1)</f>
        <v>0</v>
      </c>
      <c r="BN33" s="8" t="str">
        <f>+('3 Planilla Preadjudicación OTIC'!BP33)</f>
        <v>NO</v>
      </c>
      <c r="BO33" s="8" t="str">
        <f>+('3 Planilla Preadjudicación OTIC'!BQ33)</f>
        <v>Juan Landaeta</v>
      </c>
      <c r="BP33" s="8" t="str">
        <f>+('3 Planilla Preadjudicación OTIC'!BR33)</f>
        <v>jlandaeta@capchile.cl</v>
      </c>
      <c r="BQ33" s="8">
        <f>+('3 Planilla Preadjudicación OTIC'!BS33)</f>
        <v>989200476</v>
      </c>
      <c r="BR33" s="8" t="str">
        <f>+('3 Planilla Preadjudicación OTIC'!BT33)</f>
        <v>Circunvalación 401, Fresia</v>
      </c>
      <c r="BS33" s="8">
        <f>+('3 Planilla Preadjudicación OTIC'!BU33)</f>
        <v>0</v>
      </c>
      <c r="BT33" s="8">
        <f>+('3 Planilla Preadjudicación OTIC'!BV33)</f>
        <v>0</v>
      </c>
      <c r="BU33" s="89">
        <f>IF(VLOOKUP(A33,'BD OFICIAL'!$A$1:$AL$2099,7,0)=D33,0,1)</f>
        <v>0</v>
      </c>
      <c r="BV33" s="89">
        <f>IF(VLOOKUP(A33,'BD OFICIAL'!$A$1:$AL$2099,11,0)=J33,0,1)</f>
        <v>0</v>
      </c>
      <c r="BW33" s="89">
        <f>IF(VLOOKUP(A33,'BD OFICIAL'!$A$1:$AL$2099,13,0)=L33,0,1)</f>
        <v>0</v>
      </c>
      <c r="BX33" s="6">
        <f>IF(VLOOKUP(A33,'BD OFICIAL'!$A$1:$AL$2099,16,0)=O33,0,1)</f>
        <v>0</v>
      </c>
      <c r="BY33" s="6">
        <f>IF(VLOOKUP(A33,'BD OFICIAL'!$A$1:$AL$2099,17,0)=P33,0,1)</f>
        <v>0</v>
      </c>
      <c r="BZ33" s="6">
        <f>IF(VLOOKUP(A33,'BD OFICIAL'!$A$1:$AL$2099,19,0)=R33,0,1)</f>
        <v>0</v>
      </c>
      <c r="CA33" s="6">
        <f>IF(VLOOKUP(A33,'BD OFICIAL'!$A$1:$AL$2099,21,0)=T33,0,1)</f>
        <v>0</v>
      </c>
      <c r="CB33" s="6">
        <f>IF(VLOOKUP(A33,'BD OFICIAL'!$A$1:$AL$2099,24,0)=AK33,0,1)</f>
        <v>0</v>
      </c>
      <c r="CC33" s="6">
        <f>IF(VLOOKUP(A33,'BD OFICIAL'!$A$1:$AL$2099,25,0)=X33,0,1)</f>
        <v>0</v>
      </c>
      <c r="CD33" s="6">
        <f>IF(VLOOKUP(A33,'BD OFICIAL'!$A$1:$AL$2099,26,0)=Y33,0,1)</f>
        <v>0</v>
      </c>
      <c r="CE33" s="6">
        <f>IF(VLOOKUP(A33,'BD OFICIAL'!$A$1:$AL$2099,27,0)=Z33,0,1)</f>
        <v>0</v>
      </c>
      <c r="CF33" s="6">
        <f>IF(VLOOKUP(A33,'BD OFICIAL'!$A$1:$AL$2099,28,0)=AA33,0,1)</f>
        <v>0</v>
      </c>
      <c r="CG33" s="6">
        <f>IF(VLOOKUP(A33,'BD OFICIAL'!$A$1:$AL$2099,33,0)=AF33,0,1)</f>
        <v>0</v>
      </c>
      <c r="CH33" s="6">
        <f>IF(VLOOKUP(A33,'BD OFICIAL'!$A$1:$AL$2099,35,0)=AH33,0,1)</f>
        <v>0</v>
      </c>
      <c r="CI33" s="89">
        <f>IF(VLOOKUP(A33,'BD OFICIAL'!$A$1:$AL$2099,34,0)=AL33,0,1)</f>
        <v>0</v>
      </c>
      <c r="CJ33" s="89">
        <f>VLOOKUP(A33,'BD OFICIAL'!$A$1:$AM$2099,36,0)*AM33-AP33</f>
        <v>0</v>
      </c>
      <c r="CK33" s="89" t="str">
        <f t="shared" si="0"/>
        <v>SSH</v>
      </c>
      <c r="CL33" s="89" t="str">
        <f t="shared" si="1"/>
        <v>NO</v>
      </c>
      <c r="CM33" s="89" t="str">
        <f t="shared" si="2"/>
        <v>NO</v>
      </c>
      <c r="CN33" s="35">
        <f t="shared" si="3"/>
        <v>0</v>
      </c>
      <c r="CO33" s="35">
        <f t="shared" si="19"/>
        <v>0</v>
      </c>
      <c r="CP33" s="35">
        <f t="shared" si="20"/>
        <v>0</v>
      </c>
      <c r="CQ33" s="35">
        <f>IF(VLOOKUP(A33,'BD OFICIAL'!$A:$AT,40,0)=AQ33,0,1)</f>
        <v>0</v>
      </c>
      <c r="CR33" s="35">
        <f>IF(VLOOKUP(A33,'BD OFICIAL'!$A:$AT,41,0)=AS33,0,1)</f>
        <v>0</v>
      </c>
      <c r="CS33" s="35">
        <f t="shared" si="21"/>
        <v>0</v>
      </c>
      <c r="CT33" s="35">
        <f t="shared" si="4"/>
        <v>0</v>
      </c>
      <c r="CU33" s="35">
        <f>IF(VLOOKUP(A33,'BD OFICIAL'!$A$1:$AL$1057,31,0)="SI",IF(AT33&gt;0,0,1),IF(AT33=0,0,1))</f>
        <v>0</v>
      </c>
      <c r="CV33" s="35">
        <f t="shared" si="5"/>
        <v>0</v>
      </c>
      <c r="CW33" s="35">
        <f t="shared" si="6"/>
        <v>0</v>
      </c>
      <c r="CX33" s="89" t="str">
        <f t="shared" si="7"/>
        <v>NO</v>
      </c>
      <c r="CY33" s="35">
        <f t="shared" si="8"/>
        <v>0</v>
      </c>
      <c r="CZ33" s="89" t="str">
        <f>IF(ISERROR(VLOOKUP(AI33,EXPERIENCIA!$A$1:$C$2100,1,0)),"NO","SI")</f>
        <v>SI</v>
      </c>
      <c r="DA33" s="89" t="str">
        <f>IF(CX33="no","NO APLICA",IF(AX33=0,"ERROR NOTA",IF(AND(AX33&gt;1,CZ33="NO"),"ERROR NOTA",IF(AND(CZ33="NO",AX33=1),0,IF(VLOOKUP(AI33,EXPERIENCIA!$A$1:$C$2100,3,0)=AX33,0,"ERROR NOTA")))))</f>
        <v>NO APLICA</v>
      </c>
      <c r="DB33" s="89" t="str">
        <f>IF(ISERROR(VLOOKUP(AI33,COMPORTAMIENTO!$A$1:$C$2100,1,0)),"NO","SI")</f>
        <v>SI</v>
      </c>
      <c r="DC33" s="89" t="str">
        <f>IF(CX33="NO","NO APLICA",IF(AY33=0,"ERROR NOTA",IF(AND(DB33="NO",AY33=7),0,IF(VLOOKUP(AI33,COMPORTAMIENTO!$A$2:$H$2100,8,0)=AY33,0,"ERROR NOTA"))))</f>
        <v>NO APLICA</v>
      </c>
      <c r="DD33" s="108" t="str">
        <f t="shared" si="9"/>
        <v>NO APLICA</v>
      </c>
      <c r="DE33" s="108" t="str">
        <f t="shared" si="10"/>
        <v>NO APLICA</v>
      </c>
      <c r="DF33" s="89" t="str">
        <f t="shared" si="22"/>
        <v>NO</v>
      </c>
      <c r="DG33" s="89">
        <f t="shared" si="11"/>
        <v>0</v>
      </c>
      <c r="DH33" s="89">
        <f t="shared" si="12"/>
        <v>0</v>
      </c>
      <c r="DI33" s="89" t="str">
        <f t="shared" si="23"/>
        <v>NO APLICA</v>
      </c>
      <c r="DJ33" s="16" t="str">
        <f t="shared" si="13"/>
        <v>NO APLICA</v>
      </c>
      <c r="DK33" s="11" t="str">
        <f t="shared" si="24"/>
        <v>NO APLICA</v>
      </c>
      <c r="DL33" s="16">
        <f t="shared" si="14"/>
        <v>6373</v>
      </c>
      <c r="DM33" s="16">
        <f>VLOOKUP(A33,'5 TD'!$A$3:$B$35,2,0)</f>
        <v>7434</v>
      </c>
      <c r="DN33" s="11" t="str">
        <f t="shared" si="25"/>
        <v>NO APLICA</v>
      </c>
      <c r="DO33" s="89" t="str">
        <f t="shared" si="26"/>
        <v>NO APLICA</v>
      </c>
      <c r="DP33" s="89" t="str">
        <f t="shared" si="27"/>
        <v>NO APLICA</v>
      </c>
      <c r="DQ33" s="11" t="str">
        <f t="shared" si="28"/>
        <v>NO APLICA</v>
      </c>
      <c r="DR33" s="89" t="str">
        <f t="shared" si="29"/>
        <v>NO APLICA</v>
      </c>
      <c r="DS33" s="6" t="str">
        <f>+('3 Planilla Preadjudicación OTIC'!BP34)</f>
        <v>NO</v>
      </c>
      <c r="DT33" s="6" t="str">
        <f>IF(DR33="APROBADO",VLOOKUP(A33,'5 TD'!$D$3:$E$270,2,0),"NO APLICA")</f>
        <v>NO APLICA</v>
      </c>
      <c r="DU33" s="6" t="str">
        <f t="shared" si="30"/>
        <v>NO APLICA</v>
      </c>
      <c r="DV33" s="6" t="str">
        <f>IF(DU33="SI",VLOOKUP(A33,'5 TD'!$G$3:$H$270,2,0),"NO APLICA ")</f>
        <v xml:space="preserve">NO APLICA </v>
      </c>
      <c r="DW33" s="6" t="str">
        <f t="shared" si="34"/>
        <v>NO</v>
      </c>
      <c r="DX33" s="6" t="str">
        <f>IF(DW33="SI",VLOOKUP(A33,'5 TD'!$J$4:$K$472,2,0),"NO APLICA")</f>
        <v>NO APLICA</v>
      </c>
      <c r="DY33" s="6" t="str">
        <f t="shared" si="16"/>
        <v>NO APLICA</v>
      </c>
      <c r="DZ33" s="11" t="str">
        <f>IF(DY33="SI",VLOOKUP(A33,'5 TD'!$M$4:$N$350,2,0),"NO APLICA")</f>
        <v>NO APLICA</v>
      </c>
      <c r="EA33" s="6" t="str">
        <f t="shared" si="17"/>
        <v>NO APLICA</v>
      </c>
      <c r="EB33" s="16" t="str">
        <f t="shared" si="18"/>
        <v/>
      </c>
      <c r="EC33" s="16" t="str">
        <f>IF(EA33="SI",VLOOKUP(A33,'5 TD'!$V$4:$W$479,2,0),"NO APLICA")</f>
        <v>NO APLICA</v>
      </c>
      <c r="ED33" s="6" t="str">
        <f t="shared" si="31"/>
        <v>NO</v>
      </c>
      <c r="EE33" s="83" t="str">
        <f>IF(ED33="SI",VLOOKUP(AI33,COMPORTAMIENTO!$A$1:$H$2100,7,0),"NO APLICA")</f>
        <v>NO APLICA</v>
      </c>
      <c r="EF33" s="16" t="str">
        <f>IF(ED33="SI",VLOOKUP(A33,'5 TD'!$P$2:$Q$479,2,0),"NO APLICA")</f>
        <v>NO APLICA</v>
      </c>
      <c r="EG33" s="6" t="str">
        <f t="shared" si="32"/>
        <v>NO</v>
      </c>
      <c r="EH33" s="6">
        <f>IF(CZ33="no",0,VLOOKUP(AI33,EXPERIENCIA!$A$1:$C$2100,2,0))</f>
        <v>85</v>
      </c>
      <c r="EI33" s="6">
        <f>IF(CZ33="si",VLOOKUP(A33,'5 TD'!$S$3:$T$2103,2,0),0)</f>
        <v>0</v>
      </c>
      <c r="EJ33" s="6" t="str">
        <f t="shared" si="33"/>
        <v>NO</v>
      </c>
      <c r="EK33" s="6">
        <f>+('3 Planilla Preadjudicación OTIC'!BW34)</f>
        <v>0</v>
      </c>
    </row>
    <row r="34" spans="1:146" s="7" customFormat="1" ht="12.75" x14ac:dyDescent="0.2">
      <c r="A34" s="6">
        <f>+('3 Planilla Preadjudicación OTIC'!A34)</f>
        <v>14279</v>
      </c>
      <c r="B34" s="6" t="str">
        <f>+('3 Planilla Preadjudicación OTIC'!B34)</f>
        <v>SOFOFA</v>
      </c>
      <c r="C34" s="8">
        <f>+('3 Planilla Preadjudicación OTIC'!E34)</f>
        <v>2025</v>
      </c>
      <c r="D34" s="8" t="str">
        <f>+('3 Planilla Preadjudicación OTIC'!F34)</f>
        <v>MANDATO</v>
      </c>
      <c r="E34" s="8" t="str">
        <f>+('3 Planilla Preadjudicación OTIC'!G34)</f>
        <v>65181652-1</v>
      </c>
      <c r="F34" s="8" t="str">
        <f>+('3 Planilla Preadjudicación OTIC'!H34)</f>
        <v>SOFOFA</v>
      </c>
      <c r="G34" s="8" t="str">
        <f>+('3 Planilla Preadjudicación OTIC'!I34)</f>
        <v>53333861-5</v>
      </c>
      <c r="H34" s="8" t="str">
        <f>+('3 Planilla Preadjudicación OTIC'!J34)</f>
        <v>FUNDACIÓN DE BENEFICENCIA PÚBLICA, CIENTÍFICA Y EDUCACIONAL TRES HOJAS</v>
      </c>
      <c r="I34" s="8" t="str">
        <f>+('3 Planilla Preadjudicación OTIC'!K34)</f>
        <v>INTEGRACIÓN DE COMPETENCIAS ESPECIALIZADAS DE PRODUCCIÓN LECHERA, EN LA FORMACIÓN DE TÉCNICOS AGROPECUARIOS.</v>
      </c>
      <c r="J34" s="8" t="str">
        <f>+('3 Planilla Preadjudicación OTIC'!L34)</f>
        <v>SIN PLAN FORMATIVO</v>
      </c>
      <c r="K34" s="8" t="str">
        <f>+('3 Planilla Preadjudicación OTIC'!M34)</f>
        <v>APRESTO LABORAL PARA EL TRABAJO</v>
      </c>
      <c r="L34" s="8" t="str">
        <f>+('3 Planilla Preadjudicación OTIC'!N34)</f>
        <v>PF0916</v>
      </c>
      <c r="M34" s="6">
        <f>+('3 Planilla Preadjudicación OTIC'!O34)</f>
        <v>10</v>
      </c>
      <c r="N34" s="8">
        <f>+('3 Planilla Preadjudicación OTIC'!P34)</f>
        <v>0</v>
      </c>
      <c r="O34" s="8" t="str">
        <f>+('3 Planilla Preadjudicación OTIC'!Q34)</f>
        <v>FRESIA</v>
      </c>
      <c r="P34" s="8" t="str">
        <f>+('3 Planilla Preadjudicación OTIC'!R34)</f>
        <v>ESTUDIANTES DE CUARTO AÑO DE ENSEÑANZA MEDIA O DE LICEOS TÉCNICOS PROFESIONALES.</v>
      </c>
      <c r="Q34" s="8" t="str">
        <f>+('3 Planilla Preadjudicación OTIC'!S34)</f>
        <v>PRESENCIAL</v>
      </c>
      <c r="R34" s="8" t="str">
        <f>+('3 Planilla Preadjudicación OTIC'!T34)</f>
        <v>DEPENDIENTE</v>
      </c>
      <c r="S34" s="8" t="str">
        <f>+('3 Planilla Preadjudicación OTIC'!U34)</f>
        <v>10. JUEVES - MAÑANA</v>
      </c>
      <c r="T34" s="6">
        <f>+('3 Planilla Preadjudicación OTIC'!V34)</f>
        <v>20</v>
      </c>
      <c r="U34" s="6">
        <f>+('3 Planilla Preadjudicación OTIC'!W34)</f>
        <v>0</v>
      </c>
      <c r="V34" s="6">
        <f>+('3 Planilla Preadjudicación OTIC'!X34)</f>
        <v>0</v>
      </c>
      <c r="W34" s="6">
        <f>+('3 Planilla Preadjudicación OTIC'!Y34)</f>
        <v>224</v>
      </c>
      <c r="X34" s="6">
        <f>+('3 Planilla Preadjudicación OTIC'!Z34)</f>
        <v>8</v>
      </c>
      <c r="Y34" s="6" t="str">
        <f>+('3 Planilla Preadjudicación OTIC'!AA34)</f>
        <v>SI</v>
      </c>
      <c r="Z34" s="6" t="str">
        <f>+('3 Planilla Preadjudicación OTIC'!AB34)</f>
        <v>NO</v>
      </c>
      <c r="AA34" s="6" t="str">
        <f>+('3 Planilla Preadjudicación OTIC'!AC34)</f>
        <v>NO</v>
      </c>
      <c r="AB34" s="8" t="str">
        <f>+('3 Planilla Preadjudicación OTIC'!AD34)</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34" s="8" t="str">
        <f>+('3 Planilla Preadjudicación OTIC'!AE34)</f>
        <v>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34" s="6" t="str">
        <f>+('3 Planilla Preadjudicación OTIC'!AF34)</f>
        <v>NO</v>
      </c>
      <c r="AE34" s="8">
        <f>+('3 Planilla Preadjudicación OTIC'!AG34)</f>
        <v>0</v>
      </c>
      <c r="AF34" s="6" t="str">
        <f>+('3 Planilla Preadjudicación OTIC'!AH34)</f>
        <v>CERRADA</v>
      </c>
      <c r="AG34" s="6">
        <f>+('3 Planilla Preadjudicación OTIC'!AI34)</f>
        <v>28</v>
      </c>
      <c r="AH34" s="6">
        <f>+('3 Planilla Preadjudicación OTIC'!AJ34)</f>
        <v>3</v>
      </c>
      <c r="AI34" s="140" t="str">
        <f>+('3 Planilla Preadjudicación OTIC'!AK34)</f>
        <v>77703557-6</v>
      </c>
      <c r="AJ34" s="8" t="str">
        <f>+('3 Planilla Preadjudicación OTIC'!AL34)</f>
        <v>NAEDU LTDA</v>
      </c>
      <c r="AK34" s="6">
        <f>+('3 Planilla Preadjudicación OTIC'!AM34)</f>
        <v>224</v>
      </c>
      <c r="AL34" s="6">
        <f>+('3 Planilla Preadjudicación OTIC'!AN34)</f>
        <v>28</v>
      </c>
      <c r="AM34" s="16">
        <f>+('3 Planilla Preadjudicación OTIC'!AO34)</f>
        <v>6373</v>
      </c>
      <c r="AN34" s="16">
        <f>+('3 Planilla Preadjudicación OTIC'!AP34)</f>
        <v>0</v>
      </c>
      <c r="AO34" s="16">
        <f>+('3 Planilla Preadjudicación OTIC'!AQ34)</f>
        <v>0</v>
      </c>
      <c r="AP34" s="16">
        <f>+('3 Planilla Preadjudicación OTIC'!AR34)</f>
        <v>28551040</v>
      </c>
      <c r="AQ34" s="16">
        <f>+('3 Planilla Preadjudicación OTIC'!AS34)</f>
        <v>2240000</v>
      </c>
      <c r="AR34" s="16">
        <f>+('3 Planilla Preadjudicación OTIC'!AT34)</f>
        <v>0</v>
      </c>
      <c r="AS34" s="16">
        <f>+('3 Planilla Preadjudicación OTIC'!AU34)</f>
        <v>0</v>
      </c>
      <c r="AT34" s="16">
        <f>+('3 Planilla Preadjudicación OTIC'!AV34)</f>
        <v>0</v>
      </c>
      <c r="AU34" s="16">
        <f>+('3 Planilla Preadjudicación OTIC'!AW34)</f>
        <v>30791040</v>
      </c>
      <c r="AV34" s="158" t="str">
        <f>+('3 Planilla Preadjudicación OTIC'!AX34)</f>
        <v>NO</v>
      </c>
      <c r="AW34" s="8" t="str">
        <f>+('3 Planilla Preadjudicación OTIC'!AY34)</f>
        <v>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34" s="6">
        <f>+('3 Planilla Preadjudicación OTIC'!AZ34)</f>
        <v>0</v>
      </c>
      <c r="AY34" s="6">
        <f>+('3 Planilla Preadjudicación OTIC'!BA34)</f>
        <v>0</v>
      </c>
      <c r="AZ34" s="6">
        <f>+('3 Planilla Preadjudicación OTIC'!BB34)</f>
        <v>0</v>
      </c>
      <c r="BA34" s="6">
        <f>+('3 Planilla Preadjudicación OTIC'!BC34)</f>
        <v>0</v>
      </c>
      <c r="BB34" s="6">
        <f>+('3 Planilla Preadjudicación OTIC'!BD34)</f>
        <v>0</v>
      </c>
      <c r="BC34" s="6">
        <f>+('3 Planilla Preadjudicación OTIC'!BE34)</f>
        <v>0</v>
      </c>
      <c r="BD34" s="6">
        <f>+('3 Planilla Preadjudicación OTIC'!BF34)</f>
        <v>0</v>
      </c>
      <c r="BE34" s="6">
        <f>+('3 Planilla Preadjudicación OTIC'!BG34)</f>
        <v>0</v>
      </c>
      <c r="BF34" s="6">
        <f>+('3 Planilla Preadjudicación OTIC'!BH34)</f>
        <v>0</v>
      </c>
      <c r="BG34" s="6">
        <f>+('3 Planilla Preadjudicación OTIC'!BI34)</f>
        <v>0</v>
      </c>
      <c r="BH34" s="6">
        <f>+('3 Planilla Preadjudicación OTIC'!BJ34)</f>
        <v>0</v>
      </c>
      <c r="BI34" s="6">
        <f>+('3 Planilla Preadjudicación OTIC'!BK34)</f>
        <v>0</v>
      </c>
      <c r="BJ34" s="6">
        <f>+('3 Planilla Preadjudicación OTIC'!BL34)</f>
        <v>0</v>
      </c>
      <c r="BK34" s="6">
        <f>+('3 Planilla Preadjudicación OTIC'!BM34)</f>
        <v>0</v>
      </c>
      <c r="BL34" s="6">
        <f>+('3 Planilla Preadjudicación OTIC'!BN34)</f>
        <v>0</v>
      </c>
      <c r="BM34" s="108">
        <f>ROUND(('3 Planilla Preadjudicación OTIC'!BO34),1)</f>
        <v>0</v>
      </c>
      <c r="BN34" s="8" t="str">
        <f>+('3 Planilla Preadjudicación OTIC'!BP34)</f>
        <v>NO</v>
      </c>
      <c r="BO34" s="8" t="str">
        <f>+('3 Planilla Preadjudicación OTIC'!BQ34)</f>
        <v>EDUARDO VASQUEZ</v>
      </c>
      <c r="BP34" s="8" t="str">
        <f>+('3 Planilla Preadjudicación OTIC'!BR34)</f>
        <v>naedultda@gmail.com</v>
      </c>
      <c r="BQ34" s="8">
        <f>+('3 Planilla Preadjudicación OTIC'!BS34)</f>
        <v>992269593</v>
      </c>
      <c r="BR34" s="8" t="str">
        <f>+('3 Planilla Preadjudicación OTIC'!BT34)</f>
        <v>San Francisco 126,, Fresia</v>
      </c>
      <c r="BS34" s="8">
        <f>+('3 Planilla Preadjudicación OTIC'!BU34)</f>
        <v>0</v>
      </c>
      <c r="BT34" s="8">
        <f>+('3 Planilla Preadjudicación OTIC'!BV34)</f>
        <v>0</v>
      </c>
      <c r="BU34" s="89">
        <f>IF(VLOOKUP(A34,'BD OFICIAL'!$A$1:$AL$2099,7,0)=D34,0,1)</f>
        <v>0</v>
      </c>
      <c r="BV34" s="89">
        <f>IF(VLOOKUP(A34,'BD OFICIAL'!$A$1:$AL$2099,11,0)=J34,0,1)</f>
        <v>0</v>
      </c>
      <c r="BW34" s="89">
        <f>IF(VLOOKUP(A34,'BD OFICIAL'!$A$1:$AL$2099,13,0)=L34,0,1)</f>
        <v>0</v>
      </c>
      <c r="BX34" s="6">
        <f>IF(VLOOKUP(A34,'BD OFICIAL'!$A$1:$AL$2099,16,0)=O34,0,1)</f>
        <v>0</v>
      </c>
      <c r="BY34" s="6">
        <f>IF(VLOOKUP(A34,'BD OFICIAL'!$A$1:$AL$2099,17,0)=P34,0,1)</f>
        <v>0</v>
      </c>
      <c r="BZ34" s="6">
        <f>IF(VLOOKUP(A34,'BD OFICIAL'!$A$1:$AL$2099,19,0)=R34,0,1)</f>
        <v>0</v>
      </c>
      <c r="CA34" s="6">
        <f>IF(VLOOKUP(A34,'BD OFICIAL'!$A$1:$AL$2099,21,0)=T34,0,1)</f>
        <v>0</v>
      </c>
      <c r="CB34" s="6">
        <f>IF(VLOOKUP(A34,'BD OFICIAL'!$A$1:$AL$2099,24,0)=AK34,0,1)</f>
        <v>0</v>
      </c>
      <c r="CC34" s="6">
        <f>IF(VLOOKUP(A34,'BD OFICIAL'!$A$1:$AL$2099,25,0)=X34,0,1)</f>
        <v>0</v>
      </c>
      <c r="CD34" s="6">
        <f>IF(VLOOKUP(A34,'BD OFICIAL'!$A$1:$AL$2099,26,0)=Y34,0,1)</f>
        <v>0</v>
      </c>
      <c r="CE34" s="6">
        <f>IF(VLOOKUP(A34,'BD OFICIAL'!$A$1:$AL$2099,27,0)=Z34,0,1)</f>
        <v>0</v>
      </c>
      <c r="CF34" s="6">
        <f>IF(VLOOKUP(A34,'BD OFICIAL'!$A$1:$AL$2099,28,0)=AA34,0,1)</f>
        <v>0</v>
      </c>
      <c r="CG34" s="6">
        <f>IF(VLOOKUP(A34,'BD OFICIAL'!$A$1:$AL$2099,33,0)=AF34,0,1)</f>
        <v>0</v>
      </c>
      <c r="CH34" s="6">
        <f>IF(VLOOKUP(A34,'BD OFICIAL'!$A$1:$AL$2099,35,0)=AH34,0,1)</f>
        <v>0</v>
      </c>
      <c r="CI34" s="89">
        <f>IF(VLOOKUP(A34,'BD OFICIAL'!$A$1:$AL$2099,34,0)=AL34,0,1)</f>
        <v>0</v>
      </c>
      <c r="CJ34" s="89">
        <f>VLOOKUP(A34,'BD OFICIAL'!$A$1:$AM$2099,36,0)*AM34-AP34</f>
        <v>0</v>
      </c>
      <c r="CK34" s="89" t="str">
        <f t="shared" si="0"/>
        <v>SSH</v>
      </c>
      <c r="CL34" s="89" t="str">
        <f t="shared" si="1"/>
        <v>NO</v>
      </c>
      <c r="CM34" s="89" t="str">
        <f t="shared" si="2"/>
        <v>NO</v>
      </c>
      <c r="CN34" s="35">
        <f t="shared" si="3"/>
        <v>0</v>
      </c>
      <c r="CO34" s="35">
        <f t="shared" si="19"/>
        <v>0</v>
      </c>
      <c r="CP34" s="35">
        <f t="shared" si="20"/>
        <v>0</v>
      </c>
      <c r="CQ34" s="35">
        <f>IF(VLOOKUP(A34,'BD OFICIAL'!$A:$AT,40,0)=AQ34,0,1)</f>
        <v>0</v>
      </c>
      <c r="CR34" s="35">
        <f>IF(VLOOKUP(A34,'BD OFICIAL'!$A:$AT,41,0)=AS34,0,1)</f>
        <v>0</v>
      </c>
      <c r="CS34" s="35">
        <f t="shared" si="21"/>
        <v>0</v>
      </c>
      <c r="CT34" s="35">
        <f t="shared" si="4"/>
        <v>0</v>
      </c>
      <c r="CU34" s="35">
        <f>IF(VLOOKUP(A34,'BD OFICIAL'!$A$1:$AL$1057,31,0)="SI",IF(AT34&gt;0,0,1),IF(AT34=0,0,1))</f>
        <v>0</v>
      </c>
      <c r="CV34" s="35">
        <f t="shared" si="5"/>
        <v>0</v>
      </c>
      <c r="CW34" s="35">
        <f t="shared" si="6"/>
        <v>0</v>
      </c>
      <c r="CX34" s="89" t="str">
        <f t="shared" si="7"/>
        <v>NO</v>
      </c>
      <c r="CY34" s="35">
        <f t="shared" si="8"/>
        <v>0</v>
      </c>
      <c r="CZ34" s="89" t="str">
        <f>IF(ISERROR(VLOOKUP(AI34,EXPERIENCIA!$A$1:$C$2100,1,0)),"NO","SI")</f>
        <v>NO</v>
      </c>
      <c r="DA34" s="89" t="str">
        <f>IF(CX34="no","NO APLICA",IF(AX34=0,"ERROR NOTA",IF(AND(AX34&gt;1,CZ34="NO"),"ERROR NOTA",IF(AND(CZ34="NO",AX34=1),0,IF(VLOOKUP(AI34,EXPERIENCIA!$A$1:$C$2100,3,0)=AX34,0,"ERROR NOTA")))))</f>
        <v>NO APLICA</v>
      </c>
      <c r="DB34" s="89" t="str">
        <f>IF(ISERROR(VLOOKUP(AI34,COMPORTAMIENTO!$A$1:$C$2100,1,0)),"NO","SI")</f>
        <v>NO</v>
      </c>
      <c r="DC34" s="89" t="str">
        <f>IF(CX34="NO","NO APLICA",IF(AY34=0,"ERROR NOTA",IF(AND(DB34="NO",AY34=7),0,IF(VLOOKUP(AI34,COMPORTAMIENTO!$A$2:$H$2100,8,0)=AY34,0,"ERROR NOTA"))))</f>
        <v>NO APLICA</v>
      </c>
      <c r="DD34" s="108" t="str">
        <f t="shared" si="9"/>
        <v>NO APLICA</v>
      </c>
      <c r="DE34" s="108" t="str">
        <f t="shared" si="10"/>
        <v>NO APLICA</v>
      </c>
      <c r="DF34" s="89" t="str">
        <f t="shared" si="22"/>
        <v>NO</v>
      </c>
      <c r="DG34" s="89">
        <f t="shared" si="11"/>
        <v>0</v>
      </c>
      <c r="DH34" s="89">
        <f t="shared" si="12"/>
        <v>0</v>
      </c>
      <c r="DI34" s="89" t="str">
        <f t="shared" si="23"/>
        <v>NO APLICA</v>
      </c>
      <c r="DJ34" s="16" t="str">
        <f t="shared" ref="DJ34:DJ51" si="35">IF(CX34="NO","NO APLICA",(BG34*0.3+BH34*0.3+BI34*0.2+BJ34*0.1+BK34*0.1))</f>
        <v>NO APLICA</v>
      </c>
      <c r="DK34" s="11" t="str">
        <f t="shared" si="24"/>
        <v>NO APLICA</v>
      </c>
      <c r="DL34" s="16">
        <f t="shared" ref="DL34:DL51" si="36">+(AM34)</f>
        <v>6373</v>
      </c>
      <c r="DM34" s="16">
        <f>VLOOKUP(A34,'5 TD'!$A$3:$B$35,2,0)</f>
        <v>7434</v>
      </c>
      <c r="DN34" s="11" t="str">
        <f t="shared" si="25"/>
        <v>NO APLICA</v>
      </c>
      <c r="DO34" s="89" t="str">
        <f t="shared" si="26"/>
        <v>NO APLICA</v>
      </c>
      <c r="DP34" s="89" t="str">
        <f t="shared" si="27"/>
        <v>NO APLICA</v>
      </c>
      <c r="DQ34" s="11" t="str">
        <f t="shared" si="28"/>
        <v>NO APLICA</v>
      </c>
      <c r="DR34" s="89" t="str">
        <f t="shared" si="29"/>
        <v>NO APLICA</v>
      </c>
      <c r="DS34" s="6" t="str">
        <f>+('3 Planilla Preadjudicación OTIC'!BP35)</f>
        <v>NO</v>
      </c>
      <c r="DT34" s="6" t="str">
        <f>IF(DR34="APROBADO",VLOOKUP(A34,'5 TD'!$D$3:$E$270,2,0),"NO APLICA")</f>
        <v>NO APLICA</v>
      </c>
      <c r="DU34" s="6" t="str">
        <f t="shared" si="30"/>
        <v>NO APLICA</v>
      </c>
      <c r="DV34" s="6" t="str">
        <f>IF(DU34="SI",VLOOKUP(A34,'5 TD'!$G$3:$H$270,2,0),"NO APLICA ")</f>
        <v xml:space="preserve">NO APLICA </v>
      </c>
      <c r="DW34" s="6" t="str">
        <f t="shared" si="34"/>
        <v>NO</v>
      </c>
      <c r="DX34" s="6" t="str">
        <f>IF(DW34="SI",VLOOKUP(A34,'5 TD'!$J$4:$K$472,2,0),"NO APLICA")</f>
        <v>NO APLICA</v>
      </c>
      <c r="DY34" s="6" t="str">
        <f t="shared" ref="DY34:DY51" si="37">IF(DX34="NO APLICA","NO APLICA",IF(DX34=AY34,"SI","NO"))</f>
        <v>NO APLICA</v>
      </c>
      <c r="DZ34" s="11" t="str">
        <f>IF(DY34="SI",VLOOKUP(A34,'5 TD'!$M$4:$N$350,2,0),"NO APLICA")</f>
        <v>NO APLICA</v>
      </c>
      <c r="EA34" s="6" t="str">
        <f t="shared" ref="EA34:EA51" si="38">IF(DZ34="NO APLICA","NO APLICA",IF(DZ34=AX34,"SI","NO"))</f>
        <v>NO APLICA</v>
      </c>
      <c r="EB34" s="16" t="str">
        <f t="shared" ref="EB34:EB51" si="39">IF(EA34="SI",AM34,"")</f>
        <v/>
      </c>
      <c r="EC34" s="16" t="str">
        <f>IF(EA34="SI",VLOOKUP(A34,'5 TD'!$V$4:$W$479,2,0),"NO APLICA")</f>
        <v>NO APLICA</v>
      </c>
      <c r="ED34" s="6" t="str">
        <f t="shared" si="31"/>
        <v>NO</v>
      </c>
      <c r="EE34" s="83" t="str">
        <f>IF(ED34="SI",VLOOKUP(AI34,COMPORTAMIENTO!$A$1:$H$2100,7,0),"NO APLICA")</f>
        <v>NO APLICA</v>
      </c>
      <c r="EF34" s="16" t="str">
        <f>IF(ED34="SI",VLOOKUP(A34,'5 TD'!$P$2:$Q$479,2,0),"NO APLICA")</f>
        <v>NO APLICA</v>
      </c>
      <c r="EG34" s="6" t="str">
        <f t="shared" si="32"/>
        <v>NO</v>
      </c>
      <c r="EH34" s="6">
        <f>IF(CZ34="no",0,VLOOKUP(AI34,EXPERIENCIA!$A$1:$C$2100,2,0))</f>
        <v>0</v>
      </c>
      <c r="EI34" s="6">
        <f>IF(CZ34="si",VLOOKUP(A34,'5 TD'!$S$3:$T$2103,2,0),0)</f>
        <v>0</v>
      </c>
      <c r="EJ34" s="6" t="str">
        <f t="shared" si="33"/>
        <v>SI</v>
      </c>
      <c r="EK34" s="6">
        <f>+('3 Planilla Preadjudicación OTIC'!BW35)</f>
        <v>0</v>
      </c>
    </row>
    <row r="35" spans="1:146" s="7" customFormat="1" ht="12.75" x14ac:dyDescent="0.2">
      <c r="A35" s="6">
        <f>+('3 Planilla Preadjudicación OTIC'!A35)</f>
        <v>14281</v>
      </c>
      <c r="B35" s="6" t="str">
        <f>+('3 Planilla Preadjudicación OTIC'!B35)</f>
        <v>SOFOFA</v>
      </c>
      <c r="C35" s="8">
        <f>+('3 Planilla Preadjudicación OTIC'!E35)</f>
        <v>2025</v>
      </c>
      <c r="D35" s="8" t="str">
        <f>+('3 Planilla Preadjudicación OTIC'!F35)</f>
        <v>MANDATO</v>
      </c>
      <c r="E35" s="8" t="str">
        <f>+('3 Planilla Preadjudicación OTIC'!G35)</f>
        <v>65181652-1</v>
      </c>
      <c r="F35" s="8" t="str">
        <f>+('3 Planilla Preadjudicación OTIC'!H35)</f>
        <v>SOFOFA</v>
      </c>
      <c r="G35" s="8" t="str">
        <f>+('3 Planilla Preadjudicación OTIC'!I35)</f>
        <v>53333861-5</v>
      </c>
      <c r="H35" s="8" t="str">
        <f>+('3 Planilla Preadjudicación OTIC'!J35)</f>
        <v>FUNDACIÓN DE BENEFICENCIA PÚBLICA, CIENTÍFICA Y EDUCACIONAL TRES HOJAS</v>
      </c>
      <c r="I35" s="8" t="str">
        <f>+('3 Planilla Preadjudicación OTIC'!K35)</f>
        <v>INTEGRACIÓN DE COMPETENCIAS ESPECIALIZADAS DE PRODUCCIÓN LECHERA, EN LA FORMACIÓN DE TÉCNICOS AGROPECUARIOS.</v>
      </c>
      <c r="J35" s="8" t="str">
        <f>+('3 Planilla Preadjudicación OTIC'!L35)</f>
        <v>SIN PLAN FORMATIVO</v>
      </c>
      <c r="K35" s="8" t="str">
        <f>+('3 Planilla Preadjudicación OTIC'!M35)</f>
        <v>APRESTO LABORAL PARA EL TRABAJO</v>
      </c>
      <c r="L35" s="8" t="str">
        <f>+('3 Planilla Preadjudicación OTIC'!N35)</f>
        <v>PF0916</v>
      </c>
      <c r="M35" s="6">
        <f>+('3 Planilla Preadjudicación OTIC'!O35)</f>
        <v>10</v>
      </c>
      <c r="N35" s="8">
        <f>+('3 Planilla Preadjudicación OTIC'!P35)</f>
        <v>0</v>
      </c>
      <c r="O35" s="8" t="str">
        <f>+('3 Planilla Preadjudicación OTIC'!Q35)</f>
        <v>OSORNO</v>
      </c>
      <c r="P35" s="8" t="str">
        <f>+('3 Planilla Preadjudicación OTIC'!R35)</f>
        <v>ESTUDIANTES DE CUARTO AÑO DE ENSEÑANZA MEDIA O DE LICEOS TÉCNICOS PROFESIONALES.</v>
      </c>
      <c r="Q35" s="8" t="str">
        <f>+('3 Planilla Preadjudicación OTIC'!S35)</f>
        <v>PRESENCIAL</v>
      </c>
      <c r="R35" s="8" t="str">
        <f>+('3 Planilla Preadjudicación OTIC'!T35)</f>
        <v>DEPENDIENTE</v>
      </c>
      <c r="S35" s="8" t="str">
        <f>+('3 Planilla Preadjudicación OTIC'!U35)</f>
        <v>07. MIÉRCOLES - MAÑANA</v>
      </c>
      <c r="T35" s="6">
        <f>+('3 Planilla Preadjudicación OTIC'!V35)</f>
        <v>20</v>
      </c>
      <c r="U35" s="6">
        <f>+('3 Planilla Preadjudicación OTIC'!W35)</f>
        <v>0</v>
      </c>
      <c r="V35" s="6">
        <f>+('3 Planilla Preadjudicación OTIC'!X35)</f>
        <v>0</v>
      </c>
      <c r="W35" s="6">
        <f>+('3 Planilla Preadjudicación OTIC'!Y35)</f>
        <v>224</v>
      </c>
      <c r="X35" s="6">
        <f>+('3 Planilla Preadjudicación OTIC'!Z35)</f>
        <v>8</v>
      </c>
      <c r="Y35" s="6" t="str">
        <f>+('3 Planilla Preadjudicación OTIC'!AA35)</f>
        <v>SI</v>
      </c>
      <c r="Z35" s="6" t="str">
        <f>+('3 Planilla Preadjudicación OTIC'!AB35)</f>
        <v>NO</v>
      </c>
      <c r="AA35" s="6" t="str">
        <f>+('3 Planilla Preadjudicación OTIC'!AC35)</f>
        <v>NO</v>
      </c>
      <c r="AB35" s="8" t="str">
        <f>+('3 Planilla Preadjudicación OTIC'!AD35)</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35" s="8" t="str">
        <f>+('3 Planilla Preadjudicación OTIC'!AE35)</f>
        <v>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35" s="6" t="str">
        <f>+('3 Planilla Preadjudicación OTIC'!AF35)</f>
        <v>NO</v>
      </c>
      <c r="AE35" s="8">
        <f>+('3 Planilla Preadjudicación OTIC'!AG35)</f>
        <v>0</v>
      </c>
      <c r="AF35" s="6" t="str">
        <f>+('3 Planilla Preadjudicación OTIC'!AH35)</f>
        <v>CERRADA</v>
      </c>
      <c r="AG35" s="6">
        <f>+('3 Planilla Preadjudicación OTIC'!AI35)</f>
        <v>28</v>
      </c>
      <c r="AH35" s="6">
        <f>+('3 Planilla Preadjudicación OTIC'!AJ35)</f>
        <v>3</v>
      </c>
      <c r="AI35" s="140" t="str">
        <f>+('3 Planilla Preadjudicación OTIC'!AK35)</f>
        <v>77703557-6</v>
      </c>
      <c r="AJ35" s="8" t="str">
        <f>+('3 Planilla Preadjudicación OTIC'!AL35)</f>
        <v>NAEDU LTDA</v>
      </c>
      <c r="AK35" s="6">
        <f>+('3 Planilla Preadjudicación OTIC'!AM35)</f>
        <v>224</v>
      </c>
      <c r="AL35" s="6">
        <f>+('3 Planilla Preadjudicación OTIC'!AN35)</f>
        <v>28</v>
      </c>
      <c r="AM35" s="16">
        <f>+('3 Planilla Preadjudicación OTIC'!AO35)</f>
        <v>6373</v>
      </c>
      <c r="AN35" s="16">
        <f>+('3 Planilla Preadjudicación OTIC'!AP35)</f>
        <v>0</v>
      </c>
      <c r="AO35" s="16">
        <f>+('3 Planilla Preadjudicación OTIC'!AQ35)</f>
        <v>0</v>
      </c>
      <c r="AP35" s="16">
        <f>+('3 Planilla Preadjudicación OTIC'!AR35)</f>
        <v>28551040</v>
      </c>
      <c r="AQ35" s="16">
        <f>+('3 Planilla Preadjudicación OTIC'!AS35)</f>
        <v>2240000</v>
      </c>
      <c r="AR35" s="16">
        <f>+('3 Planilla Preadjudicación OTIC'!AT35)</f>
        <v>0</v>
      </c>
      <c r="AS35" s="16">
        <f>+('3 Planilla Preadjudicación OTIC'!AU35)</f>
        <v>0</v>
      </c>
      <c r="AT35" s="16">
        <f>+('3 Planilla Preadjudicación OTIC'!AV35)</f>
        <v>0</v>
      </c>
      <c r="AU35" s="16">
        <f>+('3 Planilla Preadjudicación OTIC'!AW35)</f>
        <v>30791040</v>
      </c>
      <c r="AV35" s="158" t="str">
        <f>+('3 Planilla Preadjudicación OTIC'!AX35)</f>
        <v>NO</v>
      </c>
      <c r="AW35" s="8" t="str">
        <f>+('3 Planilla Preadjudicación OTIC'!AY35)</f>
        <v>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35" s="6">
        <f>+('3 Planilla Preadjudicación OTIC'!AZ35)</f>
        <v>0</v>
      </c>
      <c r="AY35" s="6">
        <f>+('3 Planilla Preadjudicación OTIC'!BA35)</f>
        <v>0</v>
      </c>
      <c r="AZ35" s="6">
        <f>+('3 Planilla Preadjudicación OTIC'!BB35)</f>
        <v>0</v>
      </c>
      <c r="BA35" s="6">
        <f>+('3 Planilla Preadjudicación OTIC'!BC35)</f>
        <v>0</v>
      </c>
      <c r="BB35" s="6">
        <f>+('3 Planilla Preadjudicación OTIC'!BD35)</f>
        <v>0</v>
      </c>
      <c r="BC35" s="6">
        <f>+('3 Planilla Preadjudicación OTIC'!BE35)</f>
        <v>0</v>
      </c>
      <c r="BD35" s="6">
        <f>+('3 Planilla Preadjudicación OTIC'!BF35)</f>
        <v>0</v>
      </c>
      <c r="BE35" s="6">
        <f>+('3 Planilla Preadjudicación OTIC'!BG35)</f>
        <v>0</v>
      </c>
      <c r="BF35" s="6">
        <f>+('3 Planilla Preadjudicación OTIC'!BH35)</f>
        <v>0</v>
      </c>
      <c r="BG35" s="6">
        <f>+('3 Planilla Preadjudicación OTIC'!BI35)</f>
        <v>0</v>
      </c>
      <c r="BH35" s="6">
        <f>+('3 Planilla Preadjudicación OTIC'!BJ35)</f>
        <v>0</v>
      </c>
      <c r="BI35" s="6">
        <f>+('3 Planilla Preadjudicación OTIC'!BK35)</f>
        <v>0</v>
      </c>
      <c r="BJ35" s="6">
        <f>+('3 Planilla Preadjudicación OTIC'!BL35)</f>
        <v>0</v>
      </c>
      <c r="BK35" s="6">
        <f>+('3 Planilla Preadjudicación OTIC'!BM35)</f>
        <v>0</v>
      </c>
      <c r="BL35" s="6">
        <f>+('3 Planilla Preadjudicación OTIC'!BN35)</f>
        <v>0</v>
      </c>
      <c r="BM35" s="108">
        <f>ROUND(('3 Planilla Preadjudicación OTIC'!BO35),1)</f>
        <v>0</v>
      </c>
      <c r="BN35" s="8" t="str">
        <f>+('3 Planilla Preadjudicación OTIC'!BP35)</f>
        <v>NO</v>
      </c>
      <c r="BO35" s="8" t="str">
        <f>+('3 Planilla Preadjudicación OTIC'!BQ35)</f>
        <v>EDUARDO VASQUEZ</v>
      </c>
      <c r="BP35" s="8" t="str">
        <f>+('3 Planilla Preadjudicación OTIC'!BR35)</f>
        <v>naedultda@gmail.com</v>
      </c>
      <c r="BQ35" s="8">
        <f>+('3 Planilla Preadjudicación OTIC'!BS35)</f>
        <v>992269593</v>
      </c>
      <c r="BR35" s="8" t="str">
        <f>+('3 Planilla Preadjudicación OTIC'!BT35)</f>
        <v>PARRAL 1398, Osorno</v>
      </c>
      <c r="BS35" s="8">
        <f>+('3 Planilla Preadjudicación OTIC'!BU35)</f>
        <v>0</v>
      </c>
      <c r="BT35" s="8">
        <f>+('3 Planilla Preadjudicación OTIC'!BV35)</f>
        <v>0</v>
      </c>
      <c r="BU35" s="89">
        <f>IF(VLOOKUP(A35,'BD OFICIAL'!$A$1:$AL$2099,7,0)=D35,0,1)</f>
        <v>0</v>
      </c>
      <c r="BV35" s="89">
        <f>IF(VLOOKUP(A35,'BD OFICIAL'!$A$1:$AL$2099,11,0)=J35,0,1)</f>
        <v>0</v>
      </c>
      <c r="BW35" s="89">
        <f>IF(VLOOKUP(A35,'BD OFICIAL'!$A$1:$AL$2099,13,0)=L35,0,1)</f>
        <v>0</v>
      </c>
      <c r="BX35" s="6">
        <f>IF(VLOOKUP(A35,'BD OFICIAL'!$A$1:$AL$2099,16,0)=O35,0,1)</f>
        <v>0</v>
      </c>
      <c r="BY35" s="6">
        <f>IF(VLOOKUP(A35,'BD OFICIAL'!$A$1:$AL$2099,17,0)=P35,0,1)</f>
        <v>0</v>
      </c>
      <c r="BZ35" s="6">
        <f>IF(VLOOKUP(A35,'BD OFICIAL'!$A$1:$AL$2099,19,0)=R35,0,1)</f>
        <v>0</v>
      </c>
      <c r="CA35" s="6">
        <f>IF(VLOOKUP(A35,'BD OFICIAL'!$A$1:$AL$2099,21,0)=T35,0,1)</f>
        <v>0</v>
      </c>
      <c r="CB35" s="6">
        <f>IF(VLOOKUP(A35,'BD OFICIAL'!$A$1:$AL$2099,24,0)=AK35,0,1)</f>
        <v>0</v>
      </c>
      <c r="CC35" s="6">
        <f>IF(VLOOKUP(A35,'BD OFICIAL'!$A$1:$AL$2099,25,0)=X35,0,1)</f>
        <v>0</v>
      </c>
      <c r="CD35" s="6">
        <f>IF(VLOOKUP(A35,'BD OFICIAL'!$A$1:$AL$2099,26,0)=Y35,0,1)</f>
        <v>0</v>
      </c>
      <c r="CE35" s="6">
        <f>IF(VLOOKUP(A35,'BD OFICIAL'!$A$1:$AL$2099,27,0)=Z35,0,1)</f>
        <v>0</v>
      </c>
      <c r="CF35" s="6">
        <f>IF(VLOOKUP(A35,'BD OFICIAL'!$A$1:$AL$2099,28,0)=AA35,0,1)</f>
        <v>0</v>
      </c>
      <c r="CG35" s="6">
        <f>IF(VLOOKUP(A35,'BD OFICIAL'!$A$1:$AL$2099,33,0)=AF35,0,1)</f>
        <v>0</v>
      </c>
      <c r="CH35" s="6">
        <f>IF(VLOOKUP(A35,'BD OFICIAL'!$A$1:$AL$2099,35,0)=AH35,0,1)</f>
        <v>0</v>
      </c>
      <c r="CI35" s="89">
        <f>IF(VLOOKUP(A35,'BD OFICIAL'!$A$1:$AL$2099,34,0)=AL35,0,1)</f>
        <v>0</v>
      </c>
      <c r="CJ35" s="89">
        <f>VLOOKUP(A35,'BD OFICIAL'!$A$1:$AM$2099,36,0)*AM35-AP35</f>
        <v>0</v>
      </c>
      <c r="CK35" s="89" t="str">
        <f t="shared" si="0"/>
        <v>SSH</v>
      </c>
      <c r="CL35" s="89" t="str">
        <f t="shared" si="1"/>
        <v>NO</v>
      </c>
      <c r="CM35" s="89" t="str">
        <f t="shared" si="2"/>
        <v>NO</v>
      </c>
      <c r="CN35" s="35">
        <f t="shared" si="3"/>
        <v>0</v>
      </c>
      <c r="CO35" s="35">
        <f t="shared" si="19"/>
        <v>0</v>
      </c>
      <c r="CP35" s="35">
        <f t="shared" si="20"/>
        <v>0</v>
      </c>
      <c r="CQ35" s="35">
        <f>IF(VLOOKUP(A35,'BD OFICIAL'!$A:$AT,40,0)=AQ35,0,1)</f>
        <v>0</v>
      </c>
      <c r="CR35" s="35">
        <f>IF(VLOOKUP(A35,'BD OFICIAL'!$A:$AT,41,0)=AS35,0,1)</f>
        <v>0</v>
      </c>
      <c r="CS35" s="35">
        <f t="shared" si="21"/>
        <v>0</v>
      </c>
      <c r="CT35" s="35">
        <f t="shared" si="4"/>
        <v>0</v>
      </c>
      <c r="CU35" s="35">
        <f>IF(VLOOKUP(A35,'BD OFICIAL'!$A$1:$AL$1057,31,0)="SI",IF(AT35&gt;0,0,1),IF(AT35=0,0,1))</f>
        <v>0</v>
      </c>
      <c r="CV35" s="35">
        <f t="shared" si="5"/>
        <v>0</v>
      </c>
      <c r="CW35" s="35">
        <f t="shared" si="6"/>
        <v>0</v>
      </c>
      <c r="CX35" s="89" t="str">
        <f t="shared" si="7"/>
        <v>NO</v>
      </c>
      <c r="CY35" s="35">
        <f t="shared" si="8"/>
        <v>0</v>
      </c>
      <c r="CZ35" s="89" t="str">
        <f>IF(ISERROR(VLOOKUP(AI35,EXPERIENCIA!$A$1:$C$2100,1,0)),"NO","SI")</f>
        <v>NO</v>
      </c>
      <c r="DA35" s="89" t="str">
        <f>IF(CX35="no","NO APLICA",IF(AX35=0,"ERROR NOTA",IF(AND(AX35&gt;1,CZ35="NO"),"ERROR NOTA",IF(AND(CZ35="NO",AX35=1),0,IF(VLOOKUP(AI35,EXPERIENCIA!$A$1:$C$2100,3,0)=AX35,0,"ERROR NOTA")))))</f>
        <v>NO APLICA</v>
      </c>
      <c r="DB35" s="89" t="str">
        <f>IF(ISERROR(VLOOKUP(AI35,COMPORTAMIENTO!$A$1:$C$2100,1,0)),"NO","SI")</f>
        <v>NO</v>
      </c>
      <c r="DC35" s="89" t="str">
        <f>IF(CX35="NO","NO APLICA",IF(AY35=0,"ERROR NOTA",IF(AND(DB35="NO",AY35=7),0,IF(VLOOKUP(AI35,COMPORTAMIENTO!$A$2:$H$2100,8,0)=AY35,0,"ERROR NOTA"))))</f>
        <v>NO APLICA</v>
      </c>
      <c r="DD35" s="108" t="str">
        <f t="shared" si="9"/>
        <v>NO APLICA</v>
      </c>
      <c r="DE35" s="108" t="str">
        <f t="shared" si="10"/>
        <v>NO APLICA</v>
      </c>
      <c r="DF35" s="89" t="str">
        <f t="shared" si="22"/>
        <v>NO</v>
      </c>
      <c r="DG35" s="89">
        <f t="shared" si="11"/>
        <v>0</v>
      </c>
      <c r="DH35" s="89">
        <f t="shared" si="12"/>
        <v>0</v>
      </c>
      <c r="DI35" s="89" t="str">
        <f t="shared" si="23"/>
        <v>NO APLICA</v>
      </c>
      <c r="DJ35" s="16" t="str">
        <f t="shared" si="35"/>
        <v>NO APLICA</v>
      </c>
      <c r="DK35" s="11" t="str">
        <f t="shared" si="24"/>
        <v>NO APLICA</v>
      </c>
      <c r="DL35" s="16">
        <f t="shared" si="36"/>
        <v>6373</v>
      </c>
      <c r="DM35" s="16">
        <f>VLOOKUP(A35,'5 TD'!$A$3:$B$35,2,0)</f>
        <v>7434</v>
      </c>
      <c r="DN35" s="11" t="str">
        <f t="shared" si="25"/>
        <v>NO APLICA</v>
      </c>
      <c r="DO35" s="89" t="str">
        <f t="shared" si="26"/>
        <v>NO APLICA</v>
      </c>
      <c r="DP35" s="89" t="str">
        <f t="shared" si="27"/>
        <v>NO APLICA</v>
      </c>
      <c r="DQ35" s="11" t="str">
        <f t="shared" si="28"/>
        <v>NO APLICA</v>
      </c>
      <c r="DR35" s="89" t="str">
        <f t="shared" si="29"/>
        <v>NO APLICA</v>
      </c>
      <c r="DS35" s="6" t="str">
        <f>+('3 Planilla Preadjudicación OTIC'!BP36)</f>
        <v>NO</v>
      </c>
      <c r="DT35" s="6" t="str">
        <f>IF(DR35="APROBADO",VLOOKUP(A35,'5 TD'!$D$3:$E$270,2,0),"NO APLICA")</f>
        <v>NO APLICA</v>
      </c>
      <c r="DU35" s="6" t="str">
        <f t="shared" si="30"/>
        <v>NO APLICA</v>
      </c>
      <c r="DV35" s="6" t="str">
        <f>IF(DU35="SI",VLOOKUP(A35,'5 TD'!$G$3:$H$270,2,0),"NO APLICA ")</f>
        <v xml:space="preserve">NO APLICA </v>
      </c>
      <c r="DW35" s="6" t="str">
        <f t="shared" si="34"/>
        <v>NO</v>
      </c>
      <c r="DX35" s="6" t="str">
        <f>IF(DW35="SI",VLOOKUP(A35,'5 TD'!$J$4:$K$472,2,0),"NO APLICA")</f>
        <v>NO APLICA</v>
      </c>
      <c r="DY35" s="6" t="str">
        <f t="shared" si="37"/>
        <v>NO APLICA</v>
      </c>
      <c r="DZ35" s="11" t="str">
        <f>IF(DY35="SI",VLOOKUP(A35,'5 TD'!$M$4:$N$350,2,0),"NO APLICA")</f>
        <v>NO APLICA</v>
      </c>
      <c r="EA35" s="6" t="str">
        <f t="shared" si="38"/>
        <v>NO APLICA</v>
      </c>
      <c r="EB35" s="16" t="str">
        <f t="shared" si="39"/>
        <v/>
      </c>
      <c r="EC35" s="16" t="str">
        <f>IF(EA35="SI",VLOOKUP(A35,'5 TD'!$V$4:$W$479,2,0),"NO APLICA")</f>
        <v>NO APLICA</v>
      </c>
      <c r="ED35" s="6" t="str">
        <f t="shared" si="31"/>
        <v>NO</v>
      </c>
      <c r="EE35" s="83" t="str">
        <f>IF(ED35="SI",VLOOKUP(AI35,COMPORTAMIENTO!$A$1:$H$2100,7,0),"NO APLICA")</f>
        <v>NO APLICA</v>
      </c>
      <c r="EF35" s="16" t="str">
        <f>IF(ED35="SI",VLOOKUP(A35,'5 TD'!$P$2:$Q$479,2,0),"NO APLICA")</f>
        <v>NO APLICA</v>
      </c>
      <c r="EG35" s="6" t="str">
        <f t="shared" si="32"/>
        <v>NO</v>
      </c>
      <c r="EH35" s="6">
        <f>IF(CZ35="no",0,VLOOKUP(AI35,EXPERIENCIA!$A$1:$C$2100,2,0))</f>
        <v>0</v>
      </c>
      <c r="EI35" s="6">
        <f>IF(CZ35="si",VLOOKUP(A35,'5 TD'!$S$3:$T$2103,2,0),0)</f>
        <v>0</v>
      </c>
      <c r="EJ35" s="6" t="str">
        <f t="shared" si="33"/>
        <v>SI</v>
      </c>
      <c r="EK35" s="6">
        <f>+('3 Planilla Preadjudicación OTIC'!BW36)</f>
        <v>0</v>
      </c>
    </row>
    <row r="36" spans="1:146" s="7" customFormat="1" ht="12.75" x14ac:dyDescent="0.2">
      <c r="A36" s="6">
        <f>+('3 Planilla Preadjudicación OTIC'!A36)</f>
        <v>14283</v>
      </c>
      <c r="B36" s="6" t="str">
        <f>+('3 Planilla Preadjudicación OTIC'!B36)</f>
        <v>SOFOFA</v>
      </c>
      <c r="C36" s="8">
        <f>+('3 Planilla Preadjudicación OTIC'!E36)</f>
        <v>2025</v>
      </c>
      <c r="D36" s="8" t="str">
        <f>+('3 Planilla Preadjudicación OTIC'!F36)</f>
        <v>MANDATO</v>
      </c>
      <c r="E36" s="8" t="str">
        <f>+('3 Planilla Preadjudicación OTIC'!G36)</f>
        <v>65181652-1</v>
      </c>
      <c r="F36" s="8" t="str">
        <f>+('3 Planilla Preadjudicación OTIC'!H36)</f>
        <v>SOFOFA</v>
      </c>
      <c r="G36" s="8" t="str">
        <f>+('3 Planilla Preadjudicación OTIC'!I36)</f>
        <v>53333861-5</v>
      </c>
      <c r="H36" s="8" t="str">
        <f>+('3 Planilla Preadjudicación OTIC'!J36)</f>
        <v>FUNDACIÓN DE BENEFICENCIA PÚBLICA, CIENTÍFICA Y EDUCACIONAL TRES HOJAS</v>
      </c>
      <c r="I36" s="8" t="str">
        <f>+('3 Planilla Preadjudicación OTIC'!K36)</f>
        <v>INTEGRACIÓN DE COMPETENCIAS ESPECIALIZADAS DE PRODUCCIÓN LECHERA, EN LA FORMACIÓN DE TÉCNICOS AGROPECUARIOS.</v>
      </c>
      <c r="J36" s="8" t="str">
        <f>+('3 Planilla Preadjudicación OTIC'!L36)</f>
        <v>SIN PLAN FORMATIVO</v>
      </c>
      <c r="K36" s="8" t="str">
        <f>+('3 Planilla Preadjudicación OTIC'!M36)</f>
        <v>APRESTO LABORAL PARA EL TRABAJO</v>
      </c>
      <c r="L36" s="8" t="str">
        <f>+('3 Planilla Preadjudicación OTIC'!N36)</f>
        <v>PF0916</v>
      </c>
      <c r="M36" s="6">
        <f>+('3 Planilla Preadjudicación OTIC'!O36)</f>
        <v>10</v>
      </c>
      <c r="N36" s="8">
        <f>+('3 Planilla Preadjudicación OTIC'!P36)</f>
        <v>0</v>
      </c>
      <c r="O36" s="8" t="str">
        <f>+('3 Planilla Preadjudicación OTIC'!Q36)</f>
        <v>SAN PABLO</v>
      </c>
      <c r="P36" s="8" t="str">
        <f>+('3 Planilla Preadjudicación OTIC'!R36)</f>
        <v>ESTUDIANTES DE CUARTO AÑO DE ENSEÑANZA MEDIA O DE LICEOS TÉCNICOS PROFESIONALES.</v>
      </c>
      <c r="Q36" s="8" t="str">
        <f>+('3 Planilla Preadjudicación OTIC'!S36)</f>
        <v>PRESENCIAL</v>
      </c>
      <c r="R36" s="8" t="str">
        <f>+('3 Planilla Preadjudicación OTIC'!T36)</f>
        <v>DEPENDIENTE</v>
      </c>
      <c r="S36" s="8" t="str">
        <f>+('3 Planilla Preadjudicación OTIC'!U36)</f>
        <v>07. MIÉRCOLES - MAÑANA</v>
      </c>
      <c r="T36" s="6">
        <f>+('3 Planilla Preadjudicación OTIC'!V36)</f>
        <v>20</v>
      </c>
      <c r="U36" s="6">
        <f>+('3 Planilla Preadjudicación OTIC'!W36)</f>
        <v>0</v>
      </c>
      <c r="V36" s="6">
        <f>+('3 Planilla Preadjudicación OTIC'!X36)</f>
        <v>0</v>
      </c>
      <c r="W36" s="6">
        <f>+('3 Planilla Preadjudicación OTIC'!Y36)</f>
        <v>224</v>
      </c>
      <c r="X36" s="6">
        <f>+('3 Planilla Preadjudicación OTIC'!Z36)</f>
        <v>8</v>
      </c>
      <c r="Y36" s="6" t="str">
        <f>+('3 Planilla Preadjudicación OTIC'!AA36)</f>
        <v>SI</v>
      </c>
      <c r="Z36" s="6" t="str">
        <f>+('3 Planilla Preadjudicación OTIC'!AB36)</f>
        <v>NO</v>
      </c>
      <c r="AA36" s="6" t="str">
        <f>+('3 Planilla Preadjudicación OTIC'!AC36)</f>
        <v>NO</v>
      </c>
      <c r="AB36" s="8" t="str">
        <f>+('3 Planilla Preadjudicación OTIC'!AD36)</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36" s="8" t="str">
        <f>+('3 Planilla Preadjudicación OTIC'!AE36)</f>
        <v>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36" s="6" t="str">
        <f>+('3 Planilla Preadjudicación OTIC'!AF36)</f>
        <v>NO</v>
      </c>
      <c r="AE36" s="8">
        <f>+('3 Planilla Preadjudicación OTIC'!AG36)</f>
        <v>0</v>
      </c>
      <c r="AF36" s="6" t="str">
        <f>+('3 Planilla Preadjudicación OTIC'!AH36)</f>
        <v>CERRADA</v>
      </c>
      <c r="AG36" s="6">
        <f>+('3 Planilla Preadjudicación OTIC'!AI36)</f>
        <v>28</v>
      </c>
      <c r="AH36" s="6">
        <f>+('3 Planilla Preadjudicación OTIC'!AJ36)</f>
        <v>3</v>
      </c>
      <c r="AI36" s="140" t="str">
        <f>+('3 Planilla Preadjudicación OTIC'!AK36)</f>
        <v>77703557-6</v>
      </c>
      <c r="AJ36" s="8" t="str">
        <f>+('3 Planilla Preadjudicación OTIC'!AL36)</f>
        <v>NAEDU LTDA</v>
      </c>
      <c r="AK36" s="6">
        <f>+('3 Planilla Preadjudicación OTIC'!AM36)</f>
        <v>224</v>
      </c>
      <c r="AL36" s="6">
        <f>+('3 Planilla Preadjudicación OTIC'!AN36)</f>
        <v>28</v>
      </c>
      <c r="AM36" s="16">
        <f>+('3 Planilla Preadjudicación OTIC'!AO36)</f>
        <v>6373</v>
      </c>
      <c r="AN36" s="16">
        <f>+('3 Planilla Preadjudicación OTIC'!AP36)</f>
        <v>0</v>
      </c>
      <c r="AO36" s="16">
        <f>+('3 Planilla Preadjudicación OTIC'!AQ36)</f>
        <v>0</v>
      </c>
      <c r="AP36" s="16">
        <f>+('3 Planilla Preadjudicación OTIC'!AR36)</f>
        <v>28551040</v>
      </c>
      <c r="AQ36" s="16">
        <f>+('3 Planilla Preadjudicación OTIC'!AS36)</f>
        <v>2240000</v>
      </c>
      <c r="AR36" s="16">
        <f>+('3 Planilla Preadjudicación OTIC'!AT36)</f>
        <v>0</v>
      </c>
      <c r="AS36" s="16">
        <f>+('3 Planilla Preadjudicación OTIC'!AU36)</f>
        <v>0</v>
      </c>
      <c r="AT36" s="16">
        <f>+('3 Planilla Preadjudicación OTIC'!AV36)</f>
        <v>0</v>
      </c>
      <c r="AU36" s="16">
        <f>+('3 Planilla Preadjudicación OTIC'!AW36)</f>
        <v>30791040</v>
      </c>
      <c r="AV36" s="158" t="str">
        <f>+('3 Planilla Preadjudicación OTIC'!AX36)</f>
        <v>NO</v>
      </c>
      <c r="AW36" s="8" t="str">
        <f>+('3 Planilla Preadjudicación OTIC'!AY36)</f>
        <v>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36" s="6">
        <f>+('3 Planilla Preadjudicación OTIC'!AZ36)</f>
        <v>0</v>
      </c>
      <c r="AY36" s="6">
        <f>+('3 Planilla Preadjudicación OTIC'!BA36)</f>
        <v>0</v>
      </c>
      <c r="AZ36" s="6">
        <f>+('3 Planilla Preadjudicación OTIC'!BB36)</f>
        <v>0</v>
      </c>
      <c r="BA36" s="6">
        <f>+('3 Planilla Preadjudicación OTIC'!BC36)</f>
        <v>0</v>
      </c>
      <c r="BB36" s="6">
        <f>+('3 Planilla Preadjudicación OTIC'!BD36)</f>
        <v>0</v>
      </c>
      <c r="BC36" s="6">
        <f>+('3 Planilla Preadjudicación OTIC'!BE36)</f>
        <v>0</v>
      </c>
      <c r="BD36" s="6">
        <f>+('3 Planilla Preadjudicación OTIC'!BF36)</f>
        <v>0</v>
      </c>
      <c r="BE36" s="6">
        <f>+('3 Planilla Preadjudicación OTIC'!BG36)</f>
        <v>0</v>
      </c>
      <c r="BF36" s="6">
        <f>+('3 Planilla Preadjudicación OTIC'!BH36)</f>
        <v>0</v>
      </c>
      <c r="BG36" s="6">
        <f>+('3 Planilla Preadjudicación OTIC'!BI36)</f>
        <v>0</v>
      </c>
      <c r="BH36" s="6">
        <f>+('3 Planilla Preadjudicación OTIC'!BJ36)</f>
        <v>0</v>
      </c>
      <c r="BI36" s="6">
        <f>+('3 Planilla Preadjudicación OTIC'!BK36)</f>
        <v>0</v>
      </c>
      <c r="BJ36" s="6">
        <f>+('3 Planilla Preadjudicación OTIC'!BL36)</f>
        <v>0</v>
      </c>
      <c r="BK36" s="6">
        <f>+('3 Planilla Preadjudicación OTIC'!BM36)</f>
        <v>0</v>
      </c>
      <c r="BL36" s="6">
        <f>+('3 Planilla Preadjudicación OTIC'!BN36)</f>
        <v>0</v>
      </c>
      <c r="BM36" s="108">
        <f>ROUND(('3 Planilla Preadjudicación OTIC'!BO36),1)</f>
        <v>0</v>
      </c>
      <c r="BN36" s="8" t="str">
        <f>+('3 Planilla Preadjudicación OTIC'!BP36)</f>
        <v>NO</v>
      </c>
      <c r="BO36" s="8" t="str">
        <f>+('3 Planilla Preadjudicación OTIC'!BQ36)</f>
        <v>EDUARDO VASQUEZ</v>
      </c>
      <c r="BP36" s="8" t="str">
        <f>+('3 Planilla Preadjudicación OTIC'!BR36)</f>
        <v>naedultda@gmail.com</v>
      </c>
      <c r="BQ36" s="8">
        <f>+('3 Planilla Preadjudicación OTIC'!BS36)</f>
        <v>992269593</v>
      </c>
      <c r="BR36" s="8" t="str">
        <f>+('3 Planilla Preadjudicación OTIC'!BT36)</f>
        <v>COLON, San Pablo</v>
      </c>
      <c r="BS36" s="8">
        <f>+('3 Planilla Preadjudicación OTIC'!BU36)</f>
        <v>0</v>
      </c>
      <c r="BT36" s="8">
        <f>+('3 Planilla Preadjudicación OTIC'!BV36)</f>
        <v>0</v>
      </c>
      <c r="BU36" s="89">
        <f>IF(VLOOKUP(A36,'BD OFICIAL'!$A$1:$AL$2099,7,0)=D36,0,1)</f>
        <v>0</v>
      </c>
      <c r="BV36" s="89">
        <f>IF(VLOOKUP(A36,'BD OFICIAL'!$A$1:$AL$2099,11,0)=J36,0,1)</f>
        <v>0</v>
      </c>
      <c r="BW36" s="89">
        <f>IF(VLOOKUP(A36,'BD OFICIAL'!$A$1:$AL$2099,13,0)=L36,0,1)</f>
        <v>0</v>
      </c>
      <c r="BX36" s="6">
        <f>IF(VLOOKUP(A36,'BD OFICIAL'!$A$1:$AL$2099,16,0)=O36,0,1)</f>
        <v>0</v>
      </c>
      <c r="BY36" s="6">
        <f>IF(VLOOKUP(A36,'BD OFICIAL'!$A$1:$AL$2099,17,0)=P36,0,1)</f>
        <v>0</v>
      </c>
      <c r="BZ36" s="6">
        <f>IF(VLOOKUP(A36,'BD OFICIAL'!$A$1:$AL$2099,19,0)=R36,0,1)</f>
        <v>0</v>
      </c>
      <c r="CA36" s="6">
        <f>IF(VLOOKUP(A36,'BD OFICIAL'!$A$1:$AL$2099,21,0)=T36,0,1)</f>
        <v>0</v>
      </c>
      <c r="CB36" s="6">
        <f>IF(VLOOKUP(A36,'BD OFICIAL'!$A$1:$AL$2099,24,0)=AK36,0,1)</f>
        <v>0</v>
      </c>
      <c r="CC36" s="6">
        <f>IF(VLOOKUP(A36,'BD OFICIAL'!$A$1:$AL$2099,25,0)=X36,0,1)</f>
        <v>0</v>
      </c>
      <c r="CD36" s="6">
        <f>IF(VLOOKUP(A36,'BD OFICIAL'!$A$1:$AL$2099,26,0)=Y36,0,1)</f>
        <v>0</v>
      </c>
      <c r="CE36" s="6">
        <f>IF(VLOOKUP(A36,'BD OFICIAL'!$A$1:$AL$2099,27,0)=Z36,0,1)</f>
        <v>0</v>
      </c>
      <c r="CF36" s="6">
        <f>IF(VLOOKUP(A36,'BD OFICIAL'!$A$1:$AL$2099,28,0)=AA36,0,1)</f>
        <v>0</v>
      </c>
      <c r="CG36" s="6">
        <f>IF(VLOOKUP(A36,'BD OFICIAL'!$A$1:$AL$2099,33,0)=AF36,0,1)</f>
        <v>0</v>
      </c>
      <c r="CH36" s="6">
        <f>IF(VLOOKUP(A36,'BD OFICIAL'!$A$1:$AL$2099,35,0)=AH36,0,1)</f>
        <v>0</v>
      </c>
      <c r="CI36" s="89">
        <f>IF(VLOOKUP(A36,'BD OFICIAL'!$A$1:$AL$2099,34,0)=AL36,0,1)</f>
        <v>0</v>
      </c>
      <c r="CJ36" s="89">
        <f>VLOOKUP(A36,'BD OFICIAL'!$A$1:$AM$2099,36,0)*AM36-AP36</f>
        <v>0</v>
      </c>
      <c r="CK36" s="89" t="str">
        <f t="shared" si="0"/>
        <v>SSH</v>
      </c>
      <c r="CL36" s="89" t="str">
        <f t="shared" si="1"/>
        <v>NO</v>
      </c>
      <c r="CM36" s="89" t="str">
        <f t="shared" si="2"/>
        <v>NO</v>
      </c>
      <c r="CN36" s="35">
        <f t="shared" si="3"/>
        <v>0</v>
      </c>
      <c r="CO36" s="35">
        <f t="shared" si="19"/>
        <v>0</v>
      </c>
      <c r="CP36" s="35">
        <f t="shared" si="20"/>
        <v>0</v>
      </c>
      <c r="CQ36" s="35">
        <f>IF(VLOOKUP(A36,'BD OFICIAL'!$A:$AT,40,0)=AQ36,0,1)</f>
        <v>0</v>
      </c>
      <c r="CR36" s="35">
        <f>IF(VLOOKUP(A36,'BD OFICIAL'!$A:$AT,41,0)=AS36,0,1)</f>
        <v>0</v>
      </c>
      <c r="CS36" s="35">
        <f t="shared" si="21"/>
        <v>0</v>
      </c>
      <c r="CT36" s="35">
        <f t="shared" si="4"/>
        <v>0</v>
      </c>
      <c r="CU36" s="35">
        <f>IF(VLOOKUP(A36,'BD OFICIAL'!$A$1:$AL$1057,31,0)="SI",IF(AT36&gt;0,0,1),IF(AT36=0,0,1))</f>
        <v>0</v>
      </c>
      <c r="CV36" s="35">
        <f t="shared" si="5"/>
        <v>0</v>
      </c>
      <c r="CW36" s="35">
        <f t="shared" si="6"/>
        <v>0</v>
      </c>
      <c r="CX36" s="89" t="str">
        <f t="shared" si="7"/>
        <v>NO</v>
      </c>
      <c r="CY36" s="35">
        <f t="shared" si="8"/>
        <v>0</v>
      </c>
      <c r="CZ36" s="89" t="str">
        <f>IF(ISERROR(VLOOKUP(AI36,EXPERIENCIA!$A$1:$C$2100,1,0)),"NO","SI")</f>
        <v>NO</v>
      </c>
      <c r="DA36" s="89" t="str">
        <f>IF(CX36="no","NO APLICA",IF(AX36=0,"ERROR NOTA",IF(AND(AX36&gt;1,CZ36="NO"),"ERROR NOTA",IF(AND(CZ36="NO",AX36=1),0,IF(VLOOKUP(AI36,EXPERIENCIA!$A$1:$C$2100,3,0)=AX36,0,"ERROR NOTA")))))</f>
        <v>NO APLICA</v>
      </c>
      <c r="DB36" s="89" t="str">
        <f>IF(ISERROR(VLOOKUP(AI36,COMPORTAMIENTO!$A$1:$C$2100,1,0)),"NO","SI")</f>
        <v>NO</v>
      </c>
      <c r="DC36" s="89" t="str">
        <f>IF(CX36="NO","NO APLICA",IF(AY36=0,"ERROR NOTA",IF(AND(DB36="NO",AY36=7),0,IF(VLOOKUP(AI36,COMPORTAMIENTO!$A$2:$H$2100,8,0)=AY36,0,"ERROR NOTA"))))</f>
        <v>NO APLICA</v>
      </c>
      <c r="DD36" s="108" t="str">
        <f t="shared" si="9"/>
        <v>NO APLICA</v>
      </c>
      <c r="DE36" s="108" t="str">
        <f t="shared" si="10"/>
        <v>NO APLICA</v>
      </c>
      <c r="DF36" s="89" t="str">
        <f t="shared" si="22"/>
        <v>NO</v>
      </c>
      <c r="DG36" s="89">
        <f t="shared" si="11"/>
        <v>0</v>
      </c>
      <c r="DH36" s="89">
        <f t="shared" si="12"/>
        <v>0</v>
      </c>
      <c r="DI36" s="89" t="str">
        <f t="shared" si="23"/>
        <v>NO APLICA</v>
      </c>
      <c r="DJ36" s="16" t="str">
        <f t="shared" si="35"/>
        <v>NO APLICA</v>
      </c>
      <c r="DK36" s="11" t="str">
        <f t="shared" si="24"/>
        <v>NO APLICA</v>
      </c>
      <c r="DL36" s="16">
        <f t="shared" si="36"/>
        <v>6373</v>
      </c>
      <c r="DM36" s="16">
        <f>VLOOKUP(A36,'5 TD'!$A$3:$B$35,2,0)</f>
        <v>7434</v>
      </c>
      <c r="DN36" s="11" t="str">
        <f t="shared" si="25"/>
        <v>NO APLICA</v>
      </c>
      <c r="DO36" s="89" t="str">
        <f t="shared" si="26"/>
        <v>NO APLICA</v>
      </c>
      <c r="DP36" s="89" t="str">
        <f t="shared" si="27"/>
        <v>NO APLICA</v>
      </c>
      <c r="DQ36" s="11" t="str">
        <f t="shared" si="28"/>
        <v>NO APLICA</v>
      </c>
      <c r="DR36" s="89" t="str">
        <f t="shared" si="29"/>
        <v>NO APLICA</v>
      </c>
      <c r="DS36" s="6" t="str">
        <f>+('3 Planilla Preadjudicación OTIC'!BP37)</f>
        <v>NO</v>
      </c>
      <c r="DT36" s="6" t="str">
        <f>IF(DR36="APROBADO",VLOOKUP(A36,'5 TD'!$D$3:$E$270,2,0),"NO APLICA")</f>
        <v>NO APLICA</v>
      </c>
      <c r="DU36" s="6" t="str">
        <f t="shared" si="30"/>
        <v>NO APLICA</v>
      </c>
      <c r="DV36" s="6" t="str">
        <f>IF(DU36="SI",VLOOKUP(A36,'5 TD'!$G$3:$H$270,2,0),"NO APLICA ")</f>
        <v xml:space="preserve">NO APLICA </v>
      </c>
      <c r="DW36" s="6" t="str">
        <f t="shared" si="34"/>
        <v>NO</v>
      </c>
      <c r="DX36" s="6" t="str">
        <f>IF(DW36="SI",VLOOKUP(A36,'5 TD'!$J$4:$K$472,2,0),"NO APLICA")</f>
        <v>NO APLICA</v>
      </c>
      <c r="DY36" s="6" t="str">
        <f t="shared" si="37"/>
        <v>NO APLICA</v>
      </c>
      <c r="DZ36" s="11" t="str">
        <f>IF(DY36="SI",VLOOKUP(A36,'5 TD'!$M$4:$N$350,2,0),"NO APLICA")</f>
        <v>NO APLICA</v>
      </c>
      <c r="EA36" s="6" t="str">
        <f t="shared" si="38"/>
        <v>NO APLICA</v>
      </c>
      <c r="EB36" s="16" t="str">
        <f t="shared" si="39"/>
        <v/>
      </c>
      <c r="EC36" s="16" t="str">
        <f>IF(EA36="SI",VLOOKUP(A36,'5 TD'!$V$4:$W$479,2,0),"NO APLICA")</f>
        <v>NO APLICA</v>
      </c>
      <c r="ED36" s="6" t="str">
        <f t="shared" si="31"/>
        <v>NO</v>
      </c>
      <c r="EE36" s="83" t="str">
        <f>IF(ED36="SI",VLOOKUP(AI36,COMPORTAMIENTO!$A$1:$H$2100,7,0),"NO APLICA")</f>
        <v>NO APLICA</v>
      </c>
      <c r="EF36" s="16" t="str">
        <f>IF(ED36="SI",VLOOKUP(A36,'5 TD'!$P$2:$Q$479,2,0),"NO APLICA")</f>
        <v>NO APLICA</v>
      </c>
      <c r="EG36" s="6" t="str">
        <f t="shared" si="32"/>
        <v>NO</v>
      </c>
      <c r="EH36" s="6">
        <f>IF(CZ36="no",0,VLOOKUP(AI36,EXPERIENCIA!$A$1:$C$2100,2,0))</f>
        <v>0</v>
      </c>
      <c r="EI36" s="6">
        <f>IF(CZ36="si",VLOOKUP(A36,'5 TD'!$S$3:$T$2103,2,0),0)</f>
        <v>0</v>
      </c>
      <c r="EJ36" s="6" t="str">
        <f t="shared" si="33"/>
        <v>SI</v>
      </c>
      <c r="EK36" s="6">
        <f>+('3 Planilla Preadjudicación OTIC'!BW37)</f>
        <v>0</v>
      </c>
    </row>
    <row r="37" spans="1:146" s="7" customFormat="1" ht="12.75" x14ac:dyDescent="0.2">
      <c r="A37" s="6">
        <f>+('3 Planilla Preadjudicación OTIC'!A37)</f>
        <v>14389</v>
      </c>
      <c r="B37" s="6" t="str">
        <f>+('3 Planilla Preadjudicación OTIC'!B37)</f>
        <v>SOFOFA</v>
      </c>
      <c r="C37" s="8">
        <f>+('3 Planilla Preadjudicación OTIC'!E37)</f>
        <v>2025</v>
      </c>
      <c r="D37" s="8" t="str">
        <f>+('3 Planilla Preadjudicación OTIC'!F37)</f>
        <v>MANDATO</v>
      </c>
      <c r="E37" s="8" t="str">
        <f>+('3 Planilla Preadjudicación OTIC'!G37)</f>
        <v>65181652-1</v>
      </c>
      <c r="F37" s="8" t="str">
        <f>+('3 Planilla Preadjudicación OTIC'!H37)</f>
        <v>SOFOFA</v>
      </c>
      <c r="G37" s="8" t="str">
        <f>+('3 Planilla Preadjudicación OTIC'!I37)</f>
        <v>65140022-8</v>
      </c>
      <c r="H37" s="8" t="str">
        <f>+('3 Planilla Preadjudicación OTIC'!J37)</f>
        <v>FUTURO DEL TRABAJO</v>
      </c>
      <c r="I37" s="8" t="str">
        <f>+('3 Planilla Preadjudicación OTIC'!K37)</f>
        <v>TÉCNICAS DE SOLDADURA POR OXIGÁS, ARCO VOLTAICO, TIG Y MIG</v>
      </c>
      <c r="J37" s="8" t="str">
        <f>+('3 Planilla Preadjudicación OTIC'!L37)</f>
        <v>PF0622</v>
      </c>
      <c r="K37" s="8" t="str">
        <f>+('3 Planilla Preadjudicación OTIC'!M37)</f>
        <v>TÉCNICAS PARA EL EMPRENDIMIENTO</v>
      </c>
      <c r="L37" s="8" t="str">
        <f>+('3 Planilla Preadjudicación OTIC'!N37)</f>
        <v>PF0921</v>
      </c>
      <c r="M37" s="6">
        <f>+('3 Planilla Preadjudicación OTIC'!O37)</f>
        <v>13</v>
      </c>
      <c r="N37" s="8">
        <f>+('3 Planilla Preadjudicación OTIC'!P37)</f>
        <v>0</v>
      </c>
      <c r="O37" s="8" t="str">
        <f>+('3 Planilla Preadjudicación OTIC'!Q37)</f>
        <v>RENCA</v>
      </c>
      <c r="P37" s="8" t="str">
        <f>+('3 Planilla Preadjudicación OTIC'!R37)</f>
        <v>ESTUDIANTES DE CUARTO AÑO DE ENSEÑANZA MEDIA O DE LICEOS TÉCNICOS PROFESIONALES.</v>
      </c>
      <c r="Q37" s="8" t="str">
        <f>+('3 Planilla Preadjudicación OTIC'!S37)</f>
        <v>PRESENCIAL</v>
      </c>
      <c r="R37" s="8" t="str">
        <f>+('3 Planilla Preadjudicación OTIC'!T37)</f>
        <v>INDEPENDIENTE</v>
      </c>
      <c r="S37" s="8" t="str">
        <f>+('3 Planilla Preadjudicación OTIC'!U37)</f>
        <v>03. LUNES - VESPERTINO / 06. MARTES - VESPERTINO / 09. MIÉRCOLES - VESPERTINO / 12. JUEVES - VESPERTINO / 15. VIERNES - VESPERTINO</v>
      </c>
      <c r="T37" s="6">
        <f>+('3 Planilla Preadjudicación OTIC'!V37)</f>
        <v>14</v>
      </c>
      <c r="U37" s="6">
        <f>+('3 Planilla Preadjudicación OTIC'!W37)</f>
        <v>260</v>
      </c>
      <c r="V37" s="6">
        <f>+('3 Planilla Preadjudicación OTIC'!X37)</f>
        <v>12</v>
      </c>
      <c r="W37" s="6">
        <f>+('3 Planilla Preadjudicación OTIC'!Y37)</f>
        <v>272</v>
      </c>
      <c r="X37" s="6">
        <f>+('3 Planilla Preadjudicación OTIC'!Z37)</f>
        <v>4</v>
      </c>
      <c r="Y37" s="6" t="str">
        <f>+('3 Planilla Preadjudicación OTIC'!AA37)</f>
        <v>SI</v>
      </c>
      <c r="Z37" s="6" t="str">
        <f>+('3 Planilla Preadjudicación OTIC'!AB37)</f>
        <v>NO</v>
      </c>
      <c r="AA37" s="6" t="str">
        <f>+('3 Planilla Preadjudicación OTIC'!AC37)</f>
        <v>SI</v>
      </c>
      <c r="AB37" s="8">
        <f>+('3 Planilla Preadjudicación OTIC'!AD37)</f>
        <v>0</v>
      </c>
      <c r="AC37" s="8" t="str">
        <f>+('3 Planilla Preadjudicación OTIC'!AE37)</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37" s="6" t="str">
        <f>+('3 Planilla Preadjudicación OTIC'!AF37)</f>
        <v>SI</v>
      </c>
      <c r="AE37" s="8" t="str">
        <f>+('3 Planilla Preadjudicación OTIC'!AG37)</f>
        <v>CERTIFICACIÓN COMO SOLDADOR.</v>
      </c>
      <c r="AF37" s="6" t="str">
        <f>+('3 Planilla Preadjudicación OTIC'!AH37)</f>
        <v>CERRADA</v>
      </c>
      <c r="AG37" s="6">
        <f>+('3 Planilla Preadjudicación OTIC'!AI37)</f>
        <v>68</v>
      </c>
      <c r="AH37" s="6">
        <f>+('3 Planilla Preadjudicación OTIC'!AJ37)</f>
        <v>2</v>
      </c>
      <c r="AI37" s="140" t="str">
        <f>+('3 Planilla Preadjudicación OTIC'!AK37)</f>
        <v>77311060-3</v>
      </c>
      <c r="AJ37" s="8" t="str">
        <f>+('3 Planilla Preadjudicación OTIC'!AL37)</f>
        <v>SOCIEDAD OTC CAPACITACIÓN LTDA</v>
      </c>
      <c r="AK37" s="6">
        <f>+('3 Planilla Preadjudicación OTIC'!AM37)</f>
        <v>272</v>
      </c>
      <c r="AL37" s="6">
        <f>+('3 Planilla Preadjudicación OTIC'!AN37)</f>
        <v>68</v>
      </c>
      <c r="AM37" s="16">
        <f>+('3 Planilla Preadjudicación OTIC'!AO37)</f>
        <v>5000</v>
      </c>
      <c r="AN37" s="16">
        <f>+('3 Planilla Preadjudicación OTIC'!AP37)</f>
        <v>250000</v>
      </c>
      <c r="AO37" s="16">
        <f>+('3 Planilla Preadjudicación OTIC'!AQ37)</f>
        <v>250000</v>
      </c>
      <c r="AP37" s="16">
        <f>+('3 Planilla Preadjudicación OTIC'!AR37)</f>
        <v>19040000</v>
      </c>
      <c r="AQ37" s="16">
        <f>+('3 Planilla Preadjudicación OTIC'!AS37)</f>
        <v>3808000</v>
      </c>
      <c r="AR37" s="16">
        <f>+('3 Planilla Preadjudicación OTIC'!AT37)</f>
        <v>3500000</v>
      </c>
      <c r="AS37" s="16">
        <f>+('3 Planilla Preadjudicación OTIC'!AU37)</f>
        <v>0</v>
      </c>
      <c r="AT37" s="16">
        <f>+('3 Planilla Preadjudicación OTIC'!AV37)</f>
        <v>3500000</v>
      </c>
      <c r="AU37" s="16">
        <f>+('3 Planilla Preadjudicación OTIC'!AW37)</f>
        <v>29848000</v>
      </c>
      <c r="AV37" s="158" t="str">
        <f>+('3 Planilla Preadjudicación OTIC'!AX37)</f>
        <v>NO</v>
      </c>
      <c r="AW37" s="8" t="str">
        <f>+('3 Planilla Preadjudicación OTIC'!AY37)</f>
        <v>NUMERAL 6.1.2. ÍTEM 5 - EL VALOR HORA ALUMNO CAPACITACIÓN NO SE ENCUENTRA EN EL RANGO DEL TRAMO DEFINIDO PAR EL CURSO, CONFORME AL ANEXO N° 8 Y AL PLAN DE CAPACITACIÓN</v>
      </c>
      <c r="AX37" s="6">
        <f>+('3 Planilla Preadjudicación OTIC'!AZ37)</f>
        <v>0</v>
      </c>
      <c r="AY37" s="6">
        <f>+('3 Planilla Preadjudicación OTIC'!BA37)</f>
        <v>0</v>
      </c>
      <c r="AZ37" s="6">
        <f>+('3 Planilla Preadjudicación OTIC'!BB37)</f>
        <v>0</v>
      </c>
      <c r="BA37" s="6">
        <f>+('3 Planilla Preadjudicación OTIC'!BC37)</f>
        <v>0</v>
      </c>
      <c r="BB37" s="6">
        <f>+('3 Planilla Preadjudicación OTIC'!BD37)</f>
        <v>0</v>
      </c>
      <c r="BC37" s="6">
        <f>+('3 Planilla Preadjudicación OTIC'!BE37)</f>
        <v>0</v>
      </c>
      <c r="BD37" s="6">
        <f>+('3 Planilla Preadjudicación OTIC'!BF37)</f>
        <v>0</v>
      </c>
      <c r="BE37" s="6">
        <f>+('3 Planilla Preadjudicación OTIC'!BG37)</f>
        <v>0</v>
      </c>
      <c r="BF37" s="6">
        <f>+('3 Planilla Preadjudicación OTIC'!BH37)</f>
        <v>0</v>
      </c>
      <c r="BG37" s="6">
        <f>+('3 Planilla Preadjudicación OTIC'!BI37)</f>
        <v>0</v>
      </c>
      <c r="BH37" s="6">
        <f>+('3 Planilla Preadjudicación OTIC'!BJ37)</f>
        <v>0</v>
      </c>
      <c r="BI37" s="6">
        <f>+('3 Planilla Preadjudicación OTIC'!BK37)</f>
        <v>0</v>
      </c>
      <c r="BJ37" s="6">
        <f>+('3 Planilla Preadjudicación OTIC'!BL37)</f>
        <v>0</v>
      </c>
      <c r="BK37" s="6">
        <f>+('3 Planilla Preadjudicación OTIC'!BM37)</f>
        <v>0</v>
      </c>
      <c r="BL37" s="6">
        <f>+('3 Planilla Preadjudicación OTIC'!BN37)</f>
        <v>0</v>
      </c>
      <c r="BM37" s="108">
        <f>ROUND(('3 Planilla Preadjudicación OTIC'!BO37),1)</f>
        <v>0</v>
      </c>
      <c r="BN37" s="8" t="str">
        <f>+('3 Planilla Preadjudicación OTIC'!BP37)</f>
        <v>NO</v>
      </c>
      <c r="BO37" s="8" t="str">
        <f>+('3 Planilla Preadjudicación OTIC'!BQ37)</f>
        <v>Jorge Aranguiz</v>
      </c>
      <c r="BP37" s="8" t="str">
        <f>+('3 Planilla Preadjudicación OTIC'!BR37)</f>
        <v>jaranguiz@otc.cl</v>
      </c>
      <c r="BQ37" s="8">
        <f>+('3 Planilla Preadjudicación OTIC'!BS37)</f>
        <v>988394610</v>
      </c>
      <c r="BR37" s="8" t="str">
        <f>+('3 Planilla Preadjudicación OTIC'!BT37)</f>
        <v>PASAJE LANCO 4862, Renca</v>
      </c>
      <c r="BS37" s="8">
        <f>+('3 Planilla Preadjudicación OTIC'!BU37)</f>
        <v>0</v>
      </c>
      <c r="BT37" s="8">
        <f>+('3 Planilla Preadjudicación OTIC'!BV37)</f>
        <v>0</v>
      </c>
      <c r="BU37" s="89">
        <f>IF(VLOOKUP(A37,'BD OFICIAL'!$A$1:$AL$2099,7,0)=D37,0,1)</f>
        <v>0</v>
      </c>
      <c r="BV37" s="89">
        <f>IF(VLOOKUP(A37,'BD OFICIAL'!$A$1:$AL$2099,11,0)=J37,0,1)</f>
        <v>0</v>
      </c>
      <c r="BW37" s="89">
        <f>IF(VLOOKUP(A37,'BD OFICIAL'!$A$1:$AL$2099,13,0)=L37,0,1)</f>
        <v>0</v>
      </c>
      <c r="BX37" s="6">
        <f>IF(VLOOKUP(A37,'BD OFICIAL'!$A$1:$AL$2099,16,0)=O37,0,1)</f>
        <v>0</v>
      </c>
      <c r="BY37" s="6">
        <f>IF(VLOOKUP(A37,'BD OFICIAL'!$A$1:$AL$2099,17,0)=P37,0,1)</f>
        <v>0</v>
      </c>
      <c r="BZ37" s="6">
        <f>IF(VLOOKUP(A37,'BD OFICIAL'!$A$1:$AL$2099,19,0)=R37,0,1)</f>
        <v>0</v>
      </c>
      <c r="CA37" s="6">
        <f>IF(VLOOKUP(A37,'BD OFICIAL'!$A$1:$AL$2099,21,0)=T37,0,1)</f>
        <v>0</v>
      </c>
      <c r="CB37" s="6">
        <f>IF(VLOOKUP(A37,'BD OFICIAL'!$A$1:$AL$2099,24,0)=AK37,0,1)</f>
        <v>0</v>
      </c>
      <c r="CC37" s="6">
        <f>IF(VLOOKUP(A37,'BD OFICIAL'!$A$1:$AL$2099,25,0)=X37,0,1)</f>
        <v>0</v>
      </c>
      <c r="CD37" s="6">
        <f>IF(VLOOKUP(A37,'BD OFICIAL'!$A$1:$AL$2099,26,0)=Y37,0,1)</f>
        <v>0</v>
      </c>
      <c r="CE37" s="6">
        <f>IF(VLOOKUP(A37,'BD OFICIAL'!$A$1:$AL$2099,27,0)=Z37,0,1)</f>
        <v>0</v>
      </c>
      <c r="CF37" s="6">
        <f>IF(VLOOKUP(A37,'BD OFICIAL'!$A$1:$AL$2099,28,0)=AA37,0,1)</f>
        <v>0</v>
      </c>
      <c r="CG37" s="6">
        <f>IF(VLOOKUP(A37,'BD OFICIAL'!$A$1:$AL$2099,33,0)=AF37,0,1)</f>
        <v>0</v>
      </c>
      <c r="CH37" s="6">
        <f>IF(VLOOKUP(A37,'BD OFICIAL'!$A$1:$AL$2099,35,0)=AH37,0,1)</f>
        <v>0</v>
      </c>
      <c r="CI37" s="89">
        <f>IF(VLOOKUP(A37,'BD OFICIAL'!$A$1:$AL$2099,34,0)=AL37,0,1)</f>
        <v>0</v>
      </c>
      <c r="CJ37" s="89">
        <f>VLOOKUP(A37,'BD OFICIAL'!$A$1:$AM$2099,36,0)*AM37-AP37</f>
        <v>0</v>
      </c>
      <c r="CK37" s="89" t="str">
        <f t="shared" si="0"/>
        <v>SHMAN</v>
      </c>
      <c r="CL37" s="89" t="str">
        <f t="shared" si="1"/>
        <v>SI</v>
      </c>
      <c r="CM37" s="89" t="str">
        <f t="shared" si="2"/>
        <v>NO</v>
      </c>
      <c r="CN37" s="35">
        <f t="shared" si="3"/>
        <v>0</v>
      </c>
      <c r="CO37" s="35">
        <f t="shared" si="19"/>
        <v>1</v>
      </c>
      <c r="CP37" s="35">
        <f t="shared" si="20"/>
        <v>0</v>
      </c>
      <c r="CQ37" s="35">
        <f>IF(VLOOKUP(A37,'BD OFICIAL'!$A:$AT,40,0)=AQ37,0,1)</f>
        <v>0</v>
      </c>
      <c r="CR37" s="35">
        <f>IF(VLOOKUP(A37,'BD OFICIAL'!$A:$AT,41,0)=AS37,0,1)</f>
        <v>0</v>
      </c>
      <c r="CS37" s="35">
        <f t="shared" si="21"/>
        <v>0</v>
      </c>
      <c r="CT37" s="35">
        <f t="shared" si="4"/>
        <v>0</v>
      </c>
      <c r="CU37" s="35">
        <f>IF(VLOOKUP(A37,'BD OFICIAL'!$A$1:$AL$1057,31,0)="SI",IF(AT37&gt;0,0,1),IF(AT37=0,0,1))</f>
        <v>0</v>
      </c>
      <c r="CV37" s="35">
        <f t="shared" si="5"/>
        <v>0</v>
      </c>
      <c r="CW37" s="35">
        <f t="shared" si="6"/>
        <v>0</v>
      </c>
      <c r="CX37" s="89" t="str">
        <f t="shared" si="7"/>
        <v>NO</v>
      </c>
      <c r="CY37" s="35">
        <f t="shared" si="8"/>
        <v>0</v>
      </c>
      <c r="CZ37" s="89" t="str">
        <f>IF(ISERROR(VLOOKUP(AI37,EXPERIENCIA!$A$1:$C$2100,1,0)),"NO","SI")</f>
        <v>SI</v>
      </c>
      <c r="DA37" s="89" t="str">
        <f>IF(CX37="no","NO APLICA",IF(AX37=0,"ERROR NOTA",IF(AND(AX37&gt;1,CZ37="NO"),"ERROR NOTA",IF(AND(CZ37="NO",AX37=1),0,IF(VLOOKUP(AI37,EXPERIENCIA!$A$1:$C$2100,3,0)=AX37,0,"ERROR NOTA")))))</f>
        <v>NO APLICA</v>
      </c>
      <c r="DB37" s="89" t="str">
        <f>IF(ISERROR(VLOOKUP(AI37,COMPORTAMIENTO!$A$1:$C$2100,1,0)),"NO","SI")</f>
        <v>SI</v>
      </c>
      <c r="DC37" s="89" t="str">
        <f>IF(CX37="NO","NO APLICA",IF(AY37=0,"ERROR NOTA",IF(AND(DB37="NO",AY37=7),0,IF(VLOOKUP(AI37,COMPORTAMIENTO!$A$2:$H$2100,8,0)=AY37,0,"ERROR NOTA"))))</f>
        <v>NO APLICA</v>
      </c>
      <c r="DD37" s="108" t="str">
        <f t="shared" si="9"/>
        <v>NO APLICA</v>
      </c>
      <c r="DE37" s="108" t="str">
        <f t="shared" si="10"/>
        <v>NO APLICA</v>
      </c>
      <c r="DF37" s="89" t="str">
        <f t="shared" si="22"/>
        <v>SI</v>
      </c>
      <c r="DG37" s="89">
        <f t="shared" si="11"/>
        <v>0</v>
      </c>
      <c r="DH37" s="89">
        <f t="shared" si="12"/>
        <v>0</v>
      </c>
      <c r="DI37" s="89" t="str">
        <f t="shared" si="23"/>
        <v>NO APLICA</v>
      </c>
      <c r="DJ37" s="16" t="str">
        <f t="shared" si="35"/>
        <v>NO APLICA</v>
      </c>
      <c r="DK37" s="11" t="str">
        <f t="shared" si="24"/>
        <v>NO APLICA</v>
      </c>
      <c r="DL37" s="16">
        <f t="shared" si="36"/>
        <v>5000</v>
      </c>
      <c r="DM37" s="16">
        <f>VLOOKUP(A37,'5 TD'!$A$3:$B$35,2,0)</f>
        <v>5000</v>
      </c>
      <c r="DN37" s="11" t="str">
        <f t="shared" si="25"/>
        <v>NO APLICA</v>
      </c>
      <c r="DO37" s="89" t="str">
        <f t="shared" si="26"/>
        <v>NO APLICA</v>
      </c>
      <c r="DP37" s="89" t="str">
        <f t="shared" si="27"/>
        <v>NO APLICA</v>
      </c>
      <c r="DQ37" s="11" t="str">
        <f t="shared" si="28"/>
        <v>NO APLICA</v>
      </c>
      <c r="DR37" s="89" t="str">
        <f t="shared" si="29"/>
        <v>NO APLICA</v>
      </c>
      <c r="DS37" s="6" t="str">
        <f>+('3 Planilla Preadjudicación OTIC'!BP38)</f>
        <v>NO</v>
      </c>
      <c r="DT37" s="6" t="str">
        <f>IF(DR37="APROBADO",VLOOKUP(A37,'5 TD'!$D$3:$E$270,2,0),"NO APLICA")</f>
        <v>NO APLICA</v>
      </c>
      <c r="DU37" s="6" t="str">
        <f t="shared" si="30"/>
        <v>NO APLICA</v>
      </c>
      <c r="DV37" s="6" t="str">
        <f>IF(DU37="SI",VLOOKUP(A37,'5 TD'!$G$3:$H$270,2,0),"NO APLICA ")</f>
        <v xml:space="preserve">NO APLICA </v>
      </c>
      <c r="DW37" s="6" t="str">
        <f t="shared" si="34"/>
        <v>NO</v>
      </c>
      <c r="DX37" s="6" t="str">
        <f>IF(DW37="SI",VLOOKUP(A37,'5 TD'!$J$4:$K$472,2,0),"NO APLICA")</f>
        <v>NO APLICA</v>
      </c>
      <c r="DY37" s="6" t="str">
        <f t="shared" si="37"/>
        <v>NO APLICA</v>
      </c>
      <c r="DZ37" s="11" t="str">
        <f>IF(DY37="SI",VLOOKUP(A37,'5 TD'!$M$4:$N$350,2,0),"NO APLICA")</f>
        <v>NO APLICA</v>
      </c>
      <c r="EA37" s="6" t="str">
        <f t="shared" si="38"/>
        <v>NO APLICA</v>
      </c>
      <c r="EB37" s="16" t="str">
        <f t="shared" si="39"/>
        <v/>
      </c>
      <c r="EC37" s="16" t="str">
        <f>IF(EA37="SI",VLOOKUP(A37,'5 TD'!$V$4:$W$479,2,0),"NO APLICA")</f>
        <v>NO APLICA</v>
      </c>
      <c r="ED37" s="6" t="str">
        <f t="shared" si="31"/>
        <v>NO</v>
      </c>
      <c r="EE37" s="83" t="str">
        <f>IF(ED37="SI",VLOOKUP(AI37,COMPORTAMIENTO!$A$1:$H$2100,7,0),"NO APLICA")</f>
        <v>NO APLICA</v>
      </c>
      <c r="EF37" s="16" t="str">
        <f>IF(ED37="SI",VLOOKUP(A37,'5 TD'!$P$2:$Q$479,2,0),"NO APLICA")</f>
        <v>NO APLICA</v>
      </c>
      <c r="EG37" s="6" t="str">
        <f t="shared" si="32"/>
        <v>NO</v>
      </c>
      <c r="EH37" s="6">
        <f>IF(CZ37="no",0,VLOOKUP(AI37,EXPERIENCIA!$A$1:$C$2100,2,0))</f>
        <v>29</v>
      </c>
      <c r="EI37" s="6">
        <f>IF(CZ37="si",VLOOKUP(A37,'5 TD'!$S$3:$T$2103,2,0),0)</f>
        <v>125</v>
      </c>
      <c r="EJ37" s="6" t="str">
        <f t="shared" si="33"/>
        <v>NO</v>
      </c>
      <c r="EK37" s="6">
        <f>+('3 Planilla Preadjudicación OTIC'!BW38)</f>
        <v>0</v>
      </c>
      <c r="EL37" s="34" t="s">
        <v>2396</v>
      </c>
      <c r="EM37" s="7" t="s">
        <v>2406</v>
      </c>
    </row>
    <row r="38" spans="1:146" s="7" customFormat="1" ht="12.75" x14ac:dyDescent="0.2">
      <c r="A38" s="6">
        <f>+('3 Planilla Preadjudicación OTIC'!A38)</f>
        <v>14384</v>
      </c>
      <c r="B38" s="6" t="str">
        <f>+('3 Planilla Preadjudicación OTIC'!B38)</f>
        <v>SOFOFA</v>
      </c>
      <c r="C38" s="8">
        <f>+('3 Planilla Preadjudicación OTIC'!E38)</f>
        <v>2025</v>
      </c>
      <c r="D38" s="8" t="str">
        <f>+('3 Planilla Preadjudicación OTIC'!F38)</f>
        <v>MANDATO</v>
      </c>
      <c r="E38" s="8" t="str">
        <f>+('3 Planilla Preadjudicación OTIC'!G38)</f>
        <v>65181652-1</v>
      </c>
      <c r="F38" s="8" t="str">
        <f>+('3 Planilla Preadjudicación OTIC'!H38)</f>
        <v>SOFOFA</v>
      </c>
      <c r="G38" s="8" t="str">
        <f>+('3 Planilla Preadjudicación OTIC'!I38)</f>
        <v>65140022-8</v>
      </c>
      <c r="H38" s="8" t="str">
        <f>+('3 Planilla Preadjudicación OTIC'!J38)</f>
        <v>FUTURO DEL TRABAJO</v>
      </c>
      <c r="I38" s="8" t="str">
        <f>+('3 Planilla Preadjudicación OTIC'!K38)</f>
        <v>MECÁNICA AUTOMOTRIZ ELECTROMECÁNICA</v>
      </c>
      <c r="J38" s="8" t="str">
        <f>+('3 Planilla Preadjudicación OTIC'!L38)</f>
        <v>PF0585</v>
      </c>
      <c r="K38" s="8">
        <f>+('3 Planilla Preadjudicación OTIC'!M38)</f>
        <v>0</v>
      </c>
      <c r="L38" s="8" t="str">
        <f>+('3 Planilla Preadjudicación OTIC'!N38)</f>
        <v/>
      </c>
      <c r="M38" s="6">
        <f>+('3 Planilla Preadjudicación OTIC'!O38)</f>
        <v>13</v>
      </c>
      <c r="N38" s="8">
        <f>+('3 Planilla Preadjudicación OTIC'!P38)</f>
        <v>0</v>
      </c>
      <c r="O38" s="8" t="str">
        <f>+('3 Planilla Preadjudicación OTIC'!Q38)</f>
        <v>RENCA</v>
      </c>
      <c r="P38" s="8" t="str">
        <f>+('3 Planilla Preadjudicación OTIC'!R38)</f>
        <v>ESTUDIANTES DE CUARTO AÑO DE ENSEÑANZA MEDIA O DE LICEOS TÉCNICOS PROFESIONALES.</v>
      </c>
      <c r="Q38" s="8" t="str">
        <f>+('3 Planilla Preadjudicación OTIC'!S38)</f>
        <v>PRESENCIAL</v>
      </c>
      <c r="R38" s="8" t="str">
        <f>+('3 Planilla Preadjudicación OTIC'!T38)</f>
        <v>DEPENDIENTE</v>
      </c>
      <c r="S38" s="8" t="str">
        <f>+('3 Planilla Preadjudicación OTIC'!U38)</f>
        <v>03. LUNES - VESPERTINO / 06. MARTES - VESPERTINO / 09. MIÉRCOLES - VESPERTINO / 12. JUEVES - VESPERTINO / 15. VIERNES - VESPERTINO</v>
      </c>
      <c r="T38" s="6">
        <f>+('3 Planilla Preadjudicación OTIC'!V38)</f>
        <v>15</v>
      </c>
      <c r="U38" s="6">
        <f>+('3 Planilla Preadjudicación OTIC'!W38)</f>
        <v>120</v>
      </c>
      <c r="V38" s="6">
        <f>+('3 Planilla Preadjudicación OTIC'!X38)</f>
        <v>0</v>
      </c>
      <c r="W38" s="6">
        <f>+('3 Planilla Preadjudicación OTIC'!Y38)</f>
        <v>120</v>
      </c>
      <c r="X38" s="6">
        <f>+('3 Planilla Preadjudicación OTIC'!Z38)</f>
        <v>4</v>
      </c>
      <c r="Y38" s="6" t="str">
        <f>+('3 Planilla Preadjudicación OTIC'!AA38)</f>
        <v>SI</v>
      </c>
      <c r="Z38" s="6" t="str">
        <f>+('3 Planilla Preadjudicación OTIC'!AB38)</f>
        <v>NO</v>
      </c>
      <c r="AA38" s="6" t="str">
        <f>+('3 Planilla Preadjudicación OTIC'!AC38)</f>
        <v>NO</v>
      </c>
      <c r="AB38" s="8">
        <f>+('3 Planilla Preadjudicación OTIC'!AD38)</f>
        <v>0</v>
      </c>
      <c r="AC38" s="8" t="str">
        <f>+('3 Planilla Preadjudicación OTIC'!AE38)</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38" s="6" t="str">
        <f>+('3 Planilla Preadjudicación OTIC'!AF38)</f>
        <v>NO</v>
      </c>
      <c r="AE38" s="8">
        <f>+('3 Planilla Preadjudicación OTIC'!AG38)</f>
        <v>0</v>
      </c>
      <c r="AF38" s="6" t="str">
        <f>+('3 Planilla Preadjudicación OTIC'!AH38)</f>
        <v>CERRADA</v>
      </c>
      <c r="AG38" s="6">
        <f>+('3 Planilla Preadjudicación OTIC'!AI38)</f>
        <v>30</v>
      </c>
      <c r="AH38" s="6">
        <f>+('3 Planilla Preadjudicación OTIC'!AJ38)</f>
        <v>2</v>
      </c>
      <c r="AI38" s="140" t="str">
        <f>+('3 Planilla Preadjudicación OTIC'!AK38)</f>
        <v>76232950-6</v>
      </c>
      <c r="AJ38" s="8" t="str">
        <f>+('3 Planilla Preadjudicación OTIC'!AL38)</f>
        <v>INSTITUTO DE CALIDAD Y MEDIOAMBIENTE DE CHILE IGNACIO JAVIER CARO AGUILERA E.I.R.L</v>
      </c>
      <c r="AK38" s="6">
        <f>+('3 Planilla Preadjudicación OTIC'!AM38)</f>
        <v>120</v>
      </c>
      <c r="AL38" s="6">
        <f>+('3 Planilla Preadjudicación OTIC'!AN38)</f>
        <v>30</v>
      </c>
      <c r="AM38" s="16">
        <f>+('3 Planilla Preadjudicación OTIC'!AO38)</f>
        <v>5600</v>
      </c>
      <c r="AN38" s="16">
        <f>+('3 Planilla Preadjudicación OTIC'!AP38)</f>
        <v>0</v>
      </c>
      <c r="AO38" s="16">
        <f>+('3 Planilla Preadjudicación OTIC'!AQ38)</f>
        <v>0</v>
      </c>
      <c r="AP38" s="16">
        <f>+('3 Planilla Preadjudicación OTIC'!AR38)</f>
        <v>10080000</v>
      </c>
      <c r="AQ38" s="16">
        <f>+('3 Planilla Preadjudicación OTIC'!AS38)</f>
        <v>1800000</v>
      </c>
      <c r="AR38" s="16">
        <f>+('3 Planilla Preadjudicación OTIC'!AT38)</f>
        <v>0</v>
      </c>
      <c r="AS38" s="16">
        <f>+('3 Planilla Preadjudicación OTIC'!AU38)</f>
        <v>0</v>
      </c>
      <c r="AT38" s="16">
        <f>+('3 Planilla Preadjudicación OTIC'!AV38)</f>
        <v>0</v>
      </c>
      <c r="AU38" s="16">
        <f>+('3 Planilla Preadjudicación OTIC'!AW38)</f>
        <v>11880000</v>
      </c>
      <c r="AV38" s="158" t="str">
        <f>+('3 Planilla Preadjudicación OTIC'!AX38)</f>
        <v>SI</v>
      </c>
      <c r="AW38" s="8">
        <f>+('3 Planilla Preadjudicación OTIC'!AY38)</f>
        <v>0</v>
      </c>
      <c r="AX38" s="6">
        <f>+('3 Planilla Preadjudicación OTIC'!AZ38)</f>
        <v>1</v>
      </c>
      <c r="AY38" s="6">
        <f>+('3 Planilla Preadjudicación OTIC'!BA38)</f>
        <v>7</v>
      </c>
      <c r="AZ38" s="6">
        <f>+('3 Planilla Preadjudicación OTIC'!BB38)</f>
        <v>0</v>
      </c>
      <c r="BA38" s="6">
        <f>+('3 Planilla Preadjudicación OTIC'!BC38)</f>
        <v>0</v>
      </c>
      <c r="BB38" s="6">
        <f>+('3 Planilla Preadjudicación OTIC'!BD38)</f>
        <v>0</v>
      </c>
      <c r="BC38" s="6">
        <f>+('3 Planilla Preadjudicación OTIC'!BE38)</f>
        <v>0</v>
      </c>
      <c r="BD38" s="6">
        <f>+('3 Planilla Preadjudicación OTIC'!BF38)</f>
        <v>0</v>
      </c>
      <c r="BE38" s="6">
        <f>+('3 Planilla Preadjudicación OTIC'!BG38)</f>
        <v>0</v>
      </c>
      <c r="BF38" s="6">
        <f>+('3 Planilla Preadjudicación OTIC'!BH38)</f>
        <v>0</v>
      </c>
      <c r="BG38" s="6">
        <f>+('3 Planilla Preadjudicación OTIC'!BI38)</f>
        <v>7</v>
      </c>
      <c r="BH38" s="6">
        <f>+('3 Planilla Preadjudicación OTIC'!BJ38)</f>
        <v>7</v>
      </c>
      <c r="BI38" s="6">
        <f>+('3 Planilla Preadjudicación OTIC'!BK38)</f>
        <v>7</v>
      </c>
      <c r="BJ38" s="6">
        <f>+('3 Planilla Preadjudicación OTIC'!BL38)</f>
        <v>7</v>
      </c>
      <c r="BK38" s="6">
        <f>+('3 Planilla Preadjudicación OTIC'!BM38)</f>
        <v>7</v>
      </c>
      <c r="BL38" s="6">
        <f>+('3 Planilla Preadjudicación OTIC'!BN38)</f>
        <v>6.3</v>
      </c>
      <c r="BM38" s="108">
        <f>ROUND(('3 Planilla Preadjudicación OTIC'!BO38),1)</f>
        <v>6.4</v>
      </c>
      <c r="BN38" s="8" t="str">
        <f>+('3 Planilla Preadjudicación OTIC'!BP38)</f>
        <v>NO</v>
      </c>
      <c r="BO38" s="8" t="str">
        <f>+('3 Planilla Preadjudicación OTIC'!BQ38)</f>
        <v>JUDITH TORO</v>
      </c>
      <c r="BP38" s="8" t="str">
        <f>+('3 Planilla Preadjudicación OTIC'!BR38)</f>
        <v>judith.toro@icmchile.cl</v>
      </c>
      <c r="BQ38" s="8">
        <f>+('3 Planilla Preadjudicación OTIC'!BS38)</f>
        <v>946133009</v>
      </c>
      <c r="BR38" s="8" t="str">
        <f>+('3 Planilla Preadjudicación OTIC'!BT38)</f>
        <v>La Marquesita 3962, Renca</v>
      </c>
      <c r="BS38" s="8">
        <f>+('3 Planilla Preadjudicación OTIC'!BU38)</f>
        <v>0</v>
      </c>
      <c r="BT38" s="8">
        <f>+('3 Planilla Preadjudicación OTIC'!BV38)</f>
        <v>0</v>
      </c>
      <c r="BU38" s="89">
        <f>IF(VLOOKUP(A38,'BD OFICIAL'!$A$1:$AL$2099,7,0)=D38,0,1)</f>
        <v>0</v>
      </c>
      <c r="BV38" s="89">
        <f>IF(VLOOKUP(A38,'BD OFICIAL'!$A$1:$AL$2099,11,0)=J38,0,1)</f>
        <v>0</v>
      </c>
      <c r="BW38" s="89">
        <f>IF(VLOOKUP(A38,'BD OFICIAL'!$A$1:$AL$2099,13,0)=L38,0,1)</f>
        <v>0</v>
      </c>
      <c r="BX38" s="6">
        <f>IF(VLOOKUP(A38,'BD OFICIAL'!$A$1:$AL$2099,16,0)=O38,0,1)</f>
        <v>0</v>
      </c>
      <c r="BY38" s="6">
        <f>IF(VLOOKUP(A38,'BD OFICIAL'!$A$1:$AL$2099,17,0)=P38,0,1)</f>
        <v>0</v>
      </c>
      <c r="BZ38" s="6">
        <f>IF(VLOOKUP(A38,'BD OFICIAL'!$A$1:$AL$2099,19,0)=R38,0,1)</f>
        <v>0</v>
      </c>
      <c r="CA38" s="6">
        <f>IF(VLOOKUP(A38,'BD OFICIAL'!$A$1:$AL$2099,21,0)=T38,0,1)</f>
        <v>0</v>
      </c>
      <c r="CB38" s="6">
        <f>IF(VLOOKUP(A38,'BD OFICIAL'!$A$1:$AL$2099,24,0)=AK38,0,1)</f>
        <v>0</v>
      </c>
      <c r="CC38" s="6">
        <f>IF(VLOOKUP(A38,'BD OFICIAL'!$A$1:$AL$2099,25,0)=X38,0,1)</f>
        <v>0</v>
      </c>
      <c r="CD38" s="6">
        <f>IF(VLOOKUP(A38,'BD OFICIAL'!$A$1:$AL$2099,26,0)=Y38,0,1)</f>
        <v>0</v>
      </c>
      <c r="CE38" s="6">
        <f>IF(VLOOKUP(A38,'BD OFICIAL'!$A$1:$AL$2099,27,0)=Z38,0,1)</f>
        <v>0</v>
      </c>
      <c r="CF38" s="6">
        <f>IF(VLOOKUP(A38,'BD OFICIAL'!$A$1:$AL$2099,28,0)=AA38,0,1)</f>
        <v>0</v>
      </c>
      <c r="CG38" s="6">
        <f>IF(VLOOKUP(A38,'BD OFICIAL'!$A$1:$AL$2099,33,0)=AF38,0,1)</f>
        <v>0</v>
      </c>
      <c r="CH38" s="6">
        <f>IF(VLOOKUP(A38,'BD OFICIAL'!$A$1:$AL$2099,35,0)=AH38,0,1)</f>
        <v>0</v>
      </c>
      <c r="CI38" s="89">
        <f>IF(VLOOKUP(A38,'BD OFICIAL'!$A$1:$AL$2099,34,0)=AL38,0,1)</f>
        <v>0</v>
      </c>
      <c r="CJ38" s="89">
        <f>VLOOKUP(A38,'BD OFICIAL'!$A$1:$AM$2099,36,0)*AM38-AP38</f>
        <v>0</v>
      </c>
      <c r="CK38" s="89" t="str">
        <f t="shared" si="0"/>
        <v>SSH</v>
      </c>
      <c r="CL38" s="89" t="str">
        <f t="shared" si="1"/>
        <v>SI</v>
      </c>
      <c r="CM38" s="89" t="str">
        <f t="shared" si="2"/>
        <v>NO</v>
      </c>
      <c r="CN38" s="35">
        <f t="shared" si="3"/>
        <v>0</v>
      </c>
      <c r="CO38" s="35">
        <f t="shared" si="19"/>
        <v>0</v>
      </c>
      <c r="CP38" s="35">
        <f t="shared" si="20"/>
        <v>0</v>
      </c>
      <c r="CQ38" s="35">
        <f>IF(VLOOKUP(A38,'BD OFICIAL'!$A:$AT,40,0)=AQ38,0,1)</f>
        <v>0</v>
      </c>
      <c r="CR38" s="35">
        <f>IF(VLOOKUP(A38,'BD OFICIAL'!$A:$AT,41,0)=AS38,0,1)</f>
        <v>0</v>
      </c>
      <c r="CS38" s="35">
        <f t="shared" si="21"/>
        <v>0</v>
      </c>
      <c r="CT38" s="35">
        <f t="shared" si="4"/>
        <v>0</v>
      </c>
      <c r="CU38" s="35">
        <f>IF(VLOOKUP(A38,'BD OFICIAL'!$A$1:$AL$1057,31,0)="SI",IF(AT38&gt;0,0,1),IF(AT38=0,0,1))</f>
        <v>0</v>
      </c>
      <c r="CV38" s="35">
        <f t="shared" si="5"/>
        <v>0</v>
      </c>
      <c r="CW38" s="35">
        <f t="shared" si="6"/>
        <v>0</v>
      </c>
      <c r="CX38" s="89" t="str">
        <f t="shared" si="7"/>
        <v>SI</v>
      </c>
      <c r="CY38" s="35">
        <f t="shared" si="8"/>
        <v>0</v>
      </c>
      <c r="CZ38" s="89" t="str">
        <f>IF(ISERROR(VLOOKUP(AI38,EXPERIENCIA!$A$1:$C$2100,1,0)),"NO","SI")</f>
        <v>SI</v>
      </c>
      <c r="DA38" s="89">
        <f>IF(CX38="no","NO APLICA",IF(AX38=0,"ERROR NOTA",IF(AND(AX38&gt;1,CZ38="NO"),"ERROR NOTA",IF(AND(CZ38="NO",AX38=1),0,IF(VLOOKUP(AI38,EXPERIENCIA!$A$1:$C$2100,3,0)=AX38,0,"ERROR NOTA")))))</f>
        <v>0</v>
      </c>
      <c r="DB38" s="89" t="str">
        <f>IF(ISERROR(VLOOKUP(AI38,COMPORTAMIENTO!$A$1:$C$2100,1,0)),"NO","SI")</f>
        <v>SI</v>
      </c>
      <c r="DC38" s="89">
        <f>IF(CX38="NO","NO APLICA",IF(AY38=0,"ERROR NOTA",IF(AND(DB38="NO",AY38=7),0,IF(VLOOKUP(AI38,COMPORTAMIENTO!$A$2:$H$2100,8,0)=AY38,0,"ERROR NOTA"))))</f>
        <v>0</v>
      </c>
      <c r="DD38" s="108">
        <f t="shared" si="9"/>
        <v>0.1</v>
      </c>
      <c r="DE38" s="108">
        <f t="shared" si="10"/>
        <v>0.70000000000000007</v>
      </c>
      <c r="DF38" s="89" t="str">
        <f t="shared" si="22"/>
        <v>SI</v>
      </c>
      <c r="DG38" s="89">
        <f t="shared" si="11"/>
        <v>0</v>
      </c>
      <c r="DH38" s="89">
        <f t="shared" si="12"/>
        <v>0</v>
      </c>
      <c r="DI38" s="89">
        <f t="shared" si="23"/>
        <v>0</v>
      </c>
      <c r="DJ38" s="16">
        <f t="shared" si="35"/>
        <v>7.0000000000000009</v>
      </c>
      <c r="DK38" s="11">
        <f t="shared" si="24"/>
        <v>7.0000000000000009</v>
      </c>
      <c r="DL38" s="16">
        <f t="shared" si="36"/>
        <v>5600</v>
      </c>
      <c r="DM38" s="16">
        <f>VLOOKUP(A38,'5 TD'!$A$3:$B$35,2,0)</f>
        <v>5075</v>
      </c>
      <c r="DN38" s="11">
        <f t="shared" si="25"/>
        <v>6.3</v>
      </c>
      <c r="DO38" s="89" t="str">
        <f t="shared" si="26"/>
        <v>APROBADO</v>
      </c>
      <c r="DP38" s="89" t="str">
        <f t="shared" si="27"/>
        <v>APROBADO</v>
      </c>
      <c r="DQ38" s="11">
        <f t="shared" si="28"/>
        <v>6.4</v>
      </c>
      <c r="DR38" s="89" t="str">
        <f t="shared" si="29"/>
        <v>APROBADO</v>
      </c>
      <c r="DS38" s="6" t="str">
        <f>+('3 Planilla Preadjudicación OTIC'!BP39)</f>
        <v>NO</v>
      </c>
      <c r="DT38" s="6">
        <f>IF(DR38="APROBADO",VLOOKUP(A38,'5 TD'!$D$3:$E$270,2,0),"NO APLICA")</f>
        <v>6.6</v>
      </c>
      <c r="DU38" s="6" t="str">
        <f t="shared" si="30"/>
        <v>NO</v>
      </c>
      <c r="DV38" s="6" t="str">
        <f>IF(DU38="SI",VLOOKUP(A38,'5 TD'!$G$3:$H$270,2,0),"NO APLICA ")</f>
        <v xml:space="preserve">NO APLICA </v>
      </c>
      <c r="DW38" s="6" t="str">
        <f t="shared" si="34"/>
        <v>NO</v>
      </c>
      <c r="DX38" s="6" t="str">
        <f>IF(DW38="SI",VLOOKUP(A38,'5 TD'!$J$4:$K$472,2,0),"NO APLICA")</f>
        <v>NO APLICA</v>
      </c>
      <c r="DY38" s="6" t="str">
        <f t="shared" si="37"/>
        <v>NO APLICA</v>
      </c>
      <c r="DZ38" s="11" t="str">
        <f>IF(DY38="SI",VLOOKUP(A38,'5 TD'!$M$4:$N$350,2,0),"NO APLICA")</f>
        <v>NO APLICA</v>
      </c>
      <c r="EA38" s="6" t="str">
        <f t="shared" si="38"/>
        <v>NO APLICA</v>
      </c>
      <c r="EB38" s="16" t="str">
        <f t="shared" si="39"/>
        <v/>
      </c>
      <c r="EC38" s="16" t="str">
        <f>IF(EA38="SI",VLOOKUP(A38,'5 TD'!$V$4:$W$479,2,0),"NO APLICA")</f>
        <v>NO APLICA</v>
      </c>
      <c r="ED38" s="6" t="str">
        <f t="shared" si="31"/>
        <v>NO</v>
      </c>
      <c r="EE38" s="83" t="str">
        <f>IF(ED38="SI",VLOOKUP(AI38,COMPORTAMIENTO!$A$1:$H$2100,7,0),"NO APLICA")</f>
        <v>NO APLICA</v>
      </c>
      <c r="EF38" s="16" t="str">
        <f>IF(ED38="SI",VLOOKUP(A38,'5 TD'!$P$2:$Q$479,2,0),"NO APLICA")</f>
        <v>NO APLICA</v>
      </c>
      <c r="EG38" s="6" t="str">
        <f t="shared" si="32"/>
        <v>NO</v>
      </c>
      <c r="EH38" s="6">
        <f>IF(CZ38="no",0,VLOOKUP(AI38,EXPERIENCIA!$A$1:$C$2100,2,0))</f>
        <v>17</v>
      </c>
      <c r="EI38" s="6">
        <f>IF(CZ38="si",VLOOKUP(A38,'5 TD'!$S$3:$T$2103,2,0),0)</f>
        <v>33</v>
      </c>
      <c r="EJ38" s="6" t="str">
        <f t="shared" si="33"/>
        <v>NO</v>
      </c>
      <c r="EK38" s="6">
        <f>+('3 Planilla Preadjudicación OTIC'!BW39)</f>
        <v>0</v>
      </c>
    </row>
    <row r="39" spans="1:146" s="7" customFormat="1" ht="12.75" x14ac:dyDescent="0.2">
      <c r="A39" s="6">
        <f>+('3 Planilla Preadjudicación OTIC'!A39)</f>
        <v>14388</v>
      </c>
      <c r="B39" s="6" t="str">
        <f>+('3 Planilla Preadjudicación OTIC'!B39)</f>
        <v>SOFOFA</v>
      </c>
      <c r="C39" s="8">
        <f>+('3 Planilla Preadjudicación OTIC'!E39)</f>
        <v>2025</v>
      </c>
      <c r="D39" s="8" t="str">
        <f>+('3 Planilla Preadjudicación OTIC'!F39)</f>
        <v>MANDATO</v>
      </c>
      <c r="E39" s="8" t="str">
        <f>+('3 Planilla Preadjudicación OTIC'!G39)</f>
        <v>65181652-1</v>
      </c>
      <c r="F39" s="8" t="str">
        <f>+('3 Planilla Preadjudicación OTIC'!H39)</f>
        <v>SOFOFA</v>
      </c>
      <c r="G39" s="8" t="str">
        <f>+('3 Planilla Preadjudicación OTIC'!I39)</f>
        <v>65140022-8</v>
      </c>
      <c r="H39" s="8" t="str">
        <f>+('3 Planilla Preadjudicación OTIC'!J39)</f>
        <v>FUTURO DEL TRABAJO</v>
      </c>
      <c r="I39" s="8" t="str">
        <f>+('3 Planilla Preadjudicación OTIC'!K39)</f>
        <v>PROCESOS LOGÍSTICOS EN BODEGAS, CENTROS DE DISTRIBUCIÓN Y CENTROS DE TRANSFERENCIA</v>
      </c>
      <c r="J39" s="8" t="str">
        <f>+('3 Planilla Preadjudicación OTIC'!L39)</f>
        <v>PF1444</v>
      </c>
      <c r="K39" s="8">
        <f>+('3 Planilla Preadjudicación OTIC'!M39)</f>
        <v>0</v>
      </c>
      <c r="L39" s="8" t="str">
        <f>+('3 Planilla Preadjudicación OTIC'!N39)</f>
        <v/>
      </c>
      <c r="M39" s="6">
        <f>+('3 Planilla Preadjudicación OTIC'!O39)</f>
        <v>13</v>
      </c>
      <c r="N39" s="8">
        <f>+('3 Planilla Preadjudicación OTIC'!P39)</f>
        <v>0</v>
      </c>
      <c r="O39" s="8" t="str">
        <f>+('3 Planilla Preadjudicación OTIC'!Q39)</f>
        <v>RENCA</v>
      </c>
      <c r="P39" s="8" t="str">
        <f>+('3 Planilla Preadjudicación OTIC'!R39)</f>
        <v>ESTUDIANTES DE CUARTO AÑO DE ENSEÑANZA MEDIA O DE LICEOS TÉCNICOS PROFESIONALES.</v>
      </c>
      <c r="Q39" s="8" t="str">
        <f>+('3 Planilla Preadjudicación OTIC'!S39)</f>
        <v>PRESENCIAL</v>
      </c>
      <c r="R39" s="8" t="str">
        <f>+('3 Planilla Preadjudicación OTIC'!T39)</f>
        <v>DEPENDIENTE</v>
      </c>
      <c r="S39" s="8" t="str">
        <f>+('3 Planilla Preadjudicación OTIC'!U39)</f>
        <v>03. LUNES - VESPERTINO / 06. MARTES - VESPERTINO / 09. MIÉRCOLES - VESPERTINO / 12. JUEVES - VESPERTINO / 15. VIERNES - VESPERTINO</v>
      </c>
      <c r="T39" s="6">
        <f>+('3 Planilla Preadjudicación OTIC'!V39)</f>
        <v>16</v>
      </c>
      <c r="U39" s="6">
        <f>+('3 Planilla Preadjudicación OTIC'!W39)</f>
        <v>80</v>
      </c>
      <c r="V39" s="6">
        <f>+('3 Planilla Preadjudicación OTIC'!X39)</f>
        <v>0</v>
      </c>
      <c r="W39" s="6">
        <f>+('3 Planilla Preadjudicación OTIC'!Y39)</f>
        <v>80</v>
      </c>
      <c r="X39" s="6">
        <f>+('3 Planilla Preadjudicación OTIC'!Z39)</f>
        <v>4</v>
      </c>
      <c r="Y39" s="6" t="str">
        <f>+('3 Planilla Preadjudicación OTIC'!AA39)</f>
        <v>SI</v>
      </c>
      <c r="Z39" s="6" t="str">
        <f>+('3 Planilla Preadjudicación OTIC'!AB39)</f>
        <v>NO</v>
      </c>
      <c r="AA39" s="6" t="str">
        <f>+('3 Planilla Preadjudicación OTIC'!AC39)</f>
        <v>NO</v>
      </c>
      <c r="AB39" s="8">
        <f>+('3 Planilla Preadjudicación OTIC'!AD39)</f>
        <v>0</v>
      </c>
      <c r="AC39" s="8" t="str">
        <f>+('3 Planilla Preadjudicación OTIC'!AE39)</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39" s="6" t="str">
        <f>+('3 Planilla Preadjudicación OTIC'!AF39)</f>
        <v>NO</v>
      </c>
      <c r="AE39" s="8">
        <f>+('3 Planilla Preadjudicación OTIC'!AG39)</f>
        <v>0</v>
      </c>
      <c r="AF39" s="6" t="str">
        <f>+('3 Planilla Preadjudicación OTIC'!AH39)</f>
        <v>CERRADA</v>
      </c>
      <c r="AG39" s="6">
        <f>+('3 Planilla Preadjudicación OTIC'!AI39)</f>
        <v>20</v>
      </c>
      <c r="AH39" s="6">
        <f>+('3 Planilla Preadjudicación OTIC'!AJ39)</f>
        <v>3</v>
      </c>
      <c r="AI39" s="140" t="str">
        <f>+('3 Planilla Preadjudicación OTIC'!AK39)</f>
        <v>76232950-6</v>
      </c>
      <c r="AJ39" s="8" t="str">
        <f>+('3 Planilla Preadjudicación OTIC'!AL39)</f>
        <v>INSTITUTO DE CALIDAD Y MEDIOAMBIENTE DE CHILE IGNACIO JAVIER CARO AGUILERA E.I.R.L</v>
      </c>
      <c r="AK39" s="6">
        <f>+('3 Planilla Preadjudicación OTIC'!AM39)</f>
        <v>80</v>
      </c>
      <c r="AL39" s="6">
        <f>+('3 Planilla Preadjudicación OTIC'!AN39)</f>
        <v>20</v>
      </c>
      <c r="AM39" s="16">
        <f>+('3 Planilla Preadjudicación OTIC'!AO39)</f>
        <v>6700</v>
      </c>
      <c r="AN39" s="16">
        <f>+('3 Planilla Preadjudicación OTIC'!AP39)</f>
        <v>0</v>
      </c>
      <c r="AO39" s="16">
        <f>+('3 Planilla Preadjudicación OTIC'!AQ39)</f>
        <v>0</v>
      </c>
      <c r="AP39" s="16">
        <f>+('3 Planilla Preadjudicación OTIC'!AR39)</f>
        <v>8576000</v>
      </c>
      <c r="AQ39" s="16">
        <f>+('3 Planilla Preadjudicación OTIC'!AS39)</f>
        <v>1280000</v>
      </c>
      <c r="AR39" s="16">
        <f>+('3 Planilla Preadjudicación OTIC'!AT39)</f>
        <v>0</v>
      </c>
      <c r="AS39" s="16">
        <f>+('3 Planilla Preadjudicación OTIC'!AU39)</f>
        <v>0</v>
      </c>
      <c r="AT39" s="16">
        <f>+('3 Planilla Preadjudicación OTIC'!AV39)</f>
        <v>0</v>
      </c>
      <c r="AU39" s="16">
        <f>+('3 Planilla Preadjudicación OTIC'!AW39)</f>
        <v>9856000</v>
      </c>
      <c r="AV39" s="158" t="str">
        <f>+('3 Planilla Preadjudicación OTIC'!AX39)</f>
        <v>SI</v>
      </c>
      <c r="AW39" s="8">
        <f>+('3 Planilla Preadjudicación OTIC'!AY39)</f>
        <v>0</v>
      </c>
      <c r="AX39" s="6">
        <f>+('3 Planilla Preadjudicación OTIC'!AZ39)</f>
        <v>1</v>
      </c>
      <c r="AY39" s="6">
        <f>+('3 Planilla Preadjudicación OTIC'!BA39)</f>
        <v>7</v>
      </c>
      <c r="AZ39" s="6">
        <f>+('3 Planilla Preadjudicación OTIC'!BB39)</f>
        <v>0</v>
      </c>
      <c r="BA39" s="6">
        <f>+('3 Planilla Preadjudicación OTIC'!BC39)</f>
        <v>0</v>
      </c>
      <c r="BB39" s="6">
        <f>+('3 Planilla Preadjudicación OTIC'!BD39)</f>
        <v>0</v>
      </c>
      <c r="BC39" s="6">
        <f>+('3 Planilla Preadjudicación OTIC'!BE39)</f>
        <v>0</v>
      </c>
      <c r="BD39" s="6">
        <f>+('3 Planilla Preadjudicación OTIC'!BF39)</f>
        <v>0</v>
      </c>
      <c r="BE39" s="6">
        <f>+('3 Planilla Preadjudicación OTIC'!BG39)</f>
        <v>0</v>
      </c>
      <c r="BF39" s="6">
        <f>+('3 Planilla Preadjudicación OTIC'!BH39)</f>
        <v>0</v>
      </c>
      <c r="BG39" s="6">
        <f>+('3 Planilla Preadjudicación OTIC'!BI39)</f>
        <v>7</v>
      </c>
      <c r="BH39" s="6">
        <f>+('3 Planilla Preadjudicación OTIC'!BJ39)</f>
        <v>7</v>
      </c>
      <c r="BI39" s="6">
        <f>+('3 Planilla Preadjudicación OTIC'!BK39)</f>
        <v>7</v>
      </c>
      <c r="BJ39" s="6">
        <f>+('3 Planilla Preadjudicación OTIC'!BL39)</f>
        <v>7</v>
      </c>
      <c r="BK39" s="6">
        <f>+('3 Planilla Preadjudicación OTIC'!BM39)</f>
        <v>7</v>
      </c>
      <c r="BL39" s="6">
        <f>+('3 Planilla Preadjudicación OTIC'!BN39)</f>
        <v>6.7</v>
      </c>
      <c r="BM39" s="108">
        <f>ROUND(('3 Planilla Preadjudicación OTIC'!BO39),1)</f>
        <v>6.4</v>
      </c>
      <c r="BN39" s="8" t="str">
        <f>+('3 Planilla Preadjudicación OTIC'!BP39)</f>
        <v>NO</v>
      </c>
      <c r="BO39" s="8" t="str">
        <f>+('3 Planilla Preadjudicación OTIC'!BQ39)</f>
        <v>JUDITH TORO</v>
      </c>
      <c r="BP39" s="8" t="str">
        <f>+('3 Planilla Preadjudicación OTIC'!BR39)</f>
        <v>judith.toro@icmchile.cl</v>
      </c>
      <c r="BQ39" s="8">
        <f>+('3 Planilla Preadjudicación OTIC'!BS39)</f>
        <v>946133009</v>
      </c>
      <c r="BR39" s="8" t="str">
        <f>+('3 Planilla Preadjudicación OTIC'!BT39)</f>
        <v>La Marquesita 3962, Renca</v>
      </c>
      <c r="BS39" s="8">
        <f>+('3 Planilla Preadjudicación OTIC'!BU39)</f>
        <v>0</v>
      </c>
      <c r="BT39" s="8">
        <f>+('3 Planilla Preadjudicación OTIC'!BV39)</f>
        <v>0</v>
      </c>
      <c r="BU39" s="89">
        <f>IF(VLOOKUP(A39,'BD OFICIAL'!$A$1:$AL$2099,7,0)=D39,0,1)</f>
        <v>0</v>
      </c>
      <c r="BV39" s="89">
        <f>IF(VLOOKUP(A39,'BD OFICIAL'!$A$1:$AL$2099,11,0)=J39,0,1)</f>
        <v>0</v>
      </c>
      <c r="BW39" s="89">
        <f>IF(VLOOKUP(A39,'BD OFICIAL'!$A$1:$AL$2099,13,0)=L39,0,1)</f>
        <v>0</v>
      </c>
      <c r="BX39" s="6">
        <f>IF(VLOOKUP(A39,'BD OFICIAL'!$A$1:$AL$2099,16,0)=O39,0,1)</f>
        <v>0</v>
      </c>
      <c r="BY39" s="6">
        <f>IF(VLOOKUP(A39,'BD OFICIAL'!$A$1:$AL$2099,17,0)=P39,0,1)</f>
        <v>0</v>
      </c>
      <c r="BZ39" s="6">
        <f>IF(VLOOKUP(A39,'BD OFICIAL'!$A$1:$AL$2099,19,0)=R39,0,1)</f>
        <v>0</v>
      </c>
      <c r="CA39" s="6">
        <f>IF(VLOOKUP(A39,'BD OFICIAL'!$A$1:$AL$2099,21,0)=T39,0,1)</f>
        <v>0</v>
      </c>
      <c r="CB39" s="6">
        <f>IF(VLOOKUP(A39,'BD OFICIAL'!$A$1:$AL$2099,24,0)=AK39,0,1)</f>
        <v>0</v>
      </c>
      <c r="CC39" s="6">
        <f>IF(VLOOKUP(A39,'BD OFICIAL'!$A$1:$AL$2099,25,0)=X39,0,1)</f>
        <v>0</v>
      </c>
      <c r="CD39" s="6">
        <f>IF(VLOOKUP(A39,'BD OFICIAL'!$A$1:$AL$2099,26,0)=Y39,0,1)</f>
        <v>0</v>
      </c>
      <c r="CE39" s="6">
        <f>IF(VLOOKUP(A39,'BD OFICIAL'!$A$1:$AL$2099,27,0)=Z39,0,1)</f>
        <v>0</v>
      </c>
      <c r="CF39" s="6">
        <f>IF(VLOOKUP(A39,'BD OFICIAL'!$A$1:$AL$2099,28,0)=AA39,0,1)</f>
        <v>0</v>
      </c>
      <c r="CG39" s="6">
        <f>IF(VLOOKUP(A39,'BD OFICIAL'!$A$1:$AL$2099,33,0)=AF39,0,1)</f>
        <v>0</v>
      </c>
      <c r="CH39" s="6">
        <f>IF(VLOOKUP(A39,'BD OFICIAL'!$A$1:$AL$2099,35,0)=AH39,0,1)</f>
        <v>0</v>
      </c>
      <c r="CI39" s="89">
        <f>IF(VLOOKUP(A39,'BD OFICIAL'!$A$1:$AL$2099,34,0)=AL39,0,1)</f>
        <v>0</v>
      </c>
      <c r="CJ39" s="89">
        <f>VLOOKUP(A39,'BD OFICIAL'!$A$1:$AM$2099,36,0)*AM39-AP39</f>
        <v>0</v>
      </c>
      <c r="CK39" s="89" t="str">
        <f t="shared" si="0"/>
        <v>SSH</v>
      </c>
      <c r="CL39" s="89" t="str">
        <f t="shared" si="1"/>
        <v>SI</v>
      </c>
      <c r="CM39" s="89" t="str">
        <f t="shared" si="2"/>
        <v>NO</v>
      </c>
      <c r="CN39" s="35">
        <f t="shared" si="3"/>
        <v>0</v>
      </c>
      <c r="CO39" s="35">
        <f t="shared" si="19"/>
        <v>0</v>
      </c>
      <c r="CP39" s="35">
        <f t="shared" si="20"/>
        <v>0</v>
      </c>
      <c r="CQ39" s="35">
        <f>IF(VLOOKUP(A39,'BD OFICIAL'!$A:$AT,40,0)=AQ39,0,1)</f>
        <v>0</v>
      </c>
      <c r="CR39" s="35">
        <f>IF(VLOOKUP(A39,'BD OFICIAL'!$A:$AT,41,0)=AS39,0,1)</f>
        <v>0</v>
      </c>
      <c r="CS39" s="35">
        <f t="shared" si="21"/>
        <v>0</v>
      </c>
      <c r="CT39" s="35">
        <f t="shared" si="4"/>
        <v>0</v>
      </c>
      <c r="CU39" s="35">
        <f>IF(VLOOKUP(A39,'BD OFICIAL'!$A$1:$AL$1057,31,0)="SI",IF(AT39&gt;0,0,1),IF(AT39=0,0,1))</f>
        <v>0</v>
      </c>
      <c r="CV39" s="35">
        <f t="shared" si="5"/>
        <v>0</v>
      </c>
      <c r="CW39" s="35">
        <f t="shared" si="6"/>
        <v>0</v>
      </c>
      <c r="CX39" s="89" t="str">
        <f t="shared" si="7"/>
        <v>SI</v>
      </c>
      <c r="CY39" s="35">
        <f t="shared" si="8"/>
        <v>0</v>
      </c>
      <c r="CZ39" s="89" t="str">
        <f>IF(ISERROR(VLOOKUP(AI39,EXPERIENCIA!$A$1:$C$2100,1,0)),"NO","SI")</f>
        <v>SI</v>
      </c>
      <c r="DA39" s="89">
        <f>IF(CX39="no","NO APLICA",IF(AX39=0,"ERROR NOTA",IF(AND(AX39&gt;1,CZ39="NO"),"ERROR NOTA",IF(AND(CZ39="NO",AX39=1),0,IF(VLOOKUP(AI39,EXPERIENCIA!$A$1:$C$2100,3,0)=AX39,0,"ERROR NOTA")))))</f>
        <v>0</v>
      </c>
      <c r="DB39" s="89" t="str">
        <f>IF(ISERROR(VLOOKUP(AI39,COMPORTAMIENTO!$A$1:$C$2100,1,0)),"NO","SI")</f>
        <v>SI</v>
      </c>
      <c r="DC39" s="89">
        <f>IF(CX39="NO","NO APLICA",IF(AY39=0,"ERROR NOTA",IF(AND(DB39="NO",AY39=7),0,IF(VLOOKUP(AI39,COMPORTAMIENTO!$A$2:$H$2100,8,0)=AY39,0,"ERROR NOTA"))))</f>
        <v>0</v>
      </c>
      <c r="DD39" s="108">
        <f t="shared" si="9"/>
        <v>0.1</v>
      </c>
      <c r="DE39" s="108">
        <f t="shared" si="10"/>
        <v>0.70000000000000007</v>
      </c>
      <c r="DF39" s="89" t="str">
        <f t="shared" si="22"/>
        <v>SI</v>
      </c>
      <c r="DG39" s="89">
        <f t="shared" si="11"/>
        <v>0</v>
      </c>
      <c r="DH39" s="89">
        <f t="shared" si="12"/>
        <v>0</v>
      </c>
      <c r="DI39" s="89">
        <f t="shared" si="23"/>
        <v>0</v>
      </c>
      <c r="DJ39" s="16">
        <f t="shared" si="35"/>
        <v>7.0000000000000009</v>
      </c>
      <c r="DK39" s="11">
        <f t="shared" si="24"/>
        <v>7.0000000000000009</v>
      </c>
      <c r="DL39" s="16">
        <f t="shared" si="36"/>
        <v>6700</v>
      </c>
      <c r="DM39" s="16">
        <f>VLOOKUP(A39,'5 TD'!$A$3:$B$35,2,0)</f>
        <v>6373</v>
      </c>
      <c r="DN39" s="11">
        <f t="shared" si="25"/>
        <v>6.7</v>
      </c>
      <c r="DO39" s="89" t="str">
        <f t="shared" si="26"/>
        <v>APROBADO</v>
      </c>
      <c r="DP39" s="89" t="str">
        <f t="shared" si="27"/>
        <v>APROBADO</v>
      </c>
      <c r="DQ39" s="11">
        <f t="shared" si="28"/>
        <v>6.4</v>
      </c>
      <c r="DR39" s="89" t="str">
        <f t="shared" si="29"/>
        <v>APROBADO</v>
      </c>
      <c r="DS39" s="6" t="str">
        <f>+('3 Planilla Preadjudicación OTIC'!BP40)</f>
        <v>NO</v>
      </c>
      <c r="DT39" s="6">
        <f>IF(DR39="APROBADO",VLOOKUP(A39,'5 TD'!$D$3:$E$270,2,0),"NO APLICA")</f>
        <v>7</v>
      </c>
      <c r="DU39" s="6" t="str">
        <f t="shared" si="30"/>
        <v>NO</v>
      </c>
      <c r="DV39" s="6" t="str">
        <f>IF(DU39="SI",VLOOKUP(A39,'5 TD'!$G$3:$H$270,2,0),"NO APLICA ")</f>
        <v xml:space="preserve">NO APLICA </v>
      </c>
      <c r="DW39" s="6" t="str">
        <f t="shared" si="34"/>
        <v>NO</v>
      </c>
      <c r="DX39" s="6" t="str">
        <f>IF(DW39="SI",VLOOKUP(A39,'5 TD'!$J$4:$K$472,2,0),"NO APLICA")</f>
        <v>NO APLICA</v>
      </c>
      <c r="DY39" s="6" t="str">
        <f t="shared" si="37"/>
        <v>NO APLICA</v>
      </c>
      <c r="DZ39" s="11" t="str">
        <f>IF(DY39="SI",VLOOKUP(A39,'5 TD'!$M$4:$N$350,2,0),"NO APLICA")</f>
        <v>NO APLICA</v>
      </c>
      <c r="EA39" s="6" t="str">
        <f t="shared" si="38"/>
        <v>NO APLICA</v>
      </c>
      <c r="EB39" s="16" t="str">
        <f t="shared" si="39"/>
        <v/>
      </c>
      <c r="EC39" s="16" t="str">
        <f>IF(EA39="SI",VLOOKUP(A39,'5 TD'!$V$4:$W$479,2,0),"NO APLICA")</f>
        <v>NO APLICA</v>
      </c>
      <c r="ED39" s="6" t="str">
        <f t="shared" si="31"/>
        <v>NO</v>
      </c>
      <c r="EE39" s="83" t="str">
        <f>IF(ED39="SI",VLOOKUP(AI39,COMPORTAMIENTO!$A$1:$H$2100,7,0),"NO APLICA")</f>
        <v>NO APLICA</v>
      </c>
      <c r="EF39" s="16" t="str">
        <f>IF(ED39="SI",VLOOKUP(A39,'5 TD'!$P$2:$Q$479,2,0),"NO APLICA")</f>
        <v>NO APLICA</v>
      </c>
      <c r="EG39" s="6" t="str">
        <f t="shared" si="32"/>
        <v>NO</v>
      </c>
      <c r="EH39" s="6">
        <f>IF(CZ39="no",0,VLOOKUP(AI39,EXPERIENCIA!$A$1:$C$2100,2,0))</f>
        <v>17</v>
      </c>
      <c r="EI39" s="6">
        <f>IF(CZ39="si",VLOOKUP(A39,'5 TD'!$S$3:$T$2103,2,0),0)</f>
        <v>125</v>
      </c>
      <c r="EJ39" s="6" t="str">
        <f t="shared" si="33"/>
        <v>NO</v>
      </c>
      <c r="EK39" s="6">
        <f>+('3 Planilla Preadjudicación OTIC'!BW40)</f>
        <v>0</v>
      </c>
    </row>
    <row r="40" spans="1:146" s="7" customFormat="1" ht="12.75" x14ac:dyDescent="0.2">
      <c r="A40" s="6">
        <f>+('3 Planilla Preadjudicación OTIC'!A40)</f>
        <v>14279</v>
      </c>
      <c r="B40" s="6" t="str">
        <f>+('3 Planilla Preadjudicación OTIC'!B40)</f>
        <v>SOFOFA</v>
      </c>
      <c r="C40" s="8">
        <f>+('3 Planilla Preadjudicación OTIC'!E40)</f>
        <v>2025</v>
      </c>
      <c r="D40" s="8" t="str">
        <f>+('3 Planilla Preadjudicación OTIC'!F40)</f>
        <v>MANDATO</v>
      </c>
      <c r="E40" s="8" t="str">
        <f>+('3 Planilla Preadjudicación OTIC'!G40)</f>
        <v>65181652-1</v>
      </c>
      <c r="F40" s="8" t="str">
        <f>+('3 Planilla Preadjudicación OTIC'!H40)</f>
        <v>SOFOFA</v>
      </c>
      <c r="G40" s="8" t="str">
        <f>+('3 Planilla Preadjudicación OTIC'!I40)</f>
        <v>53333861-5</v>
      </c>
      <c r="H40" s="8" t="str">
        <f>+('3 Planilla Preadjudicación OTIC'!J40)</f>
        <v>FUNDACIÓN DE BENEFICENCIA PÚBLICA, CIENTÍFICA Y EDUCACIONAL TRES HOJAS</v>
      </c>
      <c r="I40" s="8" t="str">
        <f>+('3 Planilla Preadjudicación OTIC'!K40)</f>
        <v>INTEGRACIÓN DE COMPETENCIAS ESPECIALIZADAS DE PRODUCCIÓN LECHERA, EN LA FORMACIÓN DE TÉCNICOS AGROPECUARIOS.</v>
      </c>
      <c r="J40" s="8" t="str">
        <f>+('3 Planilla Preadjudicación OTIC'!L40)</f>
        <v>SIN PLAN FORMATIVO</v>
      </c>
      <c r="K40" s="8" t="str">
        <f>+('3 Planilla Preadjudicación OTIC'!M40)</f>
        <v>APRESTO LABORAL PARA EL TRABAJO</v>
      </c>
      <c r="L40" s="8" t="str">
        <f>+('3 Planilla Preadjudicación OTIC'!N40)</f>
        <v>PF0916</v>
      </c>
      <c r="M40" s="6">
        <f>+('3 Planilla Preadjudicación OTIC'!O40)</f>
        <v>10</v>
      </c>
      <c r="N40" s="8">
        <f>+('3 Planilla Preadjudicación OTIC'!P40)</f>
        <v>0</v>
      </c>
      <c r="O40" s="8" t="str">
        <f>+('3 Planilla Preadjudicación OTIC'!Q40)</f>
        <v>FRESIA</v>
      </c>
      <c r="P40" s="8" t="str">
        <f>+('3 Planilla Preadjudicación OTIC'!R40)</f>
        <v>ESTUDIANTES DE CUARTO AÑO DE ENSEÑANZA MEDIA O DE LICEOS TÉCNICOS PROFESIONALES.</v>
      </c>
      <c r="Q40" s="8" t="str">
        <f>+('3 Planilla Preadjudicación OTIC'!S40)</f>
        <v>PRESENCIAL</v>
      </c>
      <c r="R40" s="8" t="str">
        <f>+('3 Planilla Preadjudicación OTIC'!T40)</f>
        <v>DEPENDIENTE</v>
      </c>
      <c r="S40" s="8" t="str">
        <f>+('3 Planilla Preadjudicación OTIC'!U40)</f>
        <v>10. JUEVES - MAÑANA</v>
      </c>
      <c r="T40" s="6">
        <f>+('3 Planilla Preadjudicación OTIC'!V40)</f>
        <v>20</v>
      </c>
      <c r="U40" s="6">
        <f>+('3 Planilla Preadjudicación OTIC'!W40)</f>
        <v>0</v>
      </c>
      <c r="V40" s="6">
        <f>+('3 Planilla Preadjudicación OTIC'!X40)</f>
        <v>0</v>
      </c>
      <c r="W40" s="6">
        <f>+('3 Planilla Preadjudicación OTIC'!Y40)</f>
        <v>224</v>
      </c>
      <c r="X40" s="6">
        <f>+('3 Planilla Preadjudicación OTIC'!Z40)</f>
        <v>8</v>
      </c>
      <c r="Y40" s="6" t="str">
        <f>+('3 Planilla Preadjudicación OTIC'!AA40)</f>
        <v>SI</v>
      </c>
      <c r="Z40" s="6" t="str">
        <f>+('3 Planilla Preadjudicación OTIC'!AB40)</f>
        <v>NO</v>
      </c>
      <c r="AA40" s="6" t="str">
        <f>+('3 Planilla Preadjudicación OTIC'!AC40)</f>
        <v>NO</v>
      </c>
      <c r="AB40" s="8" t="str">
        <f>+('3 Planilla Preadjudicación OTIC'!AD40)</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40" s="8" t="str">
        <f>+('3 Planilla Preadjudicación OTIC'!AE40)</f>
        <v>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40" s="6" t="str">
        <f>+('3 Planilla Preadjudicación OTIC'!AF40)</f>
        <v>NO</v>
      </c>
      <c r="AE40" s="8">
        <f>+('3 Planilla Preadjudicación OTIC'!AG40)</f>
        <v>0</v>
      </c>
      <c r="AF40" s="6" t="str">
        <f>+('3 Planilla Preadjudicación OTIC'!AH40)</f>
        <v>CERRADA</v>
      </c>
      <c r="AG40" s="6">
        <f>+('3 Planilla Preadjudicación OTIC'!AI40)</f>
        <v>28</v>
      </c>
      <c r="AH40" s="6">
        <f>+('3 Planilla Preadjudicación OTIC'!AJ40)</f>
        <v>3</v>
      </c>
      <c r="AI40" s="140" t="str">
        <f>+('3 Planilla Preadjudicación OTIC'!AK40)</f>
        <v>77153644-1</v>
      </c>
      <c r="AJ40" s="8" t="str">
        <f>+('3 Planilla Preadjudicación OTIC'!AL40)</f>
        <v>CAPACITACIONES SINAPSIS SPA</v>
      </c>
      <c r="AK40" s="6">
        <f>+('3 Planilla Preadjudicación OTIC'!AM40)</f>
        <v>224</v>
      </c>
      <c r="AL40" s="6">
        <f>+('3 Planilla Preadjudicación OTIC'!AN40)</f>
        <v>28</v>
      </c>
      <c r="AM40" s="16">
        <f>+('3 Planilla Preadjudicación OTIC'!AO40)</f>
        <v>6373</v>
      </c>
      <c r="AN40" s="16">
        <f>+('3 Planilla Preadjudicación OTIC'!AP40)</f>
        <v>0</v>
      </c>
      <c r="AO40" s="16">
        <f>+('3 Planilla Preadjudicación OTIC'!AQ40)</f>
        <v>0</v>
      </c>
      <c r="AP40" s="16">
        <f>+('3 Planilla Preadjudicación OTIC'!AR40)</f>
        <v>28551040</v>
      </c>
      <c r="AQ40" s="16">
        <f>+('3 Planilla Preadjudicación OTIC'!AS40)</f>
        <v>2240000</v>
      </c>
      <c r="AR40" s="16">
        <f>+('3 Planilla Preadjudicación OTIC'!AT40)</f>
        <v>0</v>
      </c>
      <c r="AS40" s="16">
        <f>+('3 Planilla Preadjudicación OTIC'!AU40)</f>
        <v>0</v>
      </c>
      <c r="AT40" s="16">
        <f>+('3 Planilla Preadjudicación OTIC'!AV40)</f>
        <v>0</v>
      </c>
      <c r="AU40" s="16">
        <f>+('3 Planilla Preadjudicación OTIC'!AW40)</f>
        <v>30791040</v>
      </c>
      <c r="AV40" s="158" t="str">
        <f>+('3 Planilla Preadjudicación OTIC'!AX40)</f>
        <v>NO</v>
      </c>
      <c r="AW40" s="8" t="str">
        <f>+('3 Planilla Preadjudicación OTIC'!AY40)</f>
        <v>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40" s="6">
        <f>+('3 Planilla Preadjudicación OTIC'!AZ40)</f>
        <v>0</v>
      </c>
      <c r="AY40" s="6">
        <f>+('3 Planilla Preadjudicación OTIC'!BA40)</f>
        <v>0</v>
      </c>
      <c r="AZ40" s="6">
        <f>+('3 Planilla Preadjudicación OTIC'!BB40)</f>
        <v>0</v>
      </c>
      <c r="BA40" s="6">
        <f>+('3 Planilla Preadjudicación OTIC'!BC40)</f>
        <v>0</v>
      </c>
      <c r="BB40" s="6">
        <f>+('3 Planilla Preadjudicación OTIC'!BD40)</f>
        <v>0</v>
      </c>
      <c r="BC40" s="6">
        <f>+('3 Planilla Preadjudicación OTIC'!BE40)</f>
        <v>0</v>
      </c>
      <c r="BD40" s="6">
        <f>+('3 Planilla Preadjudicación OTIC'!BF40)</f>
        <v>0</v>
      </c>
      <c r="BE40" s="6">
        <f>+('3 Planilla Preadjudicación OTIC'!BG40)</f>
        <v>0</v>
      </c>
      <c r="BF40" s="6">
        <f>+('3 Planilla Preadjudicación OTIC'!BH40)</f>
        <v>0</v>
      </c>
      <c r="BG40" s="6">
        <f>+('3 Planilla Preadjudicación OTIC'!BI40)</f>
        <v>0</v>
      </c>
      <c r="BH40" s="6">
        <f>+('3 Planilla Preadjudicación OTIC'!BJ40)</f>
        <v>0</v>
      </c>
      <c r="BI40" s="6">
        <f>+('3 Planilla Preadjudicación OTIC'!BK40)</f>
        <v>0</v>
      </c>
      <c r="BJ40" s="6">
        <f>+('3 Planilla Preadjudicación OTIC'!BL40)</f>
        <v>0</v>
      </c>
      <c r="BK40" s="6">
        <f>+('3 Planilla Preadjudicación OTIC'!BM40)</f>
        <v>0</v>
      </c>
      <c r="BL40" s="6">
        <f>+('3 Planilla Preadjudicación OTIC'!BN40)</f>
        <v>0</v>
      </c>
      <c r="BM40" s="108">
        <f>ROUND(('3 Planilla Preadjudicación OTIC'!BO40),1)</f>
        <v>0</v>
      </c>
      <c r="BN40" s="8" t="str">
        <f>+('3 Planilla Preadjudicación OTIC'!BP40)</f>
        <v>NO</v>
      </c>
      <c r="BO40" s="8" t="str">
        <f>+('3 Planilla Preadjudicación OTIC'!BQ40)</f>
        <v>CAROLINA ANDREA GONZALEZ MIRANDA</v>
      </c>
      <c r="BP40" s="8" t="str">
        <f>+('3 Planilla Preadjudicación OTIC'!BR40)</f>
        <v>c.gonzalez.miranda8@gmail.com</v>
      </c>
      <c r="BQ40" s="8">
        <f>+('3 Planilla Preadjudicación OTIC'!BS40)</f>
        <v>979296762</v>
      </c>
      <c r="BR40" s="8" t="str">
        <f>+('3 Planilla Preadjudicación OTIC'!BT40)</f>
        <v>El Jardín S/N, Fresia, Fresia</v>
      </c>
      <c r="BS40" s="8">
        <f>+('3 Planilla Preadjudicación OTIC'!BU40)</f>
        <v>0</v>
      </c>
      <c r="BT40" s="8">
        <f>+('3 Planilla Preadjudicación OTIC'!BV40)</f>
        <v>0</v>
      </c>
      <c r="BU40" s="89">
        <f>IF(VLOOKUP(A40,'BD OFICIAL'!$A$1:$AL$2099,7,0)=D40,0,1)</f>
        <v>0</v>
      </c>
      <c r="BV40" s="89">
        <f>IF(VLOOKUP(A40,'BD OFICIAL'!$A$1:$AL$2099,11,0)=J40,0,1)</f>
        <v>0</v>
      </c>
      <c r="BW40" s="89">
        <f>IF(VLOOKUP(A40,'BD OFICIAL'!$A$1:$AL$2099,13,0)=L40,0,1)</f>
        <v>0</v>
      </c>
      <c r="BX40" s="6">
        <f>IF(VLOOKUP(A40,'BD OFICIAL'!$A$1:$AL$2099,16,0)=O40,0,1)</f>
        <v>0</v>
      </c>
      <c r="BY40" s="6">
        <f>IF(VLOOKUP(A40,'BD OFICIAL'!$A$1:$AL$2099,17,0)=P40,0,1)</f>
        <v>0</v>
      </c>
      <c r="BZ40" s="6">
        <f>IF(VLOOKUP(A40,'BD OFICIAL'!$A$1:$AL$2099,19,0)=R40,0,1)</f>
        <v>0</v>
      </c>
      <c r="CA40" s="6">
        <f>IF(VLOOKUP(A40,'BD OFICIAL'!$A$1:$AL$2099,21,0)=T40,0,1)</f>
        <v>0</v>
      </c>
      <c r="CB40" s="6">
        <f>IF(VLOOKUP(A40,'BD OFICIAL'!$A$1:$AL$2099,24,0)=AK40,0,1)</f>
        <v>0</v>
      </c>
      <c r="CC40" s="6">
        <f>IF(VLOOKUP(A40,'BD OFICIAL'!$A$1:$AL$2099,25,0)=X40,0,1)</f>
        <v>0</v>
      </c>
      <c r="CD40" s="6">
        <f>IF(VLOOKUP(A40,'BD OFICIAL'!$A$1:$AL$2099,26,0)=Y40,0,1)</f>
        <v>0</v>
      </c>
      <c r="CE40" s="6">
        <f>IF(VLOOKUP(A40,'BD OFICIAL'!$A$1:$AL$2099,27,0)=Z40,0,1)</f>
        <v>0</v>
      </c>
      <c r="CF40" s="6">
        <f>IF(VLOOKUP(A40,'BD OFICIAL'!$A$1:$AL$2099,28,0)=AA40,0,1)</f>
        <v>0</v>
      </c>
      <c r="CG40" s="6">
        <f>IF(VLOOKUP(A40,'BD OFICIAL'!$A$1:$AL$2099,33,0)=AF40,0,1)</f>
        <v>0</v>
      </c>
      <c r="CH40" s="6">
        <f>IF(VLOOKUP(A40,'BD OFICIAL'!$A$1:$AL$2099,35,0)=AH40,0,1)</f>
        <v>0</v>
      </c>
      <c r="CI40" s="89">
        <f>IF(VLOOKUP(A40,'BD OFICIAL'!$A$1:$AL$2099,34,0)=AL40,0,1)</f>
        <v>0</v>
      </c>
      <c r="CJ40" s="89">
        <f>VLOOKUP(A40,'BD OFICIAL'!$A$1:$AM$2099,36,0)*AM40-AP40</f>
        <v>0</v>
      </c>
      <c r="CK40" s="89" t="str">
        <f t="shared" si="0"/>
        <v>SSH</v>
      </c>
      <c r="CL40" s="89" t="str">
        <f t="shared" si="1"/>
        <v>NO</v>
      </c>
      <c r="CM40" s="89" t="str">
        <f t="shared" si="2"/>
        <v>NO</v>
      </c>
      <c r="CN40" s="35">
        <f t="shared" si="3"/>
        <v>0</v>
      </c>
      <c r="CO40" s="35">
        <f t="shared" si="19"/>
        <v>0</v>
      </c>
      <c r="CP40" s="35">
        <f t="shared" si="20"/>
        <v>0</v>
      </c>
      <c r="CQ40" s="35">
        <f>IF(VLOOKUP(A40,'BD OFICIAL'!$A:$AT,40,0)=AQ40,0,1)</f>
        <v>0</v>
      </c>
      <c r="CR40" s="35">
        <f>IF(VLOOKUP(A40,'BD OFICIAL'!$A:$AT,41,0)=AS40,0,1)</f>
        <v>0</v>
      </c>
      <c r="CS40" s="35">
        <f t="shared" si="21"/>
        <v>0</v>
      </c>
      <c r="CT40" s="35">
        <f t="shared" si="4"/>
        <v>0</v>
      </c>
      <c r="CU40" s="35">
        <f>IF(VLOOKUP(A40,'BD OFICIAL'!$A$1:$AL$1057,31,0)="SI",IF(AT40&gt;0,0,1),IF(AT40=0,0,1))</f>
        <v>0</v>
      </c>
      <c r="CV40" s="35">
        <f t="shared" si="5"/>
        <v>0</v>
      </c>
      <c r="CW40" s="35">
        <f t="shared" si="6"/>
        <v>0</v>
      </c>
      <c r="CX40" s="89" t="str">
        <f t="shared" si="7"/>
        <v>NO</v>
      </c>
      <c r="CY40" s="35">
        <f t="shared" si="8"/>
        <v>0</v>
      </c>
      <c r="CZ40" s="89" t="str">
        <f>IF(ISERROR(VLOOKUP(AI40,EXPERIENCIA!$A$1:$C$2100,1,0)),"NO","SI")</f>
        <v>NO</v>
      </c>
      <c r="DA40" s="89" t="str">
        <f>IF(CX40="no","NO APLICA",IF(AX40=0,"ERROR NOTA",IF(AND(AX40&gt;1,CZ40="NO"),"ERROR NOTA",IF(AND(CZ40="NO",AX40=1),0,IF(VLOOKUP(AI40,EXPERIENCIA!$A$1:$C$2100,3,0)=AX40,0,"ERROR NOTA")))))</f>
        <v>NO APLICA</v>
      </c>
      <c r="DB40" s="89" t="str">
        <f>IF(ISERROR(VLOOKUP(AI40,COMPORTAMIENTO!$A$1:$C$2100,1,0)),"NO","SI")</f>
        <v>NO</v>
      </c>
      <c r="DC40" s="89" t="str">
        <f>IF(CX40="NO","NO APLICA",IF(AY40=0,"ERROR NOTA",IF(AND(DB40="NO",AY40=7),0,IF(VLOOKUP(AI40,COMPORTAMIENTO!$A$2:$H$2100,8,0)=AY40,0,"ERROR NOTA"))))</f>
        <v>NO APLICA</v>
      </c>
      <c r="DD40" s="108" t="str">
        <f t="shared" si="9"/>
        <v>NO APLICA</v>
      </c>
      <c r="DE40" s="108" t="str">
        <f t="shared" si="10"/>
        <v>NO APLICA</v>
      </c>
      <c r="DF40" s="89" t="str">
        <f t="shared" si="22"/>
        <v>NO</v>
      </c>
      <c r="DG40" s="89">
        <f t="shared" si="11"/>
        <v>0</v>
      </c>
      <c r="DH40" s="89">
        <f t="shared" si="12"/>
        <v>0</v>
      </c>
      <c r="DI40" s="89" t="str">
        <f t="shared" si="23"/>
        <v>NO APLICA</v>
      </c>
      <c r="DJ40" s="16" t="str">
        <f t="shared" si="35"/>
        <v>NO APLICA</v>
      </c>
      <c r="DK40" s="11" t="str">
        <f t="shared" si="24"/>
        <v>NO APLICA</v>
      </c>
      <c r="DL40" s="16">
        <f t="shared" si="36"/>
        <v>6373</v>
      </c>
      <c r="DM40" s="16">
        <f>VLOOKUP(A40,'5 TD'!$A$3:$B$35,2,0)</f>
        <v>7434</v>
      </c>
      <c r="DN40" s="11" t="str">
        <f t="shared" si="25"/>
        <v>NO APLICA</v>
      </c>
      <c r="DO40" s="89" t="str">
        <f t="shared" si="26"/>
        <v>NO APLICA</v>
      </c>
      <c r="DP40" s="89" t="str">
        <f t="shared" si="27"/>
        <v>NO APLICA</v>
      </c>
      <c r="DQ40" s="11" t="str">
        <f t="shared" si="28"/>
        <v>NO APLICA</v>
      </c>
      <c r="DR40" s="89" t="str">
        <f t="shared" si="29"/>
        <v>NO APLICA</v>
      </c>
      <c r="DS40" s="6" t="str">
        <f>+('3 Planilla Preadjudicación OTIC'!BP41)</f>
        <v>NO</v>
      </c>
      <c r="DT40" s="6" t="str">
        <f>IF(DR40="APROBADO",VLOOKUP(A40,'5 TD'!$D$3:$E$270,2,0),"NO APLICA")</f>
        <v>NO APLICA</v>
      </c>
      <c r="DU40" s="6" t="str">
        <f t="shared" si="30"/>
        <v>NO APLICA</v>
      </c>
      <c r="DV40" s="6" t="str">
        <f>IF(DU40="SI",VLOOKUP(A40,'5 TD'!$G$3:$H$270,2,0),"NO APLICA ")</f>
        <v xml:space="preserve">NO APLICA </v>
      </c>
      <c r="DW40" s="6" t="str">
        <f t="shared" si="34"/>
        <v>NO</v>
      </c>
      <c r="DX40" s="6" t="str">
        <f>IF(DW40="SI",VLOOKUP(A40,'5 TD'!$J$4:$K$472,2,0),"NO APLICA")</f>
        <v>NO APLICA</v>
      </c>
      <c r="DY40" s="6" t="str">
        <f t="shared" si="37"/>
        <v>NO APLICA</v>
      </c>
      <c r="DZ40" s="11" t="str">
        <f>IF(DY40="SI",VLOOKUP(A40,'5 TD'!$M$4:$N$350,2,0),"NO APLICA")</f>
        <v>NO APLICA</v>
      </c>
      <c r="EA40" s="6" t="str">
        <f t="shared" si="38"/>
        <v>NO APLICA</v>
      </c>
      <c r="EB40" s="16" t="str">
        <f t="shared" si="39"/>
        <v/>
      </c>
      <c r="EC40" s="16" t="str">
        <f>IF(EA40="SI",VLOOKUP(A40,'5 TD'!$V$4:$W$479,2,0),"NO APLICA")</f>
        <v>NO APLICA</v>
      </c>
      <c r="ED40" s="6" t="str">
        <f t="shared" si="31"/>
        <v>NO</v>
      </c>
      <c r="EE40" s="83" t="str">
        <f>IF(ED40="SI",VLOOKUP(AI40,COMPORTAMIENTO!$A$1:$H$2100,7,0),"NO APLICA")</f>
        <v>NO APLICA</v>
      </c>
      <c r="EF40" s="16" t="str">
        <f>IF(ED40="SI",VLOOKUP(A40,'5 TD'!$P$2:$Q$479,2,0),"NO APLICA")</f>
        <v>NO APLICA</v>
      </c>
      <c r="EG40" s="6" t="str">
        <f t="shared" si="32"/>
        <v>NO</v>
      </c>
      <c r="EH40" s="6">
        <f>IF(CZ40="no",0,VLOOKUP(AI40,EXPERIENCIA!$A$1:$C$2100,2,0))</f>
        <v>0</v>
      </c>
      <c r="EI40" s="6">
        <f>IF(CZ40="si",VLOOKUP(A40,'5 TD'!$S$3:$T$2103,2,0),0)</f>
        <v>0</v>
      </c>
      <c r="EJ40" s="6" t="str">
        <f t="shared" si="33"/>
        <v>SI</v>
      </c>
      <c r="EK40" s="6">
        <f>+('3 Planilla Preadjudicación OTIC'!BW41)</f>
        <v>0</v>
      </c>
    </row>
    <row r="41" spans="1:146" s="7" customFormat="1" ht="12.75" x14ac:dyDescent="0.2">
      <c r="A41" s="6">
        <f>+('3 Planilla Preadjudicación OTIC'!A41)</f>
        <v>14281</v>
      </c>
      <c r="B41" s="6" t="str">
        <f>+('3 Planilla Preadjudicación OTIC'!B41)</f>
        <v>SOFOFA</v>
      </c>
      <c r="C41" s="8">
        <f>+('3 Planilla Preadjudicación OTIC'!E41)</f>
        <v>2025</v>
      </c>
      <c r="D41" s="8" t="str">
        <f>+('3 Planilla Preadjudicación OTIC'!F41)</f>
        <v>MANDATO</v>
      </c>
      <c r="E41" s="8" t="str">
        <f>+('3 Planilla Preadjudicación OTIC'!G41)</f>
        <v>65181652-1</v>
      </c>
      <c r="F41" s="8" t="str">
        <f>+('3 Planilla Preadjudicación OTIC'!H41)</f>
        <v>SOFOFA</v>
      </c>
      <c r="G41" s="8" t="str">
        <f>+('3 Planilla Preadjudicación OTIC'!I41)</f>
        <v>53333861-5</v>
      </c>
      <c r="H41" s="8" t="str">
        <f>+('3 Planilla Preadjudicación OTIC'!J41)</f>
        <v>FUNDACIÓN DE BENEFICENCIA PÚBLICA, CIENTÍFICA Y EDUCACIONAL TRES HOJAS</v>
      </c>
      <c r="I41" s="8" t="str">
        <f>+('3 Planilla Preadjudicación OTIC'!K41)</f>
        <v>INTEGRACIÓN DE COMPETENCIAS ESPECIALIZADAS DE PRODUCCIÓN LECHERA, EN LA FORMACIÓN DE TÉCNICOS AGROPECUARIOS.</v>
      </c>
      <c r="J41" s="8" t="str">
        <f>+('3 Planilla Preadjudicación OTIC'!L41)</f>
        <v>SIN PLAN FORMATIVO</v>
      </c>
      <c r="K41" s="8" t="str">
        <f>+('3 Planilla Preadjudicación OTIC'!M41)</f>
        <v>APRESTO LABORAL PARA EL TRABAJO</v>
      </c>
      <c r="L41" s="8" t="str">
        <f>+('3 Planilla Preadjudicación OTIC'!N41)</f>
        <v>PF0916</v>
      </c>
      <c r="M41" s="6">
        <f>+('3 Planilla Preadjudicación OTIC'!O41)</f>
        <v>10</v>
      </c>
      <c r="N41" s="8">
        <f>+('3 Planilla Preadjudicación OTIC'!P41)</f>
        <v>0</v>
      </c>
      <c r="O41" s="8" t="str">
        <f>+('3 Planilla Preadjudicación OTIC'!Q41)</f>
        <v>OSORNO</v>
      </c>
      <c r="P41" s="8" t="str">
        <f>+('3 Planilla Preadjudicación OTIC'!R41)</f>
        <v>ESTUDIANTES DE CUARTO AÑO DE ENSEÑANZA MEDIA O DE LICEOS TÉCNICOS PROFESIONALES.</v>
      </c>
      <c r="Q41" s="8" t="str">
        <f>+('3 Planilla Preadjudicación OTIC'!S41)</f>
        <v>PRESENCIAL</v>
      </c>
      <c r="R41" s="8" t="str">
        <f>+('3 Planilla Preadjudicación OTIC'!T41)</f>
        <v>DEPENDIENTE</v>
      </c>
      <c r="S41" s="8" t="str">
        <f>+('3 Planilla Preadjudicación OTIC'!U41)</f>
        <v>07. MIÉRCOLES - MAÑANA</v>
      </c>
      <c r="T41" s="6">
        <f>+('3 Planilla Preadjudicación OTIC'!V41)</f>
        <v>20</v>
      </c>
      <c r="U41" s="6">
        <f>+('3 Planilla Preadjudicación OTIC'!W41)</f>
        <v>0</v>
      </c>
      <c r="V41" s="6">
        <f>+('3 Planilla Preadjudicación OTIC'!X41)</f>
        <v>0</v>
      </c>
      <c r="W41" s="6">
        <f>+('3 Planilla Preadjudicación OTIC'!Y41)</f>
        <v>224</v>
      </c>
      <c r="X41" s="6">
        <f>+('3 Planilla Preadjudicación OTIC'!Z41)</f>
        <v>8</v>
      </c>
      <c r="Y41" s="6" t="str">
        <f>+('3 Planilla Preadjudicación OTIC'!AA41)</f>
        <v>SI</v>
      </c>
      <c r="Z41" s="6" t="str">
        <f>+('3 Planilla Preadjudicación OTIC'!AB41)</f>
        <v>NO</v>
      </c>
      <c r="AA41" s="6" t="str">
        <f>+('3 Planilla Preadjudicación OTIC'!AC41)</f>
        <v>NO</v>
      </c>
      <c r="AB41" s="8" t="str">
        <f>+('3 Planilla Preadjudicación OTIC'!AD41)</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41" s="8" t="str">
        <f>+('3 Planilla Preadjudicación OTIC'!AE41)</f>
        <v>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41" s="6" t="str">
        <f>+('3 Planilla Preadjudicación OTIC'!AF41)</f>
        <v>NO</v>
      </c>
      <c r="AE41" s="8">
        <f>+('3 Planilla Preadjudicación OTIC'!AG41)</f>
        <v>0</v>
      </c>
      <c r="AF41" s="6" t="str">
        <f>+('3 Planilla Preadjudicación OTIC'!AH41)</f>
        <v>CERRADA</v>
      </c>
      <c r="AG41" s="6">
        <f>+('3 Planilla Preadjudicación OTIC'!AI41)</f>
        <v>28</v>
      </c>
      <c r="AH41" s="6">
        <f>+('3 Planilla Preadjudicación OTIC'!AJ41)</f>
        <v>3</v>
      </c>
      <c r="AI41" s="140" t="str">
        <f>+('3 Planilla Preadjudicación OTIC'!AK41)</f>
        <v>77153644-1</v>
      </c>
      <c r="AJ41" s="8" t="str">
        <f>+('3 Planilla Preadjudicación OTIC'!AL41)</f>
        <v>CAPACITACIONES SINAPSIS SPA</v>
      </c>
      <c r="AK41" s="6">
        <f>+('3 Planilla Preadjudicación OTIC'!AM41)</f>
        <v>224</v>
      </c>
      <c r="AL41" s="6">
        <f>+('3 Planilla Preadjudicación OTIC'!AN41)</f>
        <v>28</v>
      </c>
      <c r="AM41" s="16">
        <f>+('3 Planilla Preadjudicación OTIC'!AO41)</f>
        <v>6373</v>
      </c>
      <c r="AN41" s="16">
        <f>+('3 Planilla Preadjudicación OTIC'!AP41)</f>
        <v>0</v>
      </c>
      <c r="AO41" s="16">
        <f>+('3 Planilla Preadjudicación OTIC'!AQ41)</f>
        <v>0</v>
      </c>
      <c r="AP41" s="16">
        <f>+('3 Planilla Preadjudicación OTIC'!AR41)</f>
        <v>28551040</v>
      </c>
      <c r="AQ41" s="16">
        <f>+('3 Planilla Preadjudicación OTIC'!AS41)</f>
        <v>2240000</v>
      </c>
      <c r="AR41" s="16">
        <f>+('3 Planilla Preadjudicación OTIC'!AT41)</f>
        <v>0</v>
      </c>
      <c r="AS41" s="16">
        <f>+('3 Planilla Preadjudicación OTIC'!AU41)</f>
        <v>0</v>
      </c>
      <c r="AT41" s="16">
        <f>+('3 Planilla Preadjudicación OTIC'!AV41)</f>
        <v>0</v>
      </c>
      <c r="AU41" s="16">
        <f>+('3 Planilla Preadjudicación OTIC'!AW41)</f>
        <v>30791040</v>
      </c>
      <c r="AV41" s="158" t="str">
        <f>+('3 Planilla Preadjudicación OTIC'!AX41)</f>
        <v>NO</v>
      </c>
      <c r="AW41" s="8" t="str">
        <f>+('3 Planilla Preadjudicación OTIC'!AY41)</f>
        <v>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41" s="6">
        <f>+('3 Planilla Preadjudicación OTIC'!AZ41)</f>
        <v>0</v>
      </c>
      <c r="AY41" s="6">
        <f>+('3 Planilla Preadjudicación OTIC'!BA41)</f>
        <v>0</v>
      </c>
      <c r="AZ41" s="6">
        <f>+('3 Planilla Preadjudicación OTIC'!BB41)</f>
        <v>0</v>
      </c>
      <c r="BA41" s="6">
        <f>+('3 Planilla Preadjudicación OTIC'!BC41)</f>
        <v>0</v>
      </c>
      <c r="BB41" s="6">
        <f>+('3 Planilla Preadjudicación OTIC'!BD41)</f>
        <v>0</v>
      </c>
      <c r="BC41" s="6">
        <f>+('3 Planilla Preadjudicación OTIC'!BE41)</f>
        <v>0</v>
      </c>
      <c r="BD41" s="6">
        <f>+('3 Planilla Preadjudicación OTIC'!BF41)</f>
        <v>0</v>
      </c>
      <c r="BE41" s="6">
        <f>+('3 Planilla Preadjudicación OTIC'!BG41)</f>
        <v>0</v>
      </c>
      <c r="BF41" s="6">
        <f>+('3 Planilla Preadjudicación OTIC'!BH41)</f>
        <v>0</v>
      </c>
      <c r="BG41" s="6">
        <f>+('3 Planilla Preadjudicación OTIC'!BI41)</f>
        <v>0</v>
      </c>
      <c r="BH41" s="6">
        <f>+('3 Planilla Preadjudicación OTIC'!BJ41)</f>
        <v>0</v>
      </c>
      <c r="BI41" s="6">
        <f>+('3 Planilla Preadjudicación OTIC'!BK41)</f>
        <v>0</v>
      </c>
      <c r="BJ41" s="6">
        <f>+('3 Planilla Preadjudicación OTIC'!BL41)</f>
        <v>0</v>
      </c>
      <c r="BK41" s="6">
        <f>+('3 Planilla Preadjudicación OTIC'!BM41)</f>
        <v>0</v>
      </c>
      <c r="BL41" s="6">
        <f>+('3 Planilla Preadjudicación OTIC'!BN41)</f>
        <v>0</v>
      </c>
      <c r="BM41" s="108">
        <f>ROUND(('3 Planilla Preadjudicación OTIC'!BO41),1)</f>
        <v>0</v>
      </c>
      <c r="BN41" s="8" t="str">
        <f>+('3 Planilla Preadjudicación OTIC'!BP41)</f>
        <v>NO</v>
      </c>
      <c r="BO41" s="8" t="str">
        <f>+('3 Planilla Preadjudicación OTIC'!BQ41)</f>
        <v>CAROLINA ANDREA GONZALEZ MIRANDA</v>
      </c>
      <c r="BP41" s="8" t="str">
        <f>+('3 Planilla Preadjudicación OTIC'!BR41)</f>
        <v>c.gonzalez.miranda8@gmail.com</v>
      </c>
      <c r="BQ41" s="8">
        <f>+('3 Planilla Preadjudicación OTIC'!BS41)</f>
        <v>979296762</v>
      </c>
      <c r="BR41" s="8" t="str">
        <f>+('3 Planilla Preadjudicación OTIC'!BT41)</f>
        <v>Amengual 585, Osorno, Osorno</v>
      </c>
      <c r="BS41" s="8">
        <f>+('3 Planilla Preadjudicación OTIC'!BU41)</f>
        <v>0</v>
      </c>
      <c r="BT41" s="8">
        <f>+('3 Planilla Preadjudicación OTIC'!BV41)</f>
        <v>0</v>
      </c>
      <c r="BU41" s="89">
        <f>IF(VLOOKUP(A41,'BD OFICIAL'!$A$1:$AL$2099,7,0)=D41,0,1)</f>
        <v>0</v>
      </c>
      <c r="BV41" s="89">
        <f>IF(VLOOKUP(A41,'BD OFICIAL'!$A$1:$AL$2099,11,0)=J41,0,1)</f>
        <v>0</v>
      </c>
      <c r="BW41" s="89">
        <f>IF(VLOOKUP(A41,'BD OFICIAL'!$A$1:$AL$2099,13,0)=L41,0,1)</f>
        <v>0</v>
      </c>
      <c r="BX41" s="6">
        <f>IF(VLOOKUP(A41,'BD OFICIAL'!$A$1:$AL$2099,16,0)=O41,0,1)</f>
        <v>0</v>
      </c>
      <c r="BY41" s="6">
        <f>IF(VLOOKUP(A41,'BD OFICIAL'!$A$1:$AL$2099,17,0)=P41,0,1)</f>
        <v>0</v>
      </c>
      <c r="BZ41" s="6">
        <f>IF(VLOOKUP(A41,'BD OFICIAL'!$A$1:$AL$2099,19,0)=R41,0,1)</f>
        <v>0</v>
      </c>
      <c r="CA41" s="6">
        <f>IF(VLOOKUP(A41,'BD OFICIAL'!$A$1:$AL$2099,21,0)=T41,0,1)</f>
        <v>0</v>
      </c>
      <c r="CB41" s="6">
        <f>IF(VLOOKUP(A41,'BD OFICIAL'!$A$1:$AL$2099,24,0)=AK41,0,1)</f>
        <v>0</v>
      </c>
      <c r="CC41" s="6">
        <f>IF(VLOOKUP(A41,'BD OFICIAL'!$A$1:$AL$2099,25,0)=X41,0,1)</f>
        <v>0</v>
      </c>
      <c r="CD41" s="6">
        <f>IF(VLOOKUP(A41,'BD OFICIAL'!$A$1:$AL$2099,26,0)=Y41,0,1)</f>
        <v>0</v>
      </c>
      <c r="CE41" s="6">
        <f>IF(VLOOKUP(A41,'BD OFICIAL'!$A$1:$AL$2099,27,0)=Z41,0,1)</f>
        <v>0</v>
      </c>
      <c r="CF41" s="6">
        <f>IF(VLOOKUP(A41,'BD OFICIAL'!$A$1:$AL$2099,28,0)=AA41,0,1)</f>
        <v>0</v>
      </c>
      <c r="CG41" s="6">
        <f>IF(VLOOKUP(A41,'BD OFICIAL'!$A$1:$AL$2099,33,0)=AF41,0,1)</f>
        <v>0</v>
      </c>
      <c r="CH41" s="6">
        <f>IF(VLOOKUP(A41,'BD OFICIAL'!$A$1:$AL$2099,35,0)=AH41,0,1)</f>
        <v>0</v>
      </c>
      <c r="CI41" s="89">
        <f>IF(VLOOKUP(A41,'BD OFICIAL'!$A$1:$AL$2099,34,0)=AL41,0,1)</f>
        <v>0</v>
      </c>
      <c r="CJ41" s="89">
        <f>VLOOKUP(A41,'BD OFICIAL'!$A$1:$AM$2099,36,0)*AM41-AP41</f>
        <v>0</v>
      </c>
      <c r="CK41" s="89" t="str">
        <f t="shared" si="0"/>
        <v>SSH</v>
      </c>
      <c r="CL41" s="89" t="str">
        <f t="shared" si="1"/>
        <v>NO</v>
      </c>
      <c r="CM41" s="89" t="str">
        <f t="shared" si="2"/>
        <v>NO</v>
      </c>
      <c r="CN41" s="35">
        <f t="shared" si="3"/>
        <v>0</v>
      </c>
      <c r="CO41" s="35">
        <f t="shared" si="19"/>
        <v>0</v>
      </c>
      <c r="CP41" s="35">
        <f t="shared" si="20"/>
        <v>0</v>
      </c>
      <c r="CQ41" s="35">
        <f>IF(VLOOKUP(A41,'BD OFICIAL'!$A:$AT,40,0)=AQ41,0,1)</f>
        <v>0</v>
      </c>
      <c r="CR41" s="35">
        <f>IF(VLOOKUP(A41,'BD OFICIAL'!$A:$AT,41,0)=AS41,0,1)</f>
        <v>0</v>
      </c>
      <c r="CS41" s="35">
        <f t="shared" si="21"/>
        <v>0</v>
      </c>
      <c r="CT41" s="35">
        <f t="shared" si="4"/>
        <v>0</v>
      </c>
      <c r="CU41" s="35">
        <f>IF(VLOOKUP(A41,'BD OFICIAL'!$A$1:$AL$1057,31,0)="SI",IF(AT41&gt;0,0,1),IF(AT41=0,0,1))</f>
        <v>0</v>
      </c>
      <c r="CV41" s="35">
        <f t="shared" si="5"/>
        <v>0</v>
      </c>
      <c r="CW41" s="35">
        <f t="shared" si="6"/>
        <v>0</v>
      </c>
      <c r="CX41" s="89" t="str">
        <f t="shared" si="7"/>
        <v>NO</v>
      </c>
      <c r="CY41" s="35">
        <f t="shared" si="8"/>
        <v>0</v>
      </c>
      <c r="CZ41" s="89" t="str">
        <f>IF(ISERROR(VLOOKUP(AI41,EXPERIENCIA!$A$1:$C$2100,1,0)),"NO","SI")</f>
        <v>NO</v>
      </c>
      <c r="DA41" s="89" t="str">
        <f>IF(CX41="no","NO APLICA",IF(AX41=0,"ERROR NOTA",IF(AND(AX41&gt;1,CZ41="NO"),"ERROR NOTA",IF(AND(CZ41="NO",AX41=1),0,IF(VLOOKUP(AI41,EXPERIENCIA!$A$1:$C$2100,3,0)=AX41,0,"ERROR NOTA")))))</f>
        <v>NO APLICA</v>
      </c>
      <c r="DB41" s="89" t="str">
        <f>IF(ISERROR(VLOOKUP(AI41,COMPORTAMIENTO!$A$1:$C$2100,1,0)),"NO","SI")</f>
        <v>NO</v>
      </c>
      <c r="DC41" s="89" t="str">
        <f>IF(CX41="NO","NO APLICA",IF(AY41=0,"ERROR NOTA",IF(AND(DB41="NO",AY41=7),0,IF(VLOOKUP(AI41,COMPORTAMIENTO!$A$2:$H$2100,8,0)=AY41,0,"ERROR NOTA"))))</f>
        <v>NO APLICA</v>
      </c>
      <c r="DD41" s="108" t="str">
        <f t="shared" si="9"/>
        <v>NO APLICA</v>
      </c>
      <c r="DE41" s="108" t="str">
        <f t="shared" si="10"/>
        <v>NO APLICA</v>
      </c>
      <c r="DF41" s="89" t="str">
        <f t="shared" si="22"/>
        <v>NO</v>
      </c>
      <c r="DG41" s="89">
        <f t="shared" si="11"/>
        <v>0</v>
      </c>
      <c r="DH41" s="89">
        <f t="shared" si="12"/>
        <v>0</v>
      </c>
      <c r="DI41" s="89" t="str">
        <f t="shared" si="23"/>
        <v>NO APLICA</v>
      </c>
      <c r="DJ41" s="16" t="str">
        <f t="shared" si="35"/>
        <v>NO APLICA</v>
      </c>
      <c r="DK41" s="11" t="str">
        <f t="shared" si="24"/>
        <v>NO APLICA</v>
      </c>
      <c r="DL41" s="16">
        <f t="shared" si="36"/>
        <v>6373</v>
      </c>
      <c r="DM41" s="16">
        <f>VLOOKUP(A41,'5 TD'!$A$3:$B$35,2,0)</f>
        <v>7434</v>
      </c>
      <c r="DN41" s="11" t="str">
        <f t="shared" si="25"/>
        <v>NO APLICA</v>
      </c>
      <c r="DO41" s="89" t="str">
        <f t="shared" si="26"/>
        <v>NO APLICA</v>
      </c>
      <c r="DP41" s="89" t="str">
        <f t="shared" si="27"/>
        <v>NO APLICA</v>
      </c>
      <c r="DQ41" s="11" t="str">
        <f t="shared" si="28"/>
        <v>NO APLICA</v>
      </c>
      <c r="DR41" s="89" t="str">
        <f t="shared" si="29"/>
        <v>NO APLICA</v>
      </c>
      <c r="DS41" s="6" t="str">
        <f>+('3 Planilla Preadjudicación OTIC'!BP42)</f>
        <v>NO</v>
      </c>
      <c r="DT41" s="6" t="str">
        <f>IF(DR41="APROBADO",VLOOKUP(A41,'5 TD'!$D$3:$E$270,2,0),"NO APLICA")</f>
        <v>NO APLICA</v>
      </c>
      <c r="DU41" s="6" t="str">
        <f t="shared" si="30"/>
        <v>NO APLICA</v>
      </c>
      <c r="DV41" s="6" t="str">
        <f>IF(DU41="SI",VLOOKUP(A41,'5 TD'!$G$3:$H$270,2,0),"NO APLICA ")</f>
        <v xml:space="preserve">NO APLICA </v>
      </c>
      <c r="DW41" s="6" t="str">
        <f t="shared" si="34"/>
        <v>NO</v>
      </c>
      <c r="DX41" s="6" t="str">
        <f>IF(DW41="SI",VLOOKUP(A41,'5 TD'!$J$4:$K$472,2,0),"NO APLICA")</f>
        <v>NO APLICA</v>
      </c>
      <c r="DY41" s="6" t="str">
        <f t="shared" si="37"/>
        <v>NO APLICA</v>
      </c>
      <c r="DZ41" s="11" t="str">
        <f>IF(DY41="SI",VLOOKUP(A41,'5 TD'!$M$4:$N$350,2,0),"NO APLICA")</f>
        <v>NO APLICA</v>
      </c>
      <c r="EA41" s="6" t="str">
        <f t="shared" si="38"/>
        <v>NO APLICA</v>
      </c>
      <c r="EB41" s="16" t="str">
        <f t="shared" si="39"/>
        <v/>
      </c>
      <c r="EC41" s="16" t="str">
        <f>IF(EA41="SI",VLOOKUP(A41,'5 TD'!$V$4:$W$479,2,0),"NO APLICA")</f>
        <v>NO APLICA</v>
      </c>
      <c r="ED41" s="6" t="str">
        <f t="shared" si="31"/>
        <v>NO</v>
      </c>
      <c r="EE41" s="83" t="str">
        <f>IF(ED41="SI",VLOOKUP(AI41,COMPORTAMIENTO!$A$1:$H$2100,7,0),"NO APLICA")</f>
        <v>NO APLICA</v>
      </c>
      <c r="EF41" s="16" t="str">
        <f>IF(ED41="SI",VLOOKUP(A41,'5 TD'!$P$2:$Q$479,2,0),"NO APLICA")</f>
        <v>NO APLICA</v>
      </c>
      <c r="EG41" s="6" t="str">
        <f t="shared" si="32"/>
        <v>NO</v>
      </c>
      <c r="EH41" s="6">
        <f>IF(CZ41="no",0,VLOOKUP(AI41,EXPERIENCIA!$A$1:$C$2100,2,0))</f>
        <v>0</v>
      </c>
      <c r="EI41" s="6">
        <f>IF(CZ41="si",VLOOKUP(A41,'5 TD'!$S$3:$T$2103,2,0),0)</f>
        <v>0</v>
      </c>
      <c r="EJ41" s="6" t="str">
        <f t="shared" si="33"/>
        <v>SI</v>
      </c>
      <c r="EK41" s="6">
        <f>+('3 Planilla Preadjudicación OTIC'!BW42)</f>
        <v>0</v>
      </c>
      <c r="EL41" s="34" t="s">
        <v>2390</v>
      </c>
      <c r="EM41" s="34" t="s">
        <v>2403</v>
      </c>
    </row>
    <row r="42" spans="1:146" s="7" customFormat="1" ht="12.75" x14ac:dyDescent="0.2">
      <c r="A42" s="6">
        <f>+('3 Planilla Preadjudicación OTIC'!A42)</f>
        <v>14280</v>
      </c>
      <c r="B42" s="6" t="str">
        <f>+('3 Planilla Preadjudicación OTIC'!B42)</f>
        <v>SOFOFA</v>
      </c>
      <c r="C42" s="8">
        <f>+('3 Planilla Preadjudicación OTIC'!E42)</f>
        <v>2025</v>
      </c>
      <c r="D42" s="8" t="str">
        <f>+('3 Planilla Preadjudicación OTIC'!F42)</f>
        <v>MANDATO</v>
      </c>
      <c r="E42" s="8" t="str">
        <f>+('3 Planilla Preadjudicación OTIC'!G42)</f>
        <v>65181652-1</v>
      </c>
      <c r="F42" s="8" t="str">
        <f>+('3 Planilla Preadjudicación OTIC'!H42)</f>
        <v>SOFOFA</v>
      </c>
      <c r="G42" s="8" t="str">
        <f>+('3 Planilla Preadjudicación OTIC'!I42)</f>
        <v>53333861-5</v>
      </c>
      <c r="H42" s="8" t="str">
        <f>+('3 Planilla Preadjudicación OTIC'!J42)</f>
        <v>FUNDACIÓN DE BENEFICENCIA PÚBLICA, CIENTÍFICA Y EDUCACIONAL TRES HOJAS</v>
      </c>
      <c r="I42" s="8" t="str">
        <f>+('3 Planilla Preadjudicación OTIC'!K42)</f>
        <v>INTEGRACIÓN DE COMPETENCIAS ESPECIALIZADAS DE PRODUCCIÓN LECHERA, EN LA FORMACIÓN DE TÉCNICOS AGROPECUARIOS.</v>
      </c>
      <c r="J42" s="8" t="str">
        <f>+('3 Planilla Preadjudicación OTIC'!L42)</f>
        <v>SIN PLAN FORMATIVO</v>
      </c>
      <c r="K42" s="8" t="str">
        <f>+('3 Planilla Preadjudicación OTIC'!M42)</f>
        <v>APRESTO LABORAL PARA EL TRABAJO</v>
      </c>
      <c r="L42" s="8" t="str">
        <f>+('3 Planilla Preadjudicación OTIC'!N42)</f>
        <v>PF0916</v>
      </c>
      <c r="M42" s="6">
        <f>+('3 Planilla Preadjudicación OTIC'!O42)</f>
        <v>0</v>
      </c>
      <c r="N42" s="8">
        <f>+('3 Planilla Preadjudicación OTIC'!P42)</f>
        <v>0</v>
      </c>
      <c r="O42" s="8" t="str">
        <f>+('3 Planilla Preadjudicación OTIC'!Q42)</f>
        <v>PUYEHUE</v>
      </c>
      <c r="P42" s="8" t="str">
        <f>+('3 Planilla Preadjudicación OTIC'!R42)</f>
        <v>ESTUDIANTES DE CUARTO AÑO DE ENSEÑANZA MEDIA O DE LICEOS TÉCNICOS PROFESIONALES.</v>
      </c>
      <c r="Q42" s="8" t="str">
        <f>+('3 Planilla Preadjudicación OTIC'!S42)</f>
        <v>PRESENCIAL</v>
      </c>
      <c r="R42" s="8" t="str">
        <f>+('3 Planilla Preadjudicación OTIC'!T42)</f>
        <v>DEPENDIENTE</v>
      </c>
      <c r="S42" s="8" t="str">
        <f>+('3 Planilla Preadjudicación OTIC'!U42)</f>
        <v>04. MARTES - MAÑANA</v>
      </c>
      <c r="T42" s="6">
        <f>+('3 Planilla Preadjudicación OTIC'!V42)</f>
        <v>20</v>
      </c>
      <c r="U42" s="6">
        <f>+('3 Planilla Preadjudicación OTIC'!W42)</f>
        <v>0</v>
      </c>
      <c r="V42" s="6">
        <f>+('3 Planilla Preadjudicación OTIC'!X42)</f>
        <v>0</v>
      </c>
      <c r="W42" s="6">
        <f>+('3 Planilla Preadjudicación OTIC'!Y42)</f>
        <v>224</v>
      </c>
      <c r="X42" s="6">
        <f>+('3 Planilla Preadjudicación OTIC'!Z42)</f>
        <v>8</v>
      </c>
      <c r="Y42" s="6" t="str">
        <f>+('3 Planilla Preadjudicación OTIC'!AA42)</f>
        <v>SI</v>
      </c>
      <c r="Z42" s="6" t="str">
        <f>+('3 Planilla Preadjudicación OTIC'!AB42)</f>
        <v>NO</v>
      </c>
      <c r="AA42" s="6" t="str">
        <f>+('3 Planilla Preadjudicación OTIC'!AC42)</f>
        <v>NO</v>
      </c>
      <c r="AB42" s="8" t="str">
        <f>+('3 Planilla Preadjudicación OTIC'!AD42)</f>
        <v>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 REPRODUCTIVOS EN HEMBRAS BOVINAS
5.- EL PARTICIPANTE SERÁ CAPAZ DE APLICAR PROCEDIMIENTOS DE ATENCIÓN DE PARTOS DE ACUERDO A PROTOCOLOS DE MANEJO DE PARTOS EN HEMBRAS BOVINAS. APRENDIZAJES ESPECÍFICOS MÓDULO 5:
A) IDENTIFICAR LA IMPORTANCIA DEL PREPARTO Y MANEJOS A REALIZAR EN ESTE PERIODO.
B) RECONOCER EL DESARROLLO NORMAL DEL PARTO EN UNA HEMBRA BOVINA.
C) ANALIZAR LA PRESENTACIÓN DE UN PARTO DISTÓCICO Y REALIZAR MANIOBRAS CORRECTIVAS OPORTUNAS.
6.- EL PARTICIPANTE SERÁ CAPAZ DE APLICAR PROCEDIMIENTOS DE MANEJO DEL TERNERO RECIÉN NACIDO DE ACUERDO A PROTOCOLOS DE CRIANZA DE TERNEROS. APRENDIZAJES ESPECÍFICOS MÓDULO 6:
A) IDENTIFICAR LOS PROCEDIMIENTOS DE ATENCIÓN DE TERNEROS RECIÉN NACIDOS.
B) RECONOCER LA FUNCIÓN DEL CALOSTRO EN TERNEROS RECIÉN NACIDO.
C) ANALIZAR LA CALIDAD DEL CALOSTRO E INMUNIDAD TRANSFERIDA AL TERNERO.
D) EJECUTAR MANEJOS COMPLEMENTARIOS EN TERNEROS RECIÉN NACIDOS.
7.- EL PARTICIPANTE SERÁ CAPAZ DE APLICAR TÉCNICAS DE ALIMENTACIÓN DE TERNEROS Y ANALIZAR LA INFRAESTRUCTURA NECESARIA PARA LA CRIANZA ARTIFICIAL DE TERNEROS. APRENDIZAJES ESPECÍFICOS MÓDULO 7:
A) EL PARTICIPANTE SERÁ CAPAZ DE CONOCER LOS PRINCIPALES REQUERIMIENTOS DE ALIMENTACIÓN DE UN TERNERO DURANTE LA ETAPA DE CRIANZA EN UN SISTEMA PRODUCTIVO LECHERO.
B) EL PARTICIPANTE SERÁ CAPAZ DE OPERAR LAS PRINCIPALES ESTRATEGIAS PARA LA CORRECTA PREPARACIÓN DE UN SUSTITUTO LÁCTEO Y CORRECTA LIMPIEZA DE LOS UTENSILIOS UTILIZADOS EN LA ALIMENTACIÓN DE TERNEROS
C) EL PARTICIPANTE SERÁ CAPAZ DE APLICAR LOS ALIMENTOS LÍQUIDOS Y SÓLIDOS EN LA CRIANZA DE TERNEROS DE LECHERÍA
D) EL PARTICIPANTE SERÁ CAPAZ DE EVALUAR LOS PRINCIPALES CRITERIOS PARA EL DESTETE DE UN TERNERO DE LECHERÍA
8.- EL PARTICIPANTE SERÁ CAPAZ DE APLICAR TÉCNICAS DE AGRICULTURA REGENERATIVA ORIENTADAS A PRODUCTORES LECHEROS. APRENDIZAJES ESPECÍFICOS MÓDULO 8:
A) RECONOCER LOS CONCEPTOS GENERALES DE LA AGRICULTURA REGENERATIVA
B) APLICAR LOS CINCO PILARES DE LA AGRICULTURA REGENERATIVA
C) APLICAR ESTRATEGIAS ECONÓMICAS DE LA PRODUCCIÓN LECHERA
9.- PREVENCIÓN Y TRATAMIENTO DE PRINCIPALES ENFERMEDADES EN BOVINOS DE CARNE Y LECHE, NIVEL INICIAL. APRENDIZAJES ESPECÍFICOS MÓDULO 9:
A) RECONOCER ANIMAL SANO Y ANIMAL ENFERMO.
B) TOMAR CONSTANTES FISIOLÓGICAS DEL BOVINO.
C) INTRODUCCIÓN A LA MASTITIS: CAUSA, IDENTIFICACIÓN, PREVENCIÓN, TRATAMIENTO, REGISTRO.
D) HIPOCALCEMIA: CAUSA, IDENTIFICACIÓN, PREVENCIÓN, TRATAMIENTO, REGISTRO.
E) HIPOMAGNESEMIA: CAUSA, IDENTIFICACIÓN, PREVENCIÓN, TRATAMIENTO, REGISTRO.
F) METRITIS: CAUSA, IDENTIFICACIÓN, PREVENCIÓN, TRATAMIE</v>
      </c>
      <c r="AC42" s="8" t="str">
        <f>+('3 Planilla Preadjudicación OTIC'!AE42)</f>
        <v>JÓVENES DE IV° MEDIO DE LICEO BICENTENARIO PEOPLE HELP PEOPLE PILMAIQUÉN (PUYEHUE). ENTRE LOS REQUISITOS QUE DEBEN TENER LOS OTEC PARA PODER POSTULAR:
1 - Sala de simulación de partos con modelo a escala real de hembra bovina para partos distócicos.
2 - Acceso a predios lecheros y salas de ordeña.
3 - Acceso a predios que implementen agricultura regenerativa</v>
      </c>
      <c r="AD42" s="6" t="str">
        <f>+('3 Planilla Preadjudicación OTIC'!AF42)</f>
        <v>NO</v>
      </c>
      <c r="AE42" s="8">
        <f>+('3 Planilla Preadjudicación OTIC'!AG42)</f>
        <v>0</v>
      </c>
      <c r="AF42" s="6" t="str">
        <f>+('3 Planilla Preadjudicación OTIC'!AH42)</f>
        <v>CERRADA</v>
      </c>
      <c r="AG42" s="6">
        <f>+('3 Planilla Preadjudicación OTIC'!AI42)</f>
        <v>28</v>
      </c>
      <c r="AH42" s="6">
        <f>+('3 Planilla Preadjudicación OTIC'!AJ42)</f>
        <v>3</v>
      </c>
      <c r="AI42" s="140" t="str">
        <f>+('3 Planilla Preadjudicación OTIC'!AK42)</f>
        <v>77153644-1</v>
      </c>
      <c r="AJ42" s="8" t="str">
        <f>+('3 Planilla Preadjudicación OTIC'!AL42)</f>
        <v>CAPACITACIONES SINAPSIS SPA</v>
      </c>
      <c r="AK42" s="6">
        <f>+('3 Planilla Preadjudicación OTIC'!AM42)</f>
        <v>224</v>
      </c>
      <c r="AL42" s="6">
        <f>+('3 Planilla Preadjudicación OTIC'!AN42)</f>
        <v>28</v>
      </c>
      <c r="AM42" s="16">
        <f>+('3 Planilla Preadjudicación OTIC'!AO42)</f>
        <v>6373</v>
      </c>
      <c r="AN42" s="16">
        <f>+('3 Planilla Preadjudicación OTIC'!AP42)</f>
        <v>0</v>
      </c>
      <c r="AO42" s="16">
        <f>+('3 Planilla Preadjudicación OTIC'!AQ42)</f>
        <v>0</v>
      </c>
      <c r="AP42" s="16">
        <f>+('3 Planilla Preadjudicación OTIC'!AR42)</f>
        <v>28551040</v>
      </c>
      <c r="AQ42" s="16">
        <f>+('3 Planilla Preadjudicación OTIC'!AS42)</f>
        <v>2240000</v>
      </c>
      <c r="AR42" s="16">
        <f>+('3 Planilla Preadjudicación OTIC'!AT42)</f>
        <v>0</v>
      </c>
      <c r="AS42" s="16">
        <f>+('3 Planilla Preadjudicación OTIC'!AU42)</f>
        <v>0</v>
      </c>
      <c r="AT42" s="16">
        <f>+('3 Planilla Preadjudicación OTIC'!AV42)</f>
        <v>0</v>
      </c>
      <c r="AU42" s="16">
        <f>+('3 Planilla Preadjudicación OTIC'!AW42)</f>
        <v>30791040</v>
      </c>
      <c r="AV42" s="158" t="str">
        <f>+('3 Planilla Preadjudicación OTIC'!AX42)</f>
        <v>NO</v>
      </c>
      <c r="AW42" s="8" t="str">
        <f>+('3 Planilla Preadjudicación OTIC'!AY42)</f>
        <v>NUMERAL 6.1.2. ÍTEM 11 - NO PRESENTA REGISTRO FOTOGRÁFICO QUE PERMITA VISUALIZAR SALA DE SIMULACIÓN DE PARTOS CON MODELO A ESCALA REAL DE HEMBRA BOVINA PARA PARTOS DISTÓCICOS, ACCESO A PREDIOS LECHEROS Y SALAS DE ORDEÑA Y PREDIOS QUE IMPLEMENTEN AGRICULTURA REGENERATIVA, SEGÚN LO ESTABLECIDO EN LOS REQUISITOS DEL CURSO.</v>
      </c>
      <c r="AX42" s="6">
        <f>+('3 Planilla Preadjudicación OTIC'!AZ42)</f>
        <v>0</v>
      </c>
      <c r="AY42" s="6">
        <f>+('3 Planilla Preadjudicación OTIC'!BA42)</f>
        <v>0</v>
      </c>
      <c r="AZ42" s="6">
        <f>+('3 Planilla Preadjudicación OTIC'!BB42)</f>
        <v>0</v>
      </c>
      <c r="BA42" s="6">
        <f>+('3 Planilla Preadjudicación OTIC'!BC42)</f>
        <v>0</v>
      </c>
      <c r="BB42" s="6">
        <f>+('3 Planilla Preadjudicación OTIC'!BD42)</f>
        <v>0</v>
      </c>
      <c r="BC42" s="6">
        <f>+('3 Planilla Preadjudicación OTIC'!BE42)</f>
        <v>0</v>
      </c>
      <c r="BD42" s="6">
        <f>+('3 Planilla Preadjudicación OTIC'!BF42)</f>
        <v>0</v>
      </c>
      <c r="BE42" s="6">
        <f>+('3 Planilla Preadjudicación OTIC'!BG42)</f>
        <v>0</v>
      </c>
      <c r="BF42" s="6">
        <f>+('3 Planilla Preadjudicación OTIC'!BH42)</f>
        <v>0</v>
      </c>
      <c r="BG42" s="6">
        <f>+('3 Planilla Preadjudicación OTIC'!BI42)</f>
        <v>0</v>
      </c>
      <c r="BH42" s="6">
        <f>+('3 Planilla Preadjudicación OTIC'!BJ42)</f>
        <v>0</v>
      </c>
      <c r="BI42" s="6">
        <f>+('3 Planilla Preadjudicación OTIC'!BK42)</f>
        <v>0</v>
      </c>
      <c r="BJ42" s="6">
        <f>+('3 Planilla Preadjudicación OTIC'!BL42)</f>
        <v>0</v>
      </c>
      <c r="BK42" s="6">
        <f>+('3 Planilla Preadjudicación OTIC'!BM42)</f>
        <v>0</v>
      </c>
      <c r="BL42" s="6">
        <f>+('3 Planilla Preadjudicación OTIC'!BN42)</f>
        <v>0</v>
      </c>
      <c r="BM42" s="108">
        <f>ROUND(('3 Planilla Preadjudicación OTIC'!BO42),1)</f>
        <v>0</v>
      </c>
      <c r="BN42" s="8" t="str">
        <f>+('3 Planilla Preadjudicación OTIC'!BP42)</f>
        <v>NO</v>
      </c>
      <c r="BO42" s="8" t="str">
        <f>+('3 Planilla Preadjudicación OTIC'!BQ42)</f>
        <v>CAROLINA ANDREA GONZALEZ MIRANDA</v>
      </c>
      <c r="BP42" s="8" t="str">
        <f>+('3 Planilla Preadjudicación OTIC'!BR42)</f>
        <v>c.gonzalez.miranda8@gmail.com</v>
      </c>
      <c r="BQ42" s="8">
        <f>+('3 Planilla Preadjudicación OTIC'!BS42)</f>
        <v>979296762</v>
      </c>
      <c r="BR42" s="8" t="str">
        <f>+('3 Planilla Preadjudicación OTIC'!BT42)</f>
        <v>Entre Lagos S/N, Puyehue, Puyehue</v>
      </c>
      <c r="BS42" s="8">
        <f>+('3 Planilla Preadjudicación OTIC'!BU42)</f>
        <v>0</v>
      </c>
      <c r="BT42" s="8">
        <f>+('3 Planilla Preadjudicación OTIC'!BV42)</f>
        <v>0</v>
      </c>
      <c r="BU42" s="89">
        <f>IF(VLOOKUP(A42,'BD OFICIAL'!$A$1:$AL$2099,7,0)=D42,0,1)</f>
        <v>0</v>
      </c>
      <c r="BV42" s="89">
        <f>IF(VLOOKUP(A42,'BD OFICIAL'!$A$1:$AL$2099,11,0)=J42,0,1)</f>
        <v>0</v>
      </c>
      <c r="BW42" s="89">
        <f>IF(VLOOKUP(A42,'BD OFICIAL'!$A$1:$AL$2099,13,0)=L42,0,1)</f>
        <v>0</v>
      </c>
      <c r="BX42" s="6">
        <f>IF(VLOOKUP(A42,'BD OFICIAL'!$A$1:$AL$2099,16,0)=O42,0,1)</f>
        <v>0</v>
      </c>
      <c r="BY42" s="6">
        <f>IF(VLOOKUP(A42,'BD OFICIAL'!$A$1:$AL$2099,17,0)=P42,0,1)</f>
        <v>0</v>
      </c>
      <c r="BZ42" s="6">
        <f>IF(VLOOKUP(A42,'BD OFICIAL'!$A$1:$AL$2099,19,0)=R42,0,1)</f>
        <v>0</v>
      </c>
      <c r="CA42" s="6">
        <f>IF(VLOOKUP(A42,'BD OFICIAL'!$A$1:$AL$2099,21,0)=T42,0,1)</f>
        <v>0</v>
      </c>
      <c r="CB42" s="6">
        <f>IF(VLOOKUP(A42,'BD OFICIAL'!$A$1:$AL$2099,24,0)=AK42,0,1)</f>
        <v>0</v>
      </c>
      <c r="CC42" s="6">
        <f>IF(VLOOKUP(A42,'BD OFICIAL'!$A$1:$AL$2099,25,0)=X42,0,1)</f>
        <v>0</v>
      </c>
      <c r="CD42" s="6">
        <f>IF(VLOOKUP(A42,'BD OFICIAL'!$A$1:$AL$2099,26,0)=Y42,0,1)</f>
        <v>0</v>
      </c>
      <c r="CE42" s="6">
        <f>IF(VLOOKUP(A42,'BD OFICIAL'!$A$1:$AL$2099,27,0)=Z42,0,1)</f>
        <v>0</v>
      </c>
      <c r="CF42" s="6">
        <f>IF(VLOOKUP(A42,'BD OFICIAL'!$A$1:$AL$2099,28,0)=AA42,0,1)</f>
        <v>0</v>
      </c>
      <c r="CG42" s="6">
        <f>IF(VLOOKUP(A42,'BD OFICIAL'!$A$1:$AL$2099,33,0)=AF42,0,1)</f>
        <v>0</v>
      </c>
      <c r="CH42" s="6">
        <f>IF(VLOOKUP(A42,'BD OFICIAL'!$A$1:$AL$2099,35,0)=AH42,0,1)</f>
        <v>0</v>
      </c>
      <c r="CI42" s="89">
        <f>IF(VLOOKUP(A42,'BD OFICIAL'!$A$1:$AL$2099,34,0)=AL42,0,1)</f>
        <v>0</v>
      </c>
      <c r="CJ42" s="89">
        <f>VLOOKUP(A42,'BD OFICIAL'!$A$1:$AM$2099,36,0)*AM42-AP42</f>
        <v>0</v>
      </c>
      <c r="CK42" s="89" t="str">
        <f t="shared" si="0"/>
        <v>SSH</v>
      </c>
      <c r="CL42" s="89" t="str">
        <f t="shared" si="1"/>
        <v>NO</v>
      </c>
      <c r="CM42" s="89" t="str">
        <f t="shared" si="2"/>
        <v>NO</v>
      </c>
      <c r="CN42" s="35">
        <f t="shared" si="3"/>
        <v>0</v>
      </c>
      <c r="CO42" s="35">
        <f t="shared" si="19"/>
        <v>0</v>
      </c>
      <c r="CP42" s="35">
        <f t="shared" si="20"/>
        <v>0</v>
      </c>
      <c r="CQ42" s="35">
        <f>IF(VLOOKUP(A42,'BD OFICIAL'!$A:$AT,40,0)=AQ42,0,1)</f>
        <v>0</v>
      </c>
      <c r="CR42" s="35">
        <f>IF(VLOOKUP(A42,'BD OFICIAL'!$A:$AT,41,0)=AS42,0,1)</f>
        <v>0</v>
      </c>
      <c r="CS42" s="35">
        <f t="shared" si="21"/>
        <v>0</v>
      </c>
      <c r="CT42" s="35">
        <f t="shared" si="4"/>
        <v>0</v>
      </c>
      <c r="CU42" s="35">
        <f>IF(VLOOKUP(A42,'BD OFICIAL'!$A$1:$AL$1057,31,0)="SI",IF(AT42&gt;0,0,1),IF(AT42=0,0,1))</f>
        <v>0</v>
      </c>
      <c r="CV42" s="35">
        <f t="shared" si="5"/>
        <v>0</v>
      </c>
      <c r="CW42" s="35">
        <f t="shared" si="6"/>
        <v>0</v>
      </c>
      <c r="CX42" s="89" t="str">
        <f t="shared" si="7"/>
        <v>NO</v>
      </c>
      <c r="CY42" s="35">
        <f t="shared" si="8"/>
        <v>0</v>
      </c>
      <c r="CZ42" s="89" t="str">
        <f>IF(ISERROR(VLOOKUP(AI42,EXPERIENCIA!$A$1:$C$2100,1,0)),"NO","SI")</f>
        <v>NO</v>
      </c>
      <c r="DA42" s="89" t="str">
        <f>IF(CX42="no","NO APLICA",IF(AX42=0,"ERROR NOTA",IF(AND(AX42&gt;1,CZ42="NO"),"ERROR NOTA",IF(AND(CZ42="NO",AX42=1),0,IF(VLOOKUP(AI42,EXPERIENCIA!$A$1:$C$2100,3,0)=AX42,0,"ERROR NOTA")))))</f>
        <v>NO APLICA</v>
      </c>
      <c r="DB42" s="89" t="str">
        <f>IF(ISERROR(VLOOKUP(AI42,COMPORTAMIENTO!$A$1:$C$2100,1,0)),"NO","SI")</f>
        <v>NO</v>
      </c>
      <c r="DC42" s="89" t="str">
        <f>IF(CX42="NO","NO APLICA",IF(AY42=0,"ERROR NOTA",IF(AND(DB42="NO",AY42=7),0,IF(VLOOKUP(AI42,COMPORTAMIENTO!$A$2:$H$2100,8,0)=AY42,0,"ERROR NOTA"))))</f>
        <v>NO APLICA</v>
      </c>
      <c r="DD42" s="108" t="str">
        <f t="shared" si="9"/>
        <v>NO APLICA</v>
      </c>
      <c r="DE42" s="108" t="str">
        <f t="shared" si="10"/>
        <v>NO APLICA</v>
      </c>
      <c r="DF42" s="89" t="str">
        <f t="shared" si="22"/>
        <v>NO</v>
      </c>
      <c r="DG42" s="89">
        <f t="shared" si="11"/>
        <v>0</v>
      </c>
      <c r="DH42" s="89">
        <f t="shared" si="12"/>
        <v>0</v>
      </c>
      <c r="DI42" s="89" t="str">
        <f t="shared" si="23"/>
        <v>NO APLICA</v>
      </c>
      <c r="DJ42" s="16" t="str">
        <f t="shared" si="35"/>
        <v>NO APLICA</v>
      </c>
      <c r="DK42" s="11" t="str">
        <f t="shared" si="24"/>
        <v>NO APLICA</v>
      </c>
      <c r="DL42" s="16">
        <f t="shared" si="36"/>
        <v>6373</v>
      </c>
      <c r="DM42" s="16">
        <f>VLOOKUP(A42,'5 TD'!$A$3:$B$35,2,0)</f>
        <v>7434</v>
      </c>
      <c r="DN42" s="11" t="str">
        <f t="shared" si="25"/>
        <v>NO APLICA</v>
      </c>
      <c r="DO42" s="89" t="str">
        <f t="shared" si="26"/>
        <v>NO APLICA</v>
      </c>
      <c r="DP42" s="89" t="str">
        <f t="shared" si="27"/>
        <v>NO APLICA</v>
      </c>
      <c r="DQ42" s="11" t="str">
        <f t="shared" si="28"/>
        <v>NO APLICA</v>
      </c>
      <c r="DR42" s="89" t="str">
        <f t="shared" si="29"/>
        <v>NO APLICA</v>
      </c>
      <c r="DS42" s="6" t="str">
        <f>+('3 Planilla Preadjudicación OTIC'!BP43)</f>
        <v>NO</v>
      </c>
      <c r="DT42" s="6" t="str">
        <f>IF(DR42="APROBADO",VLOOKUP(A42,'5 TD'!$D$3:$E$270,2,0),"NO APLICA")</f>
        <v>NO APLICA</v>
      </c>
      <c r="DU42" s="6" t="str">
        <f t="shared" si="30"/>
        <v>NO APLICA</v>
      </c>
      <c r="DV42" s="6" t="str">
        <f>IF(DU42="SI",VLOOKUP(A42,'5 TD'!$G$3:$H$270,2,0),"NO APLICA ")</f>
        <v xml:space="preserve">NO APLICA </v>
      </c>
      <c r="DW42" s="6" t="str">
        <f t="shared" si="34"/>
        <v>NO</v>
      </c>
      <c r="DX42" s="6" t="str">
        <f>IF(DW42="SI",VLOOKUP(A42,'5 TD'!$J$4:$K$472,2,0),"NO APLICA")</f>
        <v>NO APLICA</v>
      </c>
      <c r="DY42" s="6" t="str">
        <f t="shared" si="37"/>
        <v>NO APLICA</v>
      </c>
      <c r="DZ42" s="11" t="str">
        <f>IF(DY42="SI",VLOOKUP(A42,'5 TD'!$M$4:$N$350,2,0),"NO APLICA")</f>
        <v>NO APLICA</v>
      </c>
      <c r="EA42" s="6" t="str">
        <f t="shared" si="38"/>
        <v>NO APLICA</v>
      </c>
      <c r="EB42" s="16" t="str">
        <f t="shared" si="39"/>
        <v/>
      </c>
      <c r="EC42" s="16" t="str">
        <f>IF(EA42="SI",VLOOKUP(A42,'5 TD'!$V$4:$W$479,2,0),"NO APLICA")</f>
        <v>NO APLICA</v>
      </c>
      <c r="ED42" s="6" t="str">
        <f t="shared" si="31"/>
        <v>NO</v>
      </c>
      <c r="EE42" s="83" t="str">
        <f>IF(ED42="SI",VLOOKUP(AI42,COMPORTAMIENTO!$A$1:$H$2100,7,0),"NO APLICA")</f>
        <v>NO APLICA</v>
      </c>
      <c r="EF42" s="16" t="str">
        <f>IF(ED42="SI",VLOOKUP(A42,'5 TD'!$P$2:$Q$479,2,0),"NO APLICA")</f>
        <v>NO APLICA</v>
      </c>
      <c r="EG42" s="6" t="str">
        <f t="shared" si="32"/>
        <v>NO</v>
      </c>
      <c r="EH42" s="6">
        <f>IF(CZ42="no",0,VLOOKUP(AI42,EXPERIENCIA!$A$1:$C$2100,2,0))</f>
        <v>0</v>
      </c>
      <c r="EI42" s="6">
        <f>IF(CZ42="si",VLOOKUP(A42,'5 TD'!$S$3:$T$2103,2,0),0)</f>
        <v>0</v>
      </c>
      <c r="EJ42" s="6" t="str">
        <f t="shared" si="33"/>
        <v>SI</v>
      </c>
      <c r="EK42" s="6">
        <f>+('3 Planilla Preadjudicación OTIC'!BW43)</f>
        <v>0</v>
      </c>
      <c r="EL42" s="34" t="s">
        <v>2390</v>
      </c>
      <c r="EM42" s="34" t="s">
        <v>2403</v>
      </c>
    </row>
    <row r="43" spans="1:146" s="7" customFormat="1" ht="12.75" x14ac:dyDescent="0.2">
      <c r="A43" s="6">
        <f>+('3 Planilla Preadjudicación OTIC'!A43)</f>
        <v>14385</v>
      </c>
      <c r="B43" s="6" t="str">
        <f>+('3 Planilla Preadjudicación OTIC'!B43)</f>
        <v>SOFOFA</v>
      </c>
      <c r="C43" s="8">
        <f>+('3 Planilla Preadjudicación OTIC'!E43)</f>
        <v>2025</v>
      </c>
      <c r="D43" s="8" t="str">
        <f>+('3 Planilla Preadjudicación OTIC'!F43)</f>
        <v>MANDATO</v>
      </c>
      <c r="E43" s="8" t="str">
        <f>+('3 Planilla Preadjudicación OTIC'!G43)</f>
        <v>65181652-1</v>
      </c>
      <c r="F43" s="8" t="str">
        <f>+('3 Planilla Preadjudicación OTIC'!H43)</f>
        <v>SOFOFA</v>
      </c>
      <c r="G43" s="8" t="str">
        <f>+('3 Planilla Preadjudicación OTIC'!I43)</f>
        <v>65140022-8</v>
      </c>
      <c r="H43" s="8" t="str">
        <f>+('3 Planilla Preadjudicación OTIC'!J43)</f>
        <v>FUTURO DEL TRABAJO</v>
      </c>
      <c r="I43" s="8" t="str">
        <f>+('3 Planilla Preadjudicación OTIC'!K43)</f>
        <v>ASISTENCIA EN EL MANTENIMIENTO ELÉCTRICO DE BAJA TENSIÓN</v>
      </c>
      <c r="J43" s="8" t="str">
        <f>+('3 Planilla Preadjudicación OTIC'!L43)</f>
        <v>PF0638</v>
      </c>
      <c r="K43" s="8" t="str">
        <f>+('3 Planilla Preadjudicación OTIC'!M43)</f>
        <v/>
      </c>
      <c r="L43" s="8" t="str">
        <f>+('3 Planilla Preadjudicación OTIC'!N43)</f>
        <v/>
      </c>
      <c r="M43" s="6">
        <f>+('3 Planilla Preadjudicación OTIC'!O43)</f>
        <v>13</v>
      </c>
      <c r="N43" s="8">
        <f>+('3 Planilla Preadjudicación OTIC'!P43)</f>
        <v>0</v>
      </c>
      <c r="O43" s="8" t="str">
        <f>+('3 Planilla Preadjudicación OTIC'!Q43)</f>
        <v>RENCA</v>
      </c>
      <c r="P43" s="8" t="str">
        <f>+('3 Planilla Preadjudicación OTIC'!R43)</f>
        <v>ESTUDIANTES DE CUARTO AÑO DE ENSEÑANZA MEDIA O DE LICEOS TÉCNICOS PROFESIONALES.</v>
      </c>
      <c r="Q43" s="8" t="str">
        <f>+('3 Planilla Preadjudicación OTIC'!S43)</f>
        <v>PRESENCIAL</v>
      </c>
      <c r="R43" s="8" t="str">
        <f>+('3 Planilla Preadjudicación OTIC'!T43)</f>
        <v>DEPENDIENTE</v>
      </c>
      <c r="S43" s="8" t="str">
        <f>+('3 Planilla Preadjudicación OTIC'!U43)</f>
        <v>03. LUNES - VESPERTINO / 06. MARTES - VESPERTINO / 09. MIÉRCOLES - VESPERTINO / 12. JUEVES - VESPERTINO / 15. VIERNES - VESPERTINO</v>
      </c>
      <c r="T43" s="6">
        <f>+('3 Planilla Preadjudicación OTIC'!V43)</f>
        <v>16</v>
      </c>
      <c r="U43" s="6">
        <f>+('3 Planilla Preadjudicación OTIC'!W43)</f>
        <v>110</v>
      </c>
      <c r="V43" s="6">
        <f>+('3 Planilla Preadjudicación OTIC'!X43)</f>
        <v>0</v>
      </c>
      <c r="W43" s="6">
        <f>+('3 Planilla Preadjudicación OTIC'!Y43)</f>
        <v>110</v>
      </c>
      <c r="X43" s="6">
        <f>+('3 Planilla Preadjudicación OTIC'!Z43)</f>
        <v>4</v>
      </c>
      <c r="Y43" s="6" t="str">
        <f>+('3 Planilla Preadjudicación OTIC'!AA43)</f>
        <v>SI</v>
      </c>
      <c r="Z43" s="6" t="str">
        <f>+('3 Planilla Preadjudicación OTIC'!AB43)</f>
        <v>NO</v>
      </c>
      <c r="AA43" s="6" t="str">
        <f>+('3 Planilla Preadjudicación OTIC'!AC43)</f>
        <v>NO</v>
      </c>
      <c r="AB43" s="8">
        <f>+('3 Planilla Preadjudicación OTIC'!AD43)</f>
        <v>0</v>
      </c>
      <c r="AC43" s="8" t="str">
        <f>+('3 Planilla Preadjudicación OTIC'!AE43)</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43" s="6" t="str">
        <f>+('3 Planilla Preadjudicación OTIC'!AF43)</f>
        <v>NO</v>
      </c>
      <c r="AE43" s="8">
        <f>+('3 Planilla Preadjudicación OTIC'!AG43)</f>
        <v>0</v>
      </c>
      <c r="AF43" s="6" t="str">
        <f>+('3 Planilla Preadjudicación OTIC'!AH43)</f>
        <v>CERRADA</v>
      </c>
      <c r="AG43" s="6">
        <f>+('3 Planilla Preadjudicación OTIC'!AI43)</f>
        <v>28</v>
      </c>
      <c r="AH43" s="6">
        <f>+('3 Planilla Preadjudicación OTIC'!AJ43)</f>
        <v>2</v>
      </c>
      <c r="AI43" s="140" t="str">
        <f>+('3 Planilla Preadjudicación OTIC'!AK43)</f>
        <v>76014819-9</v>
      </c>
      <c r="AJ43" s="8" t="str">
        <f>+('3 Planilla Preadjudicación OTIC'!AL43)</f>
        <v>ID Capacitación Ltda.</v>
      </c>
      <c r="AK43" s="6">
        <f>+('3 Planilla Preadjudicación OTIC'!AM43)</f>
        <v>110</v>
      </c>
      <c r="AL43" s="6">
        <f>+('3 Planilla Preadjudicación OTIC'!AN43)</f>
        <v>28</v>
      </c>
      <c r="AM43" s="16">
        <f>+('3 Planilla Preadjudicación OTIC'!AO43)</f>
        <v>5075</v>
      </c>
      <c r="AN43" s="16">
        <f>+('3 Planilla Preadjudicación OTIC'!AP43)</f>
        <v>0</v>
      </c>
      <c r="AO43" s="16">
        <f>+('3 Planilla Preadjudicación OTIC'!AQ43)</f>
        <v>0</v>
      </c>
      <c r="AP43" s="16">
        <f>+('3 Planilla Preadjudicación OTIC'!AR43)</f>
        <v>8932000</v>
      </c>
      <c r="AQ43" s="16">
        <f>+('3 Planilla Preadjudicación OTIC'!AS43)</f>
        <v>1792000</v>
      </c>
      <c r="AR43" s="16">
        <f>+('3 Planilla Preadjudicación OTIC'!AT43)</f>
        <v>0</v>
      </c>
      <c r="AS43" s="16">
        <f>+('3 Planilla Preadjudicación OTIC'!AU43)</f>
        <v>0</v>
      </c>
      <c r="AT43" s="16">
        <f>+('3 Planilla Preadjudicación OTIC'!AV43)</f>
        <v>0</v>
      </c>
      <c r="AU43" s="16">
        <f>+('3 Planilla Preadjudicación OTIC'!AW43)</f>
        <v>10724000</v>
      </c>
      <c r="AV43" s="158" t="str">
        <f>+('3 Planilla Preadjudicación OTIC'!AX43)</f>
        <v>NO</v>
      </c>
      <c r="AW43" s="8" t="str">
        <f>+('3 Planilla Preadjudicación OTIC'!AY43)</f>
        <v>NUMERAL 6.1.2. ÍTEM 11: NO PRESENTA FOTOS QUE ACREDITEN LAS CARACTERISTICAS DESCRITAS EN LA PROPUESTA</v>
      </c>
      <c r="AX43" s="6">
        <f>+('3 Planilla Preadjudicación OTIC'!AZ43)</f>
        <v>0</v>
      </c>
      <c r="AY43" s="6">
        <f>+('3 Planilla Preadjudicación OTIC'!BA43)</f>
        <v>0</v>
      </c>
      <c r="AZ43" s="6">
        <f>+('3 Planilla Preadjudicación OTIC'!BB43)</f>
        <v>0</v>
      </c>
      <c r="BA43" s="6">
        <f>+('3 Planilla Preadjudicación OTIC'!BC43)</f>
        <v>0</v>
      </c>
      <c r="BB43" s="6">
        <f>+('3 Planilla Preadjudicación OTIC'!BD43)</f>
        <v>0</v>
      </c>
      <c r="BC43" s="6">
        <f>+('3 Planilla Preadjudicación OTIC'!BE43)</f>
        <v>0</v>
      </c>
      <c r="BD43" s="6">
        <f>+('3 Planilla Preadjudicación OTIC'!BF43)</f>
        <v>0</v>
      </c>
      <c r="BE43" s="6">
        <f>+('3 Planilla Preadjudicación OTIC'!BG43)</f>
        <v>0</v>
      </c>
      <c r="BF43" s="6">
        <f>+('3 Planilla Preadjudicación OTIC'!BH43)</f>
        <v>0</v>
      </c>
      <c r="BG43" s="6">
        <f>+('3 Planilla Preadjudicación OTIC'!BI43)</f>
        <v>0</v>
      </c>
      <c r="BH43" s="6">
        <f>+('3 Planilla Preadjudicación OTIC'!BJ43)</f>
        <v>0</v>
      </c>
      <c r="BI43" s="6">
        <f>+('3 Planilla Preadjudicación OTIC'!BK43)</f>
        <v>0</v>
      </c>
      <c r="BJ43" s="6">
        <f>+('3 Planilla Preadjudicación OTIC'!BL43)</f>
        <v>0</v>
      </c>
      <c r="BK43" s="6">
        <f>+('3 Planilla Preadjudicación OTIC'!BM43)</f>
        <v>0</v>
      </c>
      <c r="BL43" s="6">
        <f>+('3 Planilla Preadjudicación OTIC'!BN43)</f>
        <v>0</v>
      </c>
      <c r="BM43" s="108">
        <f>ROUND(('3 Planilla Preadjudicación OTIC'!BO43),1)</f>
        <v>0</v>
      </c>
      <c r="BN43" s="8" t="str">
        <f>+('3 Planilla Preadjudicación OTIC'!BP43)</f>
        <v>NO</v>
      </c>
      <c r="BO43" s="8" t="str">
        <f>+('3 Planilla Preadjudicación OTIC'!BQ43)</f>
        <v>Luis Alejandro Pizarro Mora</v>
      </c>
      <c r="BP43" s="8" t="str">
        <f>+('3 Planilla Preadjudicación OTIC'!BR43)</f>
        <v>alejandro@idconsulting.cl</v>
      </c>
      <c r="BQ43" s="8">
        <f>+('3 Planilla Preadjudicación OTIC'!BS43)</f>
        <v>93454013</v>
      </c>
      <c r="BR43" s="8" t="str">
        <f>+('3 Planilla Preadjudicación OTIC'!BT43)</f>
        <v>La Marquesita 3962, Renca</v>
      </c>
      <c r="BS43" s="8">
        <f>+('3 Planilla Preadjudicación OTIC'!BU43)</f>
        <v>0</v>
      </c>
      <c r="BT43" s="8">
        <f>+('3 Planilla Preadjudicación OTIC'!BV43)</f>
        <v>0</v>
      </c>
      <c r="BU43" s="89">
        <f>IF(VLOOKUP(A43,'BD OFICIAL'!$A$1:$AL$2099,7,0)=D43,0,1)</f>
        <v>0</v>
      </c>
      <c r="BV43" s="89">
        <f>IF(VLOOKUP(A43,'BD OFICIAL'!$A$1:$AL$2099,11,0)=J43,0,1)</f>
        <v>0</v>
      </c>
      <c r="BW43" s="89">
        <f>IF(VLOOKUP(A43,'BD OFICIAL'!$A$1:$AL$2099,13,0)=L43,0,1)</f>
        <v>0</v>
      </c>
      <c r="BX43" s="6">
        <f>IF(VLOOKUP(A43,'BD OFICIAL'!$A$1:$AL$2099,16,0)=O43,0,1)</f>
        <v>0</v>
      </c>
      <c r="BY43" s="6">
        <f>IF(VLOOKUP(A43,'BD OFICIAL'!$A$1:$AL$2099,17,0)=P43,0,1)</f>
        <v>0</v>
      </c>
      <c r="BZ43" s="6">
        <f>IF(VLOOKUP(A43,'BD OFICIAL'!$A$1:$AL$2099,19,0)=R43,0,1)</f>
        <v>0</v>
      </c>
      <c r="CA43" s="6">
        <f>IF(VLOOKUP(A43,'BD OFICIAL'!$A$1:$AL$2099,21,0)=T43,0,1)</f>
        <v>0</v>
      </c>
      <c r="CB43" s="6">
        <f>IF(VLOOKUP(A43,'BD OFICIAL'!$A$1:$AL$2099,24,0)=AK43,0,1)</f>
        <v>0</v>
      </c>
      <c r="CC43" s="6">
        <f>IF(VLOOKUP(A43,'BD OFICIAL'!$A$1:$AL$2099,25,0)=X43,0,1)</f>
        <v>0</v>
      </c>
      <c r="CD43" s="6">
        <f>IF(VLOOKUP(A43,'BD OFICIAL'!$A$1:$AL$2099,26,0)=Y43,0,1)</f>
        <v>0</v>
      </c>
      <c r="CE43" s="6">
        <f>IF(VLOOKUP(A43,'BD OFICIAL'!$A$1:$AL$2099,27,0)=Z43,0,1)</f>
        <v>0</v>
      </c>
      <c r="CF43" s="6">
        <f>IF(VLOOKUP(A43,'BD OFICIAL'!$A$1:$AL$2099,28,0)=AA43,0,1)</f>
        <v>0</v>
      </c>
      <c r="CG43" s="6">
        <f>IF(VLOOKUP(A43,'BD OFICIAL'!$A$1:$AL$2099,33,0)=AF43,0,1)</f>
        <v>0</v>
      </c>
      <c r="CH43" s="6">
        <f>IF(VLOOKUP(A43,'BD OFICIAL'!$A$1:$AL$2099,35,0)=AH43,0,1)</f>
        <v>0</v>
      </c>
      <c r="CI43" s="89">
        <f>IF(VLOOKUP(A43,'BD OFICIAL'!$A$1:$AL$2099,34,0)=AL43,0,1)</f>
        <v>0</v>
      </c>
      <c r="CJ43" s="89">
        <f>VLOOKUP(A43,'BD OFICIAL'!$A$1:$AM$2099,36,0)*AM43-AP43</f>
        <v>0</v>
      </c>
      <c r="CK43" s="89" t="str">
        <f t="shared" si="0"/>
        <v>SSH</v>
      </c>
      <c r="CL43" s="89" t="str">
        <f t="shared" si="1"/>
        <v>SI</v>
      </c>
      <c r="CM43" s="89" t="str">
        <f t="shared" si="2"/>
        <v>NO</v>
      </c>
      <c r="CN43" s="35">
        <f t="shared" si="3"/>
        <v>0</v>
      </c>
      <c r="CO43" s="35">
        <f t="shared" si="19"/>
        <v>0</v>
      </c>
      <c r="CP43" s="35">
        <f t="shared" si="20"/>
        <v>0</v>
      </c>
      <c r="CQ43" s="35">
        <f>IF(VLOOKUP(A43,'BD OFICIAL'!$A:$AT,40,0)=AQ43,0,1)</f>
        <v>0</v>
      </c>
      <c r="CR43" s="35">
        <f>IF(VLOOKUP(A43,'BD OFICIAL'!$A:$AT,41,0)=AS43,0,1)</f>
        <v>0</v>
      </c>
      <c r="CS43" s="35">
        <f t="shared" si="21"/>
        <v>0</v>
      </c>
      <c r="CT43" s="35">
        <f t="shared" si="4"/>
        <v>0</v>
      </c>
      <c r="CU43" s="35">
        <f>IF(VLOOKUP(A43,'BD OFICIAL'!$A$1:$AL$1057,31,0)="SI",IF(AT43&gt;0,0,1),IF(AT43=0,0,1))</f>
        <v>0</v>
      </c>
      <c r="CV43" s="35">
        <f t="shared" si="5"/>
        <v>0</v>
      </c>
      <c r="CW43" s="35">
        <f t="shared" si="6"/>
        <v>0</v>
      </c>
      <c r="CX43" s="89" t="str">
        <f t="shared" si="7"/>
        <v>NO</v>
      </c>
      <c r="CY43" s="35">
        <f t="shared" si="8"/>
        <v>0</v>
      </c>
      <c r="CZ43" s="89" t="str">
        <f>IF(ISERROR(VLOOKUP(AI43,EXPERIENCIA!$A$1:$C$2100,1,0)),"NO","SI")</f>
        <v>NO</v>
      </c>
      <c r="DA43" s="89" t="str">
        <f>IF(CX43="no","NO APLICA",IF(AX43=0,"ERROR NOTA",IF(AND(AX43&gt;1,CZ43="NO"),"ERROR NOTA",IF(AND(CZ43="NO",AX43=1),0,IF(VLOOKUP(AI43,EXPERIENCIA!$A$1:$C$2100,3,0)=AX43,0,"ERROR NOTA")))))</f>
        <v>NO APLICA</v>
      </c>
      <c r="DB43" s="89" t="str">
        <f>IF(ISERROR(VLOOKUP(AI43,COMPORTAMIENTO!$A$1:$C$2100,1,0)),"NO","SI")</f>
        <v>NO</v>
      </c>
      <c r="DC43" s="89" t="str">
        <f>IF(CX43="NO","NO APLICA",IF(AY43=0,"ERROR NOTA",IF(AND(DB43="NO",AY43=7),0,IF(VLOOKUP(AI43,COMPORTAMIENTO!$A$2:$H$2100,8,0)=AY43,0,"ERROR NOTA"))))</f>
        <v>NO APLICA</v>
      </c>
      <c r="DD43" s="108" t="str">
        <f t="shared" si="9"/>
        <v>NO APLICA</v>
      </c>
      <c r="DE43" s="108" t="str">
        <f t="shared" si="10"/>
        <v>NO APLICA</v>
      </c>
      <c r="DF43" s="89" t="str">
        <f t="shared" si="22"/>
        <v>SI</v>
      </c>
      <c r="DG43" s="89">
        <f t="shared" si="11"/>
        <v>0</v>
      </c>
      <c r="DH43" s="89">
        <f t="shared" si="12"/>
        <v>0</v>
      </c>
      <c r="DI43" s="89" t="str">
        <f t="shared" si="23"/>
        <v>NO APLICA</v>
      </c>
      <c r="DJ43" s="16" t="str">
        <f t="shared" si="35"/>
        <v>NO APLICA</v>
      </c>
      <c r="DK43" s="11" t="str">
        <f t="shared" si="24"/>
        <v>NO APLICA</v>
      </c>
      <c r="DL43" s="16">
        <f t="shared" si="36"/>
        <v>5075</v>
      </c>
      <c r="DM43" s="16">
        <f>VLOOKUP(A43,'5 TD'!$A$3:$B$35,2,0)</f>
        <v>5075</v>
      </c>
      <c r="DN43" s="11" t="str">
        <f t="shared" si="25"/>
        <v>NO APLICA</v>
      </c>
      <c r="DO43" s="89" t="str">
        <f t="shared" si="26"/>
        <v>NO APLICA</v>
      </c>
      <c r="DP43" s="89" t="str">
        <f t="shared" si="27"/>
        <v>NO APLICA</v>
      </c>
      <c r="DQ43" s="11" t="str">
        <f t="shared" si="28"/>
        <v>NO APLICA</v>
      </c>
      <c r="DR43" s="89" t="str">
        <f t="shared" si="29"/>
        <v>NO APLICA</v>
      </c>
      <c r="DS43" s="6" t="str">
        <f>+('3 Planilla Preadjudicación OTIC'!BP44)</f>
        <v>NO</v>
      </c>
      <c r="DT43" s="6" t="str">
        <f>IF(DR43="APROBADO",VLOOKUP(A43,'5 TD'!$D$3:$E$270,2,0),"NO APLICA")</f>
        <v>NO APLICA</v>
      </c>
      <c r="DU43" s="6" t="str">
        <f t="shared" si="30"/>
        <v>NO APLICA</v>
      </c>
      <c r="DV43" s="6" t="str">
        <f>IF(DU43="SI",VLOOKUP(A43,'5 TD'!$G$3:$H$270,2,0),"NO APLICA ")</f>
        <v xml:space="preserve">NO APLICA </v>
      </c>
      <c r="DW43" s="6" t="str">
        <f t="shared" si="34"/>
        <v>NO</v>
      </c>
      <c r="DX43" s="6" t="str">
        <f>IF(DW43="SI",VLOOKUP(A43,'5 TD'!$J$4:$K$472,2,0),"NO APLICA")</f>
        <v>NO APLICA</v>
      </c>
      <c r="DY43" s="6" t="str">
        <f t="shared" si="37"/>
        <v>NO APLICA</v>
      </c>
      <c r="DZ43" s="11" t="str">
        <f>IF(DY43="SI",VLOOKUP(A43,'5 TD'!$M$4:$N$350,2,0),"NO APLICA")</f>
        <v>NO APLICA</v>
      </c>
      <c r="EA43" s="6" t="str">
        <f t="shared" si="38"/>
        <v>NO APLICA</v>
      </c>
      <c r="EB43" s="16" t="str">
        <f t="shared" si="39"/>
        <v/>
      </c>
      <c r="EC43" s="16" t="str">
        <f>IF(EA43="SI",VLOOKUP(A43,'5 TD'!$V$4:$W$479,2,0),"NO APLICA")</f>
        <v>NO APLICA</v>
      </c>
      <c r="ED43" s="6" t="str">
        <f t="shared" si="31"/>
        <v>NO</v>
      </c>
      <c r="EE43" s="83" t="str">
        <f>IF(ED43="SI",VLOOKUP(AI43,COMPORTAMIENTO!$A$1:$H$2100,7,0),"NO APLICA")</f>
        <v>NO APLICA</v>
      </c>
      <c r="EF43" s="16" t="str">
        <f>IF(ED43="SI",VLOOKUP(A43,'5 TD'!$P$2:$Q$479,2,0),"NO APLICA")</f>
        <v>NO APLICA</v>
      </c>
      <c r="EG43" s="6" t="str">
        <f t="shared" si="32"/>
        <v>NO</v>
      </c>
      <c r="EH43" s="6">
        <f>IF(CZ43="no",0,VLOOKUP(AI43,EXPERIENCIA!$A$1:$C$2100,2,0))</f>
        <v>0</v>
      </c>
      <c r="EI43" s="6">
        <f>IF(CZ43="si",VLOOKUP(A43,'5 TD'!$S$3:$T$2103,2,0),0)</f>
        <v>0</v>
      </c>
      <c r="EJ43" s="6" t="str">
        <f t="shared" si="33"/>
        <v>SI</v>
      </c>
      <c r="EK43" s="6">
        <f>+('3 Planilla Preadjudicación OTIC'!BW44)</f>
        <v>0</v>
      </c>
      <c r="EL43" s="34" t="s">
        <v>2390</v>
      </c>
      <c r="EM43" s="34" t="s">
        <v>2403</v>
      </c>
    </row>
    <row r="44" spans="1:146" s="7" customFormat="1" ht="12.75" x14ac:dyDescent="0.2">
      <c r="A44" s="6">
        <f>+('3 Planilla Preadjudicación OTIC'!A44)</f>
        <v>14336</v>
      </c>
      <c r="B44" s="6" t="str">
        <f>+('3 Planilla Preadjudicación OTIC'!B44)</f>
        <v>SOFOFA</v>
      </c>
      <c r="C44" s="8">
        <f>+('3 Planilla Preadjudicación OTIC'!E44)</f>
        <v>2025</v>
      </c>
      <c r="D44" s="8" t="str">
        <f>+('3 Planilla Preadjudicación OTIC'!F44)</f>
        <v>MANDATO</v>
      </c>
      <c r="E44" s="8" t="str">
        <f>+('3 Planilla Preadjudicación OTIC'!G44)</f>
        <v>65181652-1</v>
      </c>
      <c r="F44" s="8" t="str">
        <f>+('3 Planilla Preadjudicación OTIC'!H44)</f>
        <v>SOFOFA</v>
      </c>
      <c r="G44" s="8" t="str">
        <f>+('3 Planilla Preadjudicación OTIC'!I44)</f>
        <v>70417500-0</v>
      </c>
      <c r="H44" s="8" t="str">
        <f>+('3 Planilla Preadjudicación OTIC'!J44)</f>
        <v>CORPORACION DE CAPACITACION Y EMPLEO SOFOFA (LICEOS)</v>
      </c>
      <c r="I44" s="8" t="str">
        <f>+('3 Planilla Preadjudicación OTIC'!K44)</f>
        <v>CONTROL DE CALIDAD EN LA INDUSTRIA ALIMENTARIA</v>
      </c>
      <c r="J44" s="8" t="str">
        <f>+('3 Planilla Preadjudicación OTIC'!L44)</f>
        <v>SIN PLAN FORMATIVO</v>
      </c>
      <c r="K44" s="8">
        <f>+('3 Planilla Preadjudicación OTIC'!M44)</f>
        <v>0</v>
      </c>
      <c r="L44" s="8" t="str">
        <f>+('3 Planilla Preadjudicación OTIC'!N44)</f>
        <v/>
      </c>
      <c r="M44" s="6">
        <f>+('3 Planilla Preadjudicación OTIC'!O44)</f>
        <v>13</v>
      </c>
      <c r="N44" s="8">
        <f>+('3 Planilla Preadjudicación OTIC'!P44)</f>
        <v>0</v>
      </c>
      <c r="O44" s="8" t="str">
        <f>+('3 Planilla Preadjudicación OTIC'!Q44)</f>
        <v>SANTIAGO</v>
      </c>
      <c r="P44" s="8" t="str">
        <f>+('3 Planilla Preadjudicación OTIC'!R44)</f>
        <v>ESTUDIANTES DE CUARTO AÑO DE ENSEÑANZA MEDIA O DE LICEOS TÉCNICOS PROFESIONALES.</v>
      </c>
      <c r="Q44" s="8" t="str">
        <f>+('3 Planilla Preadjudicación OTIC'!S44)</f>
        <v>PRESENCIAL</v>
      </c>
      <c r="R44" s="8" t="str">
        <f>+('3 Planilla Preadjudicación OTIC'!T44)</f>
        <v>DEPENDIENTE</v>
      </c>
      <c r="S44" s="8" t="str">
        <f>+('3 Planilla Preadjudicación OTIC'!U44)</f>
        <v>02. LUNES - TARDE / 05. MARTES - TARDE / 08. MIÉRCOLES - TARDE / 11. JUEVES - TARDE / 14. VIERNES - TARDE</v>
      </c>
      <c r="T44" s="6">
        <f>+('3 Planilla Preadjudicación OTIC'!V44)</f>
        <v>15</v>
      </c>
      <c r="U44" s="6">
        <f>+('3 Planilla Preadjudicación OTIC'!W44)</f>
        <v>0</v>
      </c>
      <c r="V44" s="6">
        <f>+('3 Planilla Preadjudicación OTIC'!X44)</f>
        <v>0</v>
      </c>
      <c r="W44" s="6">
        <f>+('3 Planilla Preadjudicación OTIC'!Y44)</f>
        <v>160</v>
      </c>
      <c r="X44" s="6">
        <f>+('3 Planilla Preadjudicación OTIC'!Z44)</f>
        <v>5</v>
      </c>
      <c r="Y44" s="6" t="str">
        <f>+('3 Planilla Preadjudicación OTIC'!AA44)</f>
        <v>SI</v>
      </c>
      <c r="Z44" s="6" t="str">
        <f>+('3 Planilla Preadjudicación OTIC'!AB44)</f>
        <v>NO</v>
      </c>
      <c r="AA44" s="6" t="str">
        <f>+('3 Planilla Preadjudicación OTIC'!AC44)</f>
        <v>NO</v>
      </c>
      <c r="AB44" s="8" t="str">
        <f>+('3 Planilla Preadjudicación OTIC'!AD44)</f>
        <v>- Aplicar normas del Reglamento Sanitario de los Alimentos (RSA) y la Ley 20.606 sobre
etiquetado nutricional.
- Reconocer y aplicar Buenas Prácticas de Manufactura (BPM) en procesos productivos
alimentarios.
- Implementar principios del sistema HACCP para el control de peligros alimentarios.
- Manejar herramientas e instrumentos de medición para evaluación sensorial,
fisicoquímica y microbiológica básica.
- Interpretar y registrar resultados de control de calidad, reportando no conformidades
según protocolos establecidos.
- Aplicar criterios de auditoría y trazabilidad conforme a estándares ISO 22000 y BRC Food.</v>
      </c>
      <c r="AC44" s="8" t="str">
        <f>+('3 Planilla Preadjudicación OTIC'!AE44)</f>
        <v>HOMBRES Y MUJERES, ESTUDIANTES DE CUARTO AÑO MEDIO DE LICEOS TECNICO PROFESIONAL DE LA COMUNA DE SANTIAGOL, CON ENSEÑANZA MEDIA COMPLETA PREFERENTEMENTE</v>
      </c>
      <c r="AD44" s="6" t="str">
        <f>+('3 Planilla Preadjudicación OTIC'!AF44)</f>
        <v>NO</v>
      </c>
      <c r="AE44" s="8">
        <f>+('3 Planilla Preadjudicación OTIC'!AG44)</f>
        <v>0</v>
      </c>
      <c r="AF44" s="6" t="str">
        <f>+('3 Planilla Preadjudicación OTIC'!AH44)</f>
        <v>CERRADA</v>
      </c>
      <c r="AG44" s="6">
        <f>+('3 Planilla Preadjudicación OTIC'!AI44)</f>
        <v>32</v>
      </c>
      <c r="AH44" s="6">
        <f>+('3 Planilla Preadjudicación OTIC'!AJ44)</f>
        <v>3</v>
      </c>
      <c r="AI44" s="140" t="str">
        <f>+('3 Planilla Preadjudicación OTIC'!AK44)</f>
        <v>76272762-5</v>
      </c>
      <c r="AJ44" s="8" t="str">
        <f>+('3 Planilla Preadjudicación OTIC'!AL44)</f>
        <v>Lilian Rosario Rivas Avila Capacitación en el Trabajo EIRL</v>
      </c>
      <c r="AK44" s="6">
        <f>+('3 Planilla Preadjudicación OTIC'!AM44)</f>
        <v>160</v>
      </c>
      <c r="AL44" s="6">
        <f>+('3 Planilla Preadjudicación OTIC'!AN44)</f>
        <v>32</v>
      </c>
      <c r="AM44" s="16">
        <f>+('3 Planilla Preadjudicación OTIC'!AO44)</f>
        <v>6373</v>
      </c>
      <c r="AN44" s="16">
        <f>+('3 Planilla Preadjudicación OTIC'!AP44)</f>
        <v>0</v>
      </c>
      <c r="AO44" s="16">
        <f>+('3 Planilla Preadjudicación OTIC'!AQ44)</f>
        <v>0</v>
      </c>
      <c r="AP44" s="16">
        <f>+('3 Planilla Preadjudicación OTIC'!AR44)</f>
        <v>15295200</v>
      </c>
      <c r="AQ44" s="16">
        <f>+('3 Planilla Preadjudicación OTIC'!AS44)</f>
        <v>1920000</v>
      </c>
      <c r="AR44" s="16">
        <f>+('3 Planilla Preadjudicación OTIC'!AT44)</f>
        <v>0</v>
      </c>
      <c r="AS44" s="16">
        <f>+('3 Planilla Preadjudicación OTIC'!AU44)</f>
        <v>0</v>
      </c>
      <c r="AT44" s="16">
        <f>+('3 Planilla Preadjudicación OTIC'!AV44)</f>
        <v>0</v>
      </c>
      <c r="AU44" s="16">
        <f>+('3 Planilla Preadjudicación OTIC'!AW44)</f>
        <v>17215200</v>
      </c>
      <c r="AV44" s="158" t="str">
        <f>+('3 Planilla Preadjudicación OTIC'!AX44)</f>
        <v>SI</v>
      </c>
      <c r="AW44" s="8">
        <f>+('3 Planilla Preadjudicación OTIC'!AY44)</f>
        <v>0</v>
      </c>
      <c r="AX44" s="6">
        <f>+('3 Planilla Preadjudicación OTIC'!AZ44)</f>
        <v>1</v>
      </c>
      <c r="AY44" s="6">
        <f>+('3 Planilla Preadjudicación OTIC'!BA44)</f>
        <v>7</v>
      </c>
      <c r="AZ44" s="6">
        <f>+('3 Planilla Preadjudicación OTIC'!BB44)</f>
        <v>7</v>
      </c>
      <c r="BA44" s="6">
        <f>+('3 Planilla Preadjudicación OTIC'!BC44)</f>
        <v>7</v>
      </c>
      <c r="BB44" s="6">
        <f>+('3 Planilla Preadjudicación OTIC'!BD44)</f>
        <v>7</v>
      </c>
      <c r="BC44" s="6">
        <f>+('3 Planilla Preadjudicación OTIC'!BE44)</f>
        <v>7</v>
      </c>
      <c r="BD44" s="6">
        <f>+('3 Planilla Preadjudicación OTIC'!BF44)</f>
        <v>7</v>
      </c>
      <c r="BE44" s="6">
        <f>+('3 Planilla Preadjudicación OTIC'!BG44)</f>
        <v>7</v>
      </c>
      <c r="BF44" s="6">
        <f>+('3 Planilla Preadjudicación OTIC'!BH44)</f>
        <v>7</v>
      </c>
      <c r="BG44" s="6">
        <f>+('3 Planilla Preadjudicación OTIC'!BI44)</f>
        <v>7</v>
      </c>
      <c r="BH44" s="6">
        <f>+('3 Planilla Preadjudicación OTIC'!BJ44)</f>
        <v>7</v>
      </c>
      <c r="BI44" s="6">
        <f>+('3 Planilla Preadjudicación OTIC'!BK44)</f>
        <v>7</v>
      </c>
      <c r="BJ44" s="6">
        <f>+('3 Planilla Preadjudicación OTIC'!BL44)</f>
        <v>7</v>
      </c>
      <c r="BK44" s="6">
        <f>+('3 Planilla Preadjudicación OTIC'!BM44)</f>
        <v>7</v>
      </c>
      <c r="BL44" s="6">
        <f>+('3 Planilla Preadjudicación OTIC'!BN44)</f>
        <v>7</v>
      </c>
      <c r="BM44" s="108">
        <f>ROUND(('3 Planilla Preadjudicación OTIC'!BO44),1)</f>
        <v>6.4</v>
      </c>
      <c r="BN44" s="8" t="str">
        <f>+('3 Planilla Preadjudicación OTIC'!BP44)</f>
        <v>NO</v>
      </c>
      <c r="BO44" s="8" t="str">
        <f>+('3 Planilla Preadjudicación OTIC'!BQ44)</f>
        <v>Lilian Rosario Rivas Avila</v>
      </c>
      <c r="BP44" s="8" t="str">
        <f>+('3 Planilla Preadjudicación OTIC'!BR44)</f>
        <v>vanguardiaotec@gmail.com</v>
      </c>
      <c r="BQ44" s="8">
        <f>+('3 Planilla Preadjudicación OTIC'!BS44)</f>
        <v>985200533</v>
      </c>
      <c r="BR44" s="8" t="str">
        <f>+('3 Planilla Preadjudicación OTIC'!BT44)</f>
        <v>avenida padre alonso de Ovalle 1638, Santiago</v>
      </c>
      <c r="BS44" s="8">
        <f>+('3 Planilla Preadjudicación OTIC'!BU44)</f>
        <v>0</v>
      </c>
      <c r="BT44" s="8">
        <f>+('3 Planilla Preadjudicación OTIC'!BV44)</f>
        <v>0</v>
      </c>
      <c r="BU44" s="89">
        <f>IF(VLOOKUP(A44,'BD OFICIAL'!$A$1:$AL$2099,7,0)=D44,0,1)</f>
        <v>0</v>
      </c>
      <c r="BV44" s="89">
        <f>IF(VLOOKUP(A44,'BD OFICIAL'!$A$1:$AL$2099,11,0)=J44,0,1)</f>
        <v>0</v>
      </c>
      <c r="BW44" s="89">
        <f>IF(VLOOKUP(A44,'BD OFICIAL'!$A$1:$AL$2099,13,0)=L44,0,1)</f>
        <v>0</v>
      </c>
      <c r="BX44" s="6">
        <f>IF(VLOOKUP(A44,'BD OFICIAL'!$A$1:$AL$2099,16,0)=O44,0,1)</f>
        <v>0</v>
      </c>
      <c r="BY44" s="6">
        <f>IF(VLOOKUP(A44,'BD OFICIAL'!$A$1:$AL$2099,17,0)=P44,0,1)</f>
        <v>0</v>
      </c>
      <c r="BZ44" s="6">
        <f>IF(VLOOKUP(A44,'BD OFICIAL'!$A$1:$AL$2099,19,0)=R44,0,1)</f>
        <v>0</v>
      </c>
      <c r="CA44" s="6">
        <f>IF(VLOOKUP(A44,'BD OFICIAL'!$A$1:$AL$2099,21,0)=T44,0,1)</f>
        <v>0</v>
      </c>
      <c r="CB44" s="6">
        <f>IF(VLOOKUP(A44,'BD OFICIAL'!$A$1:$AL$2099,24,0)=AK44,0,1)</f>
        <v>0</v>
      </c>
      <c r="CC44" s="6">
        <f>IF(VLOOKUP(A44,'BD OFICIAL'!$A$1:$AL$2099,25,0)=X44,0,1)</f>
        <v>0</v>
      </c>
      <c r="CD44" s="6">
        <f>IF(VLOOKUP(A44,'BD OFICIAL'!$A$1:$AL$2099,26,0)=Y44,0,1)</f>
        <v>0</v>
      </c>
      <c r="CE44" s="6">
        <f>IF(VLOOKUP(A44,'BD OFICIAL'!$A$1:$AL$2099,27,0)=Z44,0,1)</f>
        <v>0</v>
      </c>
      <c r="CF44" s="6">
        <f>IF(VLOOKUP(A44,'BD OFICIAL'!$A$1:$AL$2099,28,0)=AA44,0,1)</f>
        <v>0</v>
      </c>
      <c r="CG44" s="6">
        <f>IF(VLOOKUP(A44,'BD OFICIAL'!$A$1:$AL$2099,33,0)=AF44,0,1)</f>
        <v>0</v>
      </c>
      <c r="CH44" s="6">
        <f>IF(VLOOKUP(A44,'BD OFICIAL'!$A$1:$AL$2099,35,0)=AH44,0,1)</f>
        <v>0</v>
      </c>
      <c r="CI44" s="89">
        <f>IF(VLOOKUP(A44,'BD OFICIAL'!$A$1:$AL$2099,34,0)=AL44,0,1)</f>
        <v>0</v>
      </c>
      <c r="CJ44" s="89">
        <f>VLOOKUP(A44,'BD OFICIAL'!$A$1:$AM$2099,36,0)*AM44-AP44</f>
        <v>0</v>
      </c>
      <c r="CK44" s="89" t="str">
        <f t="shared" si="0"/>
        <v>SSH</v>
      </c>
      <c r="CL44" s="89" t="str">
        <f t="shared" si="1"/>
        <v>NO</v>
      </c>
      <c r="CM44" s="89" t="str">
        <f t="shared" si="2"/>
        <v>SI</v>
      </c>
      <c r="CN44" s="35">
        <f t="shared" si="3"/>
        <v>0</v>
      </c>
      <c r="CO44" s="35">
        <f t="shared" si="19"/>
        <v>0</v>
      </c>
      <c r="CP44" s="35">
        <f t="shared" si="20"/>
        <v>0</v>
      </c>
      <c r="CQ44" s="35">
        <f>IF(VLOOKUP(A44,'BD OFICIAL'!$A:$AT,40,0)=AQ44,0,1)</f>
        <v>0</v>
      </c>
      <c r="CR44" s="35">
        <f>IF(VLOOKUP(A44,'BD OFICIAL'!$A:$AT,41,0)=AS44,0,1)</f>
        <v>0</v>
      </c>
      <c r="CS44" s="35">
        <f t="shared" si="21"/>
        <v>0</v>
      </c>
      <c r="CT44" s="35">
        <f t="shared" si="4"/>
        <v>0</v>
      </c>
      <c r="CU44" s="35">
        <f>IF(VLOOKUP(A44,'BD OFICIAL'!$A$1:$AL$1057,31,0)="SI",IF(AT44&gt;0,0,1),IF(AT44=0,0,1))</f>
        <v>0</v>
      </c>
      <c r="CV44" s="35">
        <f t="shared" si="5"/>
        <v>0</v>
      </c>
      <c r="CW44" s="35">
        <f t="shared" si="6"/>
        <v>0</v>
      </c>
      <c r="CX44" s="89" t="str">
        <f t="shared" si="7"/>
        <v>SI</v>
      </c>
      <c r="CY44" s="35">
        <f t="shared" si="8"/>
        <v>0</v>
      </c>
      <c r="CZ44" s="89" t="str">
        <f>IF(ISERROR(VLOOKUP(AI44,EXPERIENCIA!$A$1:$C$2100,1,0)),"NO","SI")</f>
        <v>SI</v>
      </c>
      <c r="DA44" s="89">
        <f>IF(CX44="no","NO APLICA",IF(AX44=0,"ERROR NOTA",IF(AND(AX44&gt;1,CZ44="NO"),"ERROR NOTA",IF(AND(CZ44="NO",AX44=1),0,IF(VLOOKUP(AI44,EXPERIENCIA!$A$1:$C$2100,3,0)=AX44,0,"ERROR NOTA")))))</f>
        <v>0</v>
      </c>
      <c r="DB44" s="89" t="str">
        <f>IF(ISERROR(VLOOKUP(AI44,COMPORTAMIENTO!$A$1:$C$2100,1,0)),"NO","SI")</f>
        <v>SI</v>
      </c>
      <c r="DC44" s="89">
        <f>IF(CX44="NO","NO APLICA",IF(AY44=0,"ERROR NOTA",IF(AND(DB44="NO",AY44=7),0,IF(VLOOKUP(AI44,COMPORTAMIENTO!$A$2:$H$2100,8,0)=AY44,0,"ERROR NOTA"))))</f>
        <v>0</v>
      </c>
      <c r="DD44" s="108">
        <f t="shared" si="9"/>
        <v>0.1</v>
      </c>
      <c r="DE44" s="108">
        <f t="shared" si="10"/>
        <v>0.70000000000000007</v>
      </c>
      <c r="DF44" s="89" t="str">
        <f t="shared" si="22"/>
        <v>NO</v>
      </c>
      <c r="DG44" s="89">
        <f t="shared" si="11"/>
        <v>7</v>
      </c>
      <c r="DH44" s="89">
        <f t="shared" si="12"/>
        <v>7</v>
      </c>
      <c r="DI44" s="89">
        <f t="shared" si="23"/>
        <v>7</v>
      </c>
      <c r="DJ44" s="16">
        <f t="shared" si="35"/>
        <v>7.0000000000000009</v>
      </c>
      <c r="DK44" s="11">
        <f t="shared" si="24"/>
        <v>7.0000000000000009</v>
      </c>
      <c r="DL44" s="16">
        <f t="shared" si="36"/>
        <v>6373</v>
      </c>
      <c r="DM44" s="16">
        <f>VLOOKUP(A44,'5 TD'!$A$3:$B$35,2,0)</f>
        <v>6373</v>
      </c>
      <c r="DN44" s="11">
        <f t="shared" si="25"/>
        <v>7</v>
      </c>
      <c r="DO44" s="89" t="str">
        <f t="shared" si="26"/>
        <v>APROBADO</v>
      </c>
      <c r="DP44" s="89" t="str">
        <f t="shared" si="27"/>
        <v>APROBADO</v>
      </c>
      <c r="DQ44" s="11">
        <f t="shared" si="28"/>
        <v>6.4</v>
      </c>
      <c r="DR44" s="89" t="str">
        <f t="shared" si="29"/>
        <v>APROBADO</v>
      </c>
      <c r="DS44" s="6" t="str">
        <f>+('3 Planilla Preadjudicación OTIC'!BP45)</f>
        <v>NO</v>
      </c>
      <c r="DT44" s="6">
        <f>IF(DR44="APROBADO",VLOOKUP(A44,'5 TD'!$D$3:$E$270,2,0),"NO APLICA")</f>
        <v>7</v>
      </c>
      <c r="DU44" s="6" t="str">
        <f t="shared" si="30"/>
        <v>NO</v>
      </c>
      <c r="DV44" s="6" t="str">
        <f>IF(DU44="SI",VLOOKUP(A44,'5 TD'!$G$3:$H$270,2,0),"NO APLICA ")</f>
        <v xml:space="preserve">NO APLICA </v>
      </c>
      <c r="DW44" s="6" t="str">
        <f t="shared" si="34"/>
        <v>NO</v>
      </c>
      <c r="DX44" s="6" t="str">
        <f>IF(DW44="SI",VLOOKUP(A44,'5 TD'!$J$4:$K$472,2,0),"NO APLICA")</f>
        <v>NO APLICA</v>
      </c>
      <c r="DY44" s="6" t="str">
        <f t="shared" si="37"/>
        <v>NO APLICA</v>
      </c>
      <c r="DZ44" s="11" t="str">
        <f>IF(DY44="SI",VLOOKUP(A44,'5 TD'!$M$4:$N$350,2,0),"NO APLICA")</f>
        <v>NO APLICA</v>
      </c>
      <c r="EA44" s="6" t="str">
        <f t="shared" si="38"/>
        <v>NO APLICA</v>
      </c>
      <c r="EB44" s="16" t="str">
        <f t="shared" si="39"/>
        <v/>
      </c>
      <c r="EC44" s="16" t="str">
        <f>IF(EA44="SI",VLOOKUP(A44,'5 TD'!$V$4:$W$479,2,0),"NO APLICA")</f>
        <v>NO APLICA</v>
      </c>
      <c r="ED44" s="6" t="str">
        <f t="shared" si="31"/>
        <v>NO</v>
      </c>
      <c r="EE44" s="83" t="str">
        <f>IF(ED44="SI",VLOOKUP(AI44,COMPORTAMIENTO!$A$1:$H$2100,7,0),"NO APLICA")</f>
        <v>NO APLICA</v>
      </c>
      <c r="EF44" s="16" t="str">
        <f>IF(ED44="SI",VLOOKUP(A44,'5 TD'!$P$2:$Q$479,2,0),"NO APLICA")</f>
        <v>NO APLICA</v>
      </c>
      <c r="EG44" s="6" t="str">
        <f t="shared" si="32"/>
        <v>NO</v>
      </c>
      <c r="EH44" s="6">
        <f>IF(CZ44="no",0,VLOOKUP(AI44,EXPERIENCIA!$A$1:$C$2100,2,0))</f>
        <v>11</v>
      </c>
      <c r="EI44" s="6">
        <f>IF(CZ44="si",VLOOKUP(A44,'5 TD'!$S$3:$T$2103,2,0),0)</f>
        <v>125</v>
      </c>
      <c r="EJ44" s="6" t="str">
        <f t="shared" si="33"/>
        <v>NO</v>
      </c>
      <c r="EK44" s="6">
        <f>+('3 Planilla Preadjudicación OTIC'!BW45)</f>
        <v>0</v>
      </c>
      <c r="EL44" s="34"/>
    </row>
    <row r="45" spans="1:146" s="7" customFormat="1" ht="12.75" x14ac:dyDescent="0.2">
      <c r="A45" s="6">
        <f>+('3 Planilla Preadjudicación OTIC'!A45)</f>
        <v>14388</v>
      </c>
      <c r="B45" s="6" t="str">
        <f>+('3 Planilla Preadjudicación OTIC'!B45)</f>
        <v>SOFOFA</v>
      </c>
      <c r="C45" s="8">
        <f>+('3 Planilla Preadjudicación OTIC'!E45)</f>
        <v>2025</v>
      </c>
      <c r="D45" s="8" t="str">
        <f>+('3 Planilla Preadjudicación OTIC'!F45)</f>
        <v>MANDATO</v>
      </c>
      <c r="E45" s="8" t="str">
        <f>+('3 Planilla Preadjudicación OTIC'!G45)</f>
        <v>65181652-1</v>
      </c>
      <c r="F45" s="8" t="str">
        <f>+('3 Planilla Preadjudicación OTIC'!H45)</f>
        <v>SOFOFA</v>
      </c>
      <c r="G45" s="8" t="str">
        <f>+('3 Planilla Preadjudicación OTIC'!I45)</f>
        <v>65140022-8</v>
      </c>
      <c r="H45" s="8" t="str">
        <f>+('3 Planilla Preadjudicación OTIC'!J45)</f>
        <v>FUTURO DEL TRABAJO</v>
      </c>
      <c r="I45" s="8" t="str">
        <f>+('3 Planilla Preadjudicación OTIC'!K45)</f>
        <v>PROCESOS LOGÍSTICOS EN BODEGAS, CENTROS DE DISTRIBUCIÓN Y CENTROS DE TRANSFERENCIA</v>
      </c>
      <c r="J45" s="8" t="str">
        <f>+('3 Planilla Preadjudicación OTIC'!L45)</f>
        <v>PF1444</v>
      </c>
      <c r="K45" s="8">
        <f>+('3 Planilla Preadjudicación OTIC'!M45)</f>
        <v>0</v>
      </c>
      <c r="L45" s="8" t="str">
        <f>+('3 Planilla Preadjudicación OTIC'!N45)</f>
        <v/>
      </c>
      <c r="M45" s="6">
        <f>+('3 Planilla Preadjudicación OTIC'!O45)</f>
        <v>13</v>
      </c>
      <c r="N45" s="8">
        <f>+('3 Planilla Preadjudicación OTIC'!P45)</f>
        <v>0</v>
      </c>
      <c r="O45" s="8" t="str">
        <f>+('3 Planilla Preadjudicación OTIC'!Q45)</f>
        <v>RENCA</v>
      </c>
      <c r="P45" s="8" t="str">
        <f>+('3 Planilla Preadjudicación OTIC'!R45)</f>
        <v>ESTUDIANTES DE CUARTO AÑO DE ENSEÑANZA MEDIA O DE LICEOS TÉCNICOS PROFESIONALES.</v>
      </c>
      <c r="Q45" s="8" t="str">
        <f>+('3 Planilla Preadjudicación OTIC'!S45)</f>
        <v>PRESENCIAL</v>
      </c>
      <c r="R45" s="8" t="str">
        <f>+('3 Planilla Preadjudicación OTIC'!T45)</f>
        <v>DEPENDIENTE</v>
      </c>
      <c r="S45" s="8" t="str">
        <f>+('3 Planilla Preadjudicación OTIC'!U45)</f>
        <v>03. LUNES - VESPERTINO / 06. MARTES - VESPERTINO / 09. MIÉRCOLES - VESPERTINO / 12. JUEVES - VESPERTINO / 15. VIERNES - VESPERTINO</v>
      </c>
      <c r="T45" s="6">
        <f>+('3 Planilla Preadjudicación OTIC'!V45)</f>
        <v>16</v>
      </c>
      <c r="U45" s="6">
        <f>+('3 Planilla Preadjudicación OTIC'!W45)</f>
        <v>80</v>
      </c>
      <c r="V45" s="6">
        <f>+('3 Planilla Preadjudicación OTIC'!X45)</f>
        <v>0</v>
      </c>
      <c r="W45" s="6">
        <f>+('3 Planilla Preadjudicación OTIC'!Y45)</f>
        <v>80</v>
      </c>
      <c r="X45" s="6">
        <f>+('3 Planilla Preadjudicación OTIC'!Z45)</f>
        <v>4</v>
      </c>
      <c r="Y45" s="6" t="str">
        <f>+('3 Planilla Preadjudicación OTIC'!AA45)</f>
        <v>SI</v>
      </c>
      <c r="Z45" s="6" t="str">
        <f>+('3 Planilla Preadjudicación OTIC'!AB45)</f>
        <v>NO</v>
      </c>
      <c r="AA45" s="6" t="str">
        <f>+('3 Planilla Preadjudicación OTIC'!AC45)</f>
        <v>NO</v>
      </c>
      <c r="AB45" s="8">
        <f>+('3 Planilla Preadjudicación OTIC'!AD45)</f>
        <v>0</v>
      </c>
      <c r="AC45" s="8" t="str">
        <f>+('3 Planilla Preadjudicación OTIC'!AE45)</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45" s="6" t="str">
        <f>+('3 Planilla Preadjudicación OTIC'!AF45)</f>
        <v>NO</v>
      </c>
      <c r="AE45" s="8">
        <f>+('3 Planilla Preadjudicación OTIC'!AG45)</f>
        <v>0</v>
      </c>
      <c r="AF45" s="6" t="str">
        <f>+('3 Planilla Preadjudicación OTIC'!AH45)</f>
        <v>CERRADA</v>
      </c>
      <c r="AG45" s="6">
        <f>+('3 Planilla Preadjudicación OTIC'!AI45)</f>
        <v>20</v>
      </c>
      <c r="AH45" s="6">
        <f>+('3 Planilla Preadjudicación OTIC'!AJ45)</f>
        <v>3</v>
      </c>
      <c r="AI45" s="140" t="str">
        <f>+('3 Planilla Preadjudicación OTIC'!AK45)</f>
        <v>76014819-9</v>
      </c>
      <c r="AJ45" s="8" t="str">
        <f>+('3 Planilla Preadjudicación OTIC'!AL45)</f>
        <v>ID Capacitación Ltda.</v>
      </c>
      <c r="AK45" s="6">
        <f>+('3 Planilla Preadjudicación OTIC'!AM45)</f>
        <v>80</v>
      </c>
      <c r="AL45" s="6">
        <f>+('3 Planilla Preadjudicación OTIC'!AN45)</f>
        <v>20</v>
      </c>
      <c r="AM45" s="16">
        <f>+('3 Planilla Preadjudicación OTIC'!AO45)</f>
        <v>6373</v>
      </c>
      <c r="AN45" s="16">
        <f>+('3 Planilla Preadjudicación OTIC'!AP45)</f>
        <v>0</v>
      </c>
      <c r="AO45" s="16">
        <f>+('3 Planilla Preadjudicación OTIC'!AQ45)</f>
        <v>0</v>
      </c>
      <c r="AP45" s="16">
        <f>+('3 Planilla Preadjudicación OTIC'!AR45)</f>
        <v>8157440</v>
      </c>
      <c r="AQ45" s="16">
        <f>+('3 Planilla Preadjudicación OTIC'!AS45)</f>
        <v>1280000</v>
      </c>
      <c r="AR45" s="16">
        <f>+('3 Planilla Preadjudicación OTIC'!AT45)</f>
        <v>0</v>
      </c>
      <c r="AS45" s="16">
        <f>+('3 Planilla Preadjudicación OTIC'!AU45)</f>
        <v>0</v>
      </c>
      <c r="AT45" s="16">
        <f>+('3 Planilla Preadjudicación OTIC'!AV45)</f>
        <v>0</v>
      </c>
      <c r="AU45" s="16">
        <f>+('3 Planilla Preadjudicación OTIC'!AW45)</f>
        <v>9437440</v>
      </c>
      <c r="AV45" s="158" t="str">
        <f>+('3 Planilla Preadjudicación OTIC'!AX45)</f>
        <v>NO</v>
      </c>
      <c r="AW45" s="8" t="str">
        <f>+('3 Planilla Preadjudicación OTIC'!AY45)</f>
        <v>NUMERAL 6.1.2. ÍTEM 11: NO PRESENTA FOTOS QUE ACREDITEN LAS CARACTERISTICAS DESCRITAS EN LA PROPUESTA</v>
      </c>
      <c r="AX45" s="6">
        <f>+('3 Planilla Preadjudicación OTIC'!AZ45)</f>
        <v>0</v>
      </c>
      <c r="AY45" s="6">
        <f>+('3 Planilla Preadjudicación OTIC'!BA45)</f>
        <v>0</v>
      </c>
      <c r="AZ45" s="6">
        <f>+('3 Planilla Preadjudicación OTIC'!BB45)</f>
        <v>0</v>
      </c>
      <c r="BA45" s="6">
        <f>+('3 Planilla Preadjudicación OTIC'!BC45)</f>
        <v>0</v>
      </c>
      <c r="BB45" s="6">
        <f>+('3 Planilla Preadjudicación OTIC'!BD45)</f>
        <v>0</v>
      </c>
      <c r="BC45" s="6">
        <f>+('3 Planilla Preadjudicación OTIC'!BE45)</f>
        <v>0</v>
      </c>
      <c r="BD45" s="6">
        <f>+('3 Planilla Preadjudicación OTIC'!BF45)</f>
        <v>0</v>
      </c>
      <c r="BE45" s="6">
        <f>+('3 Planilla Preadjudicación OTIC'!BG45)</f>
        <v>0</v>
      </c>
      <c r="BF45" s="6">
        <f>+('3 Planilla Preadjudicación OTIC'!BH45)</f>
        <v>0</v>
      </c>
      <c r="BG45" s="6">
        <f>+('3 Planilla Preadjudicación OTIC'!BI45)</f>
        <v>0</v>
      </c>
      <c r="BH45" s="6">
        <f>+('3 Planilla Preadjudicación OTIC'!BJ45)</f>
        <v>0</v>
      </c>
      <c r="BI45" s="6">
        <f>+('3 Planilla Preadjudicación OTIC'!BK45)</f>
        <v>0</v>
      </c>
      <c r="BJ45" s="6">
        <f>+('3 Planilla Preadjudicación OTIC'!BL45)</f>
        <v>0</v>
      </c>
      <c r="BK45" s="6">
        <f>+('3 Planilla Preadjudicación OTIC'!BM45)</f>
        <v>0</v>
      </c>
      <c r="BL45" s="6">
        <f>+('3 Planilla Preadjudicación OTIC'!BN45)</f>
        <v>0</v>
      </c>
      <c r="BM45" s="108">
        <f>ROUND(('3 Planilla Preadjudicación OTIC'!BO45),1)</f>
        <v>0</v>
      </c>
      <c r="BN45" s="8" t="str">
        <f>+('3 Planilla Preadjudicación OTIC'!BP45)</f>
        <v>NO</v>
      </c>
      <c r="BO45" s="8" t="str">
        <f>+('3 Planilla Preadjudicación OTIC'!BQ45)</f>
        <v>Luis Alejandro Pizarro Mora</v>
      </c>
      <c r="BP45" s="8" t="str">
        <f>+('3 Planilla Preadjudicación OTIC'!BR45)</f>
        <v>alejandro@idconsulting.cl</v>
      </c>
      <c r="BQ45" s="8">
        <f>+('3 Planilla Preadjudicación OTIC'!BS45)</f>
        <v>93454013</v>
      </c>
      <c r="BR45" s="8" t="str">
        <f>+('3 Planilla Preadjudicación OTIC'!BT45)</f>
        <v>Av. Domingo Sta. María 2704, Renca</v>
      </c>
      <c r="BS45" s="8">
        <f>+('3 Planilla Preadjudicación OTIC'!BU45)</f>
        <v>0</v>
      </c>
      <c r="BT45" s="8">
        <f>+('3 Planilla Preadjudicación OTIC'!BV45)</f>
        <v>0</v>
      </c>
      <c r="BU45" s="89">
        <f>IF(VLOOKUP(A45,'BD OFICIAL'!$A$1:$AL$2099,7,0)=D45,0,1)</f>
        <v>0</v>
      </c>
      <c r="BV45" s="89">
        <f>IF(VLOOKUP(A45,'BD OFICIAL'!$A$1:$AL$2099,11,0)=J45,0,1)</f>
        <v>0</v>
      </c>
      <c r="BW45" s="89">
        <f>IF(VLOOKUP(A45,'BD OFICIAL'!$A$1:$AL$2099,13,0)=L45,0,1)</f>
        <v>0</v>
      </c>
      <c r="BX45" s="6">
        <f>IF(VLOOKUP(A45,'BD OFICIAL'!$A$1:$AL$2099,16,0)=O45,0,1)</f>
        <v>0</v>
      </c>
      <c r="BY45" s="6">
        <f>IF(VLOOKUP(A45,'BD OFICIAL'!$A$1:$AL$2099,17,0)=P45,0,1)</f>
        <v>0</v>
      </c>
      <c r="BZ45" s="6">
        <f>IF(VLOOKUP(A45,'BD OFICIAL'!$A$1:$AL$2099,19,0)=R45,0,1)</f>
        <v>0</v>
      </c>
      <c r="CA45" s="6">
        <f>IF(VLOOKUP(A45,'BD OFICIAL'!$A$1:$AL$2099,21,0)=T45,0,1)</f>
        <v>0</v>
      </c>
      <c r="CB45" s="6">
        <f>IF(VLOOKUP(A45,'BD OFICIAL'!$A$1:$AL$2099,24,0)=AK45,0,1)</f>
        <v>0</v>
      </c>
      <c r="CC45" s="6">
        <f>IF(VLOOKUP(A45,'BD OFICIAL'!$A$1:$AL$2099,25,0)=X45,0,1)</f>
        <v>0</v>
      </c>
      <c r="CD45" s="6">
        <f>IF(VLOOKUP(A45,'BD OFICIAL'!$A$1:$AL$2099,26,0)=Y45,0,1)</f>
        <v>0</v>
      </c>
      <c r="CE45" s="6">
        <f>IF(VLOOKUP(A45,'BD OFICIAL'!$A$1:$AL$2099,27,0)=Z45,0,1)</f>
        <v>0</v>
      </c>
      <c r="CF45" s="6">
        <f>IF(VLOOKUP(A45,'BD OFICIAL'!$A$1:$AL$2099,28,0)=AA45,0,1)</f>
        <v>0</v>
      </c>
      <c r="CG45" s="6">
        <f>IF(VLOOKUP(A45,'BD OFICIAL'!$A$1:$AL$2099,33,0)=AF45,0,1)</f>
        <v>0</v>
      </c>
      <c r="CH45" s="6">
        <f>IF(VLOOKUP(A45,'BD OFICIAL'!$A$1:$AL$2099,35,0)=AH45,0,1)</f>
        <v>0</v>
      </c>
      <c r="CI45" s="89">
        <f>IF(VLOOKUP(A45,'BD OFICIAL'!$A$1:$AL$2099,34,0)=AL45,0,1)</f>
        <v>0</v>
      </c>
      <c r="CJ45" s="89">
        <f>VLOOKUP(A45,'BD OFICIAL'!$A$1:$AM$2099,36,0)*AM45-AP45</f>
        <v>0</v>
      </c>
      <c r="CK45" s="89" t="str">
        <f t="shared" si="0"/>
        <v>SSH</v>
      </c>
      <c r="CL45" s="89" t="str">
        <f t="shared" si="1"/>
        <v>SI</v>
      </c>
      <c r="CM45" s="89" t="str">
        <f t="shared" si="2"/>
        <v>NO</v>
      </c>
      <c r="CN45" s="35">
        <f t="shared" si="3"/>
        <v>0</v>
      </c>
      <c r="CO45" s="35">
        <f t="shared" si="19"/>
        <v>0</v>
      </c>
      <c r="CP45" s="35">
        <f t="shared" si="20"/>
        <v>0</v>
      </c>
      <c r="CQ45" s="35">
        <f>IF(VLOOKUP(A45,'BD OFICIAL'!$A:$AT,40,0)=AQ45,0,1)</f>
        <v>0</v>
      </c>
      <c r="CR45" s="35">
        <f>IF(VLOOKUP(A45,'BD OFICIAL'!$A:$AT,41,0)=AS45,0,1)</f>
        <v>0</v>
      </c>
      <c r="CS45" s="35">
        <f t="shared" si="21"/>
        <v>0</v>
      </c>
      <c r="CT45" s="35">
        <f t="shared" si="4"/>
        <v>0</v>
      </c>
      <c r="CU45" s="35">
        <f>IF(VLOOKUP(A45,'BD OFICIAL'!$A$1:$AL$1057,31,0)="SI",IF(AT45&gt;0,0,1),IF(AT45=0,0,1))</f>
        <v>0</v>
      </c>
      <c r="CV45" s="35">
        <f t="shared" si="5"/>
        <v>0</v>
      </c>
      <c r="CW45" s="35">
        <f t="shared" si="6"/>
        <v>0</v>
      </c>
      <c r="CX45" s="89" t="str">
        <f t="shared" si="7"/>
        <v>NO</v>
      </c>
      <c r="CY45" s="35">
        <f t="shared" si="8"/>
        <v>0</v>
      </c>
      <c r="CZ45" s="89" t="str">
        <f>IF(ISERROR(VLOOKUP(AI45,EXPERIENCIA!$A$1:$C$2100,1,0)),"NO","SI")</f>
        <v>NO</v>
      </c>
      <c r="DA45" s="89" t="str">
        <f>IF(CX45="no","NO APLICA",IF(AX45=0,"ERROR NOTA",IF(AND(AX45&gt;1,CZ45="NO"),"ERROR NOTA",IF(AND(CZ45="NO",AX45=1),0,IF(VLOOKUP(AI45,EXPERIENCIA!$A$1:$C$2100,3,0)=AX45,0,"ERROR NOTA")))))</f>
        <v>NO APLICA</v>
      </c>
      <c r="DB45" s="89" t="str">
        <f>IF(ISERROR(VLOOKUP(AI45,COMPORTAMIENTO!$A$1:$C$2100,1,0)),"NO","SI")</f>
        <v>NO</v>
      </c>
      <c r="DC45" s="89" t="str">
        <f>IF(CX45="NO","NO APLICA",IF(AY45=0,"ERROR NOTA",IF(AND(DB45="NO",AY45=7),0,IF(VLOOKUP(AI45,COMPORTAMIENTO!$A$2:$H$2100,8,0)=AY45,0,"ERROR NOTA"))))</f>
        <v>NO APLICA</v>
      </c>
      <c r="DD45" s="108" t="str">
        <f t="shared" si="9"/>
        <v>NO APLICA</v>
      </c>
      <c r="DE45" s="108" t="str">
        <f t="shared" si="10"/>
        <v>NO APLICA</v>
      </c>
      <c r="DF45" s="89" t="str">
        <f t="shared" si="22"/>
        <v>SI</v>
      </c>
      <c r="DG45" s="89">
        <f t="shared" si="11"/>
        <v>0</v>
      </c>
      <c r="DH45" s="89">
        <f t="shared" si="12"/>
        <v>0</v>
      </c>
      <c r="DI45" s="89" t="str">
        <f t="shared" si="23"/>
        <v>NO APLICA</v>
      </c>
      <c r="DJ45" s="16" t="str">
        <f t="shared" si="35"/>
        <v>NO APLICA</v>
      </c>
      <c r="DK45" s="11" t="str">
        <f t="shared" si="24"/>
        <v>NO APLICA</v>
      </c>
      <c r="DL45" s="16">
        <f t="shared" si="36"/>
        <v>6373</v>
      </c>
      <c r="DM45" s="16">
        <f>VLOOKUP(A45,'5 TD'!$A$3:$B$35,2,0)</f>
        <v>6373</v>
      </c>
      <c r="DN45" s="11" t="str">
        <f t="shared" si="25"/>
        <v>NO APLICA</v>
      </c>
      <c r="DO45" s="89" t="str">
        <f t="shared" si="26"/>
        <v>NO APLICA</v>
      </c>
      <c r="DP45" s="89" t="str">
        <f t="shared" si="27"/>
        <v>NO APLICA</v>
      </c>
      <c r="DQ45" s="11" t="str">
        <f t="shared" si="28"/>
        <v>NO APLICA</v>
      </c>
      <c r="DR45" s="89" t="str">
        <f t="shared" si="29"/>
        <v>NO APLICA</v>
      </c>
      <c r="DS45" s="6" t="str">
        <f>+('3 Planilla Preadjudicación OTIC'!BP46)</f>
        <v>NO</v>
      </c>
      <c r="DT45" s="6" t="str">
        <f>IF(DR45="APROBADO",VLOOKUP(A45,'5 TD'!$D$3:$E$270,2,0),"NO APLICA")</f>
        <v>NO APLICA</v>
      </c>
      <c r="DU45" s="6" t="str">
        <f t="shared" si="30"/>
        <v>NO APLICA</v>
      </c>
      <c r="DV45" s="158" t="str">
        <f>IF(DU45="SI",VLOOKUP(A45,'5 TD'!$G$3:$H$270,2,0),"NO APLICA ")</f>
        <v xml:space="preserve">NO APLICA </v>
      </c>
      <c r="DW45" s="6" t="str">
        <f t="shared" si="34"/>
        <v>NO</v>
      </c>
      <c r="DX45" s="6" t="str">
        <f>IF(DW45="SI",VLOOKUP(A45,'5 TD'!$J$4:$K$472,2,0),"NO APLICA")</f>
        <v>NO APLICA</v>
      </c>
      <c r="DY45" s="6" t="str">
        <f t="shared" si="37"/>
        <v>NO APLICA</v>
      </c>
      <c r="DZ45" s="11" t="str">
        <f>IF(DY45="SI",VLOOKUP(A45,'5 TD'!$M$4:$N$350,2,0),"NO APLICA")</f>
        <v>NO APLICA</v>
      </c>
      <c r="EA45" s="6" t="str">
        <f t="shared" si="38"/>
        <v>NO APLICA</v>
      </c>
      <c r="EB45" s="16" t="str">
        <f t="shared" si="39"/>
        <v/>
      </c>
      <c r="EC45" s="16" t="str">
        <f>IF(EA45="SI",VLOOKUP(A45,'5 TD'!$V$4:$W$479,2,0),"NO APLICA")</f>
        <v>NO APLICA</v>
      </c>
      <c r="ED45" s="6" t="str">
        <f t="shared" si="31"/>
        <v>NO</v>
      </c>
      <c r="EE45" s="83" t="str">
        <f>IF(ED45="SI",VLOOKUP(AI45,COMPORTAMIENTO!$A$1:$H$2100,7,0),"NO APLICA")</f>
        <v>NO APLICA</v>
      </c>
      <c r="EF45" s="16" t="str">
        <f>IF(ED45="SI",VLOOKUP(A45,'5 TD'!$P$2:$Q$479,2,0),"NO APLICA")</f>
        <v>NO APLICA</v>
      </c>
      <c r="EG45" s="6" t="str">
        <f t="shared" si="32"/>
        <v>NO</v>
      </c>
      <c r="EH45" s="6">
        <f>IF(CZ45="no",0,VLOOKUP(AI45,EXPERIENCIA!$A$1:$C$2100,2,0))</f>
        <v>0</v>
      </c>
      <c r="EI45" s="6">
        <f>IF(CZ45="si",VLOOKUP(A45,'5 TD'!$S$3:$T$2103,2,0),0)</f>
        <v>0</v>
      </c>
      <c r="EJ45" s="6" t="str">
        <f t="shared" si="33"/>
        <v>SI</v>
      </c>
      <c r="EK45" s="6">
        <f>+('3 Planilla Preadjudicación OTIC'!BW46)</f>
        <v>0</v>
      </c>
      <c r="EL45" s="34" t="s">
        <v>2390</v>
      </c>
      <c r="EM45" s="34" t="s">
        <v>2403</v>
      </c>
    </row>
    <row r="46" spans="1:146" s="7" customFormat="1" ht="12.75" x14ac:dyDescent="0.2">
      <c r="A46" s="6">
        <f>+('3 Planilla Preadjudicación OTIC'!A46)</f>
        <v>14389</v>
      </c>
      <c r="B46" s="6" t="str">
        <f>+('3 Planilla Preadjudicación OTIC'!B46)</f>
        <v>SOFOFA</v>
      </c>
      <c r="C46" s="8">
        <f>+('3 Planilla Preadjudicación OTIC'!E46)</f>
        <v>2025</v>
      </c>
      <c r="D46" s="8" t="str">
        <f>+('3 Planilla Preadjudicación OTIC'!F46)</f>
        <v>MANDATO</v>
      </c>
      <c r="E46" s="8" t="str">
        <f>+('3 Planilla Preadjudicación OTIC'!G46)</f>
        <v>65181652-1</v>
      </c>
      <c r="F46" s="8" t="str">
        <f>+('3 Planilla Preadjudicación OTIC'!H46)</f>
        <v>SOFOFA</v>
      </c>
      <c r="G46" s="8" t="str">
        <f>+('3 Planilla Preadjudicación OTIC'!I46)</f>
        <v>65140022-8</v>
      </c>
      <c r="H46" s="8" t="str">
        <f>+('3 Planilla Preadjudicación OTIC'!J46)</f>
        <v>FUTURO DEL TRABAJO</v>
      </c>
      <c r="I46" s="8" t="str">
        <f>+('3 Planilla Preadjudicación OTIC'!K46)</f>
        <v>TÉCNICAS DE SOLDADURA POR OXIGÁS, ARCO VOLTAICO, TIG Y MIG</v>
      </c>
      <c r="J46" s="8" t="str">
        <f>+('3 Planilla Preadjudicación OTIC'!L46)</f>
        <v>PF0622</v>
      </c>
      <c r="K46" s="8" t="str">
        <f>+('3 Planilla Preadjudicación OTIC'!M46)</f>
        <v>TÉCNICAS PARA EL EMPRENDIMIENTO</v>
      </c>
      <c r="L46" s="8" t="str">
        <f>+('3 Planilla Preadjudicación OTIC'!N46)</f>
        <v>PF0921</v>
      </c>
      <c r="M46" s="6">
        <f>+('3 Planilla Preadjudicación OTIC'!O46)</f>
        <v>13</v>
      </c>
      <c r="N46" s="8">
        <f>+('3 Planilla Preadjudicación OTIC'!P46)</f>
        <v>0</v>
      </c>
      <c r="O46" s="8" t="str">
        <f>+('3 Planilla Preadjudicación OTIC'!Q46)</f>
        <v>RENCA</v>
      </c>
      <c r="P46" s="8" t="str">
        <f>+('3 Planilla Preadjudicación OTIC'!R46)</f>
        <v>ESTUDIANTES DE CUARTO AÑO DE ENSEÑANZA MEDIA O DE LICEOS TÉCNICOS PROFESIONALES.</v>
      </c>
      <c r="Q46" s="8" t="str">
        <f>+('3 Planilla Preadjudicación OTIC'!S46)</f>
        <v>PRESENCIAL</v>
      </c>
      <c r="R46" s="8" t="str">
        <f>+('3 Planilla Preadjudicación OTIC'!T46)</f>
        <v>INDEPENDIENTE</v>
      </c>
      <c r="S46" s="8" t="str">
        <f>+('3 Planilla Preadjudicación OTIC'!U46)</f>
        <v>03. LUNES - VESPERTINO / 06. MARTES - VESPERTINO / 09. MIÉRCOLES - VESPERTINO / 12. JUEVES - VESPERTINO / 15. VIERNES - VESPERTINO</v>
      </c>
      <c r="T46" s="6">
        <f>+('3 Planilla Preadjudicación OTIC'!V46)</f>
        <v>14</v>
      </c>
      <c r="U46" s="6">
        <f>+('3 Planilla Preadjudicación OTIC'!W46)</f>
        <v>260</v>
      </c>
      <c r="V46" s="6">
        <f>+('3 Planilla Preadjudicación OTIC'!X46)</f>
        <v>12</v>
      </c>
      <c r="W46" s="6">
        <f>+('3 Planilla Preadjudicación OTIC'!Y46)</f>
        <v>272</v>
      </c>
      <c r="X46" s="6">
        <f>+('3 Planilla Preadjudicación OTIC'!Z46)</f>
        <v>4</v>
      </c>
      <c r="Y46" s="6" t="str">
        <f>+('3 Planilla Preadjudicación OTIC'!AA46)</f>
        <v>SI</v>
      </c>
      <c r="Z46" s="6" t="str">
        <f>+('3 Planilla Preadjudicación OTIC'!AB46)</f>
        <v>NO</v>
      </c>
      <c r="AA46" s="6" t="str">
        <f>+('3 Planilla Preadjudicación OTIC'!AC46)</f>
        <v>SI</v>
      </c>
      <c r="AB46" s="8">
        <f>+('3 Planilla Preadjudicación OTIC'!AD46)</f>
        <v>0</v>
      </c>
      <c r="AC46" s="8" t="str">
        <f>+('3 Planilla Preadjudicación OTIC'!AE46)</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46" s="6" t="str">
        <f>+('3 Planilla Preadjudicación OTIC'!AF46)</f>
        <v>SI</v>
      </c>
      <c r="AE46" s="8" t="str">
        <f>+('3 Planilla Preadjudicación OTIC'!AG46)</f>
        <v>CERTIFICACIÓN COMO SOLDADOR.</v>
      </c>
      <c r="AF46" s="6" t="str">
        <f>+('3 Planilla Preadjudicación OTIC'!AH46)</f>
        <v>CERRADA</v>
      </c>
      <c r="AG46" s="6">
        <f>+('3 Planilla Preadjudicación OTIC'!AI46)</f>
        <v>68</v>
      </c>
      <c r="AH46" s="6">
        <f>+('3 Planilla Preadjudicación OTIC'!AJ46)</f>
        <v>2</v>
      </c>
      <c r="AI46" s="140" t="str">
        <f>+('3 Planilla Preadjudicación OTIC'!AK46)</f>
        <v>76928190-8</v>
      </c>
      <c r="AJ46" s="8" t="str">
        <f>+('3 Planilla Preadjudicación OTIC'!AL46)</f>
        <v>Véliz, Núñez y Cía. Ltda.</v>
      </c>
      <c r="AK46" s="6">
        <f>+('3 Planilla Preadjudicación OTIC'!AM46)</f>
        <v>272</v>
      </c>
      <c r="AL46" s="6">
        <f>+('3 Planilla Preadjudicación OTIC'!AN46)</f>
        <v>47</v>
      </c>
      <c r="AM46" s="16">
        <f>+('3 Planilla Preadjudicación OTIC'!AO46)</f>
        <v>5075</v>
      </c>
      <c r="AN46" s="16">
        <f>+('3 Planilla Preadjudicación OTIC'!AP46)</f>
        <v>250000</v>
      </c>
      <c r="AO46" s="16">
        <f>+('3 Planilla Preadjudicación OTIC'!AQ46)</f>
        <v>400000</v>
      </c>
      <c r="AP46" s="16">
        <f>+('3 Planilla Preadjudicación OTIC'!AR46)</f>
        <v>19325600</v>
      </c>
      <c r="AQ46" s="16">
        <f>+('3 Planilla Preadjudicación OTIC'!AS46)</f>
        <v>2632000</v>
      </c>
      <c r="AR46" s="16">
        <f>+('3 Planilla Preadjudicación OTIC'!AT46)</f>
        <v>3850000</v>
      </c>
      <c r="AS46" s="16">
        <f>+('3 Planilla Preadjudicación OTIC'!AU46)</f>
        <v>0</v>
      </c>
      <c r="AT46" s="16">
        <f>+('3 Planilla Preadjudicación OTIC'!AV46)</f>
        <v>5600000</v>
      </c>
      <c r="AU46" s="16">
        <f>+('3 Planilla Preadjudicación OTIC'!AW46)</f>
        <v>31407600</v>
      </c>
      <c r="AV46" s="158" t="str">
        <f>+('3 Planilla Preadjudicación OTIC'!AX46)</f>
        <v>NO</v>
      </c>
      <c r="AW46" s="8" t="str">
        <f>+('3 Planilla Preadjudicación OTIC'!AY46)</f>
        <v>NUMERAL 6.1.2. ÍTEM 6 - ERROR EN ESTRUCTURA DE COSTOS (ÍTEM F, H, J, K, M Y N)</v>
      </c>
      <c r="AX46" s="6">
        <f>+('3 Planilla Preadjudicación OTIC'!AZ46)</f>
        <v>0</v>
      </c>
      <c r="AY46" s="6">
        <f>+('3 Planilla Preadjudicación OTIC'!BA46)</f>
        <v>0</v>
      </c>
      <c r="AZ46" s="6">
        <f>+('3 Planilla Preadjudicación OTIC'!BB46)</f>
        <v>0</v>
      </c>
      <c r="BA46" s="6">
        <f>+('3 Planilla Preadjudicación OTIC'!BC46)</f>
        <v>0</v>
      </c>
      <c r="BB46" s="6">
        <f>+('3 Planilla Preadjudicación OTIC'!BD46)</f>
        <v>0</v>
      </c>
      <c r="BC46" s="6">
        <f>+('3 Planilla Preadjudicación OTIC'!BE46)</f>
        <v>0</v>
      </c>
      <c r="BD46" s="6">
        <f>+('3 Planilla Preadjudicación OTIC'!BF46)</f>
        <v>0</v>
      </c>
      <c r="BE46" s="6">
        <f>+('3 Planilla Preadjudicación OTIC'!BG46)</f>
        <v>0</v>
      </c>
      <c r="BF46" s="6">
        <f>+('3 Planilla Preadjudicación OTIC'!BH46)</f>
        <v>0</v>
      </c>
      <c r="BG46" s="6">
        <f>+('3 Planilla Preadjudicación OTIC'!BI46)</f>
        <v>0</v>
      </c>
      <c r="BH46" s="6">
        <f>+('3 Planilla Preadjudicación OTIC'!BJ46)</f>
        <v>0</v>
      </c>
      <c r="BI46" s="6">
        <f>+('3 Planilla Preadjudicación OTIC'!BK46)</f>
        <v>0</v>
      </c>
      <c r="BJ46" s="6">
        <f>+('3 Planilla Preadjudicación OTIC'!BL46)</f>
        <v>0</v>
      </c>
      <c r="BK46" s="6">
        <f>+('3 Planilla Preadjudicación OTIC'!BM46)</f>
        <v>0</v>
      </c>
      <c r="BL46" s="6">
        <f>+('3 Planilla Preadjudicación OTIC'!BN46)</f>
        <v>0</v>
      </c>
      <c r="BM46" s="108">
        <f>ROUND(('3 Planilla Preadjudicación OTIC'!BO46),1)</f>
        <v>0</v>
      </c>
      <c r="BN46" s="8" t="str">
        <f>+('3 Planilla Preadjudicación OTIC'!BP46)</f>
        <v>NO</v>
      </c>
      <c r="BO46" s="8" t="str">
        <f>+('3 Planilla Preadjudicación OTIC'!BQ46)</f>
        <v>Marianela Núñez Véliz</v>
      </c>
      <c r="BP46" s="8" t="str">
        <f>+('3 Planilla Preadjudicación OTIC'!BR46)</f>
        <v>surorienteemprende@gmail.com</v>
      </c>
      <c r="BQ46" s="8">
        <f>+('3 Planilla Preadjudicación OTIC'!BS46)</f>
        <v>228507710</v>
      </c>
      <c r="BR46" s="8" t="str">
        <f>+('3 Planilla Preadjudicación OTIC'!BT46)</f>
        <v>Las Margaritas 3875, Renca</v>
      </c>
      <c r="BS46" s="8">
        <f>+('3 Planilla Preadjudicación OTIC'!BU46)</f>
        <v>0</v>
      </c>
      <c r="BT46" s="8">
        <f>+('3 Planilla Preadjudicación OTIC'!BV46)</f>
        <v>0</v>
      </c>
      <c r="BU46" s="89">
        <f>IF(VLOOKUP(A46,'BD OFICIAL'!$A$1:$AL$2099,7,0)=D46,0,1)</f>
        <v>0</v>
      </c>
      <c r="BV46" s="89">
        <f>IF(VLOOKUP(A46,'BD OFICIAL'!$A$1:$AL$2099,11,0)=J46,0,1)</f>
        <v>0</v>
      </c>
      <c r="BW46" s="89">
        <f>IF(VLOOKUP(A46,'BD OFICIAL'!$A$1:$AL$2099,13,0)=L46,0,1)</f>
        <v>0</v>
      </c>
      <c r="BX46" s="6">
        <f>IF(VLOOKUP(A46,'BD OFICIAL'!$A$1:$AL$2099,16,0)=O46,0,1)</f>
        <v>0</v>
      </c>
      <c r="BY46" s="6">
        <f>IF(VLOOKUP(A46,'BD OFICIAL'!$A$1:$AL$2099,17,0)=P46,0,1)</f>
        <v>0</v>
      </c>
      <c r="BZ46" s="6">
        <f>IF(VLOOKUP(A46,'BD OFICIAL'!$A$1:$AL$2099,19,0)=R46,0,1)</f>
        <v>0</v>
      </c>
      <c r="CA46" s="6">
        <f>IF(VLOOKUP(A46,'BD OFICIAL'!$A$1:$AL$2099,21,0)=T46,0,1)</f>
        <v>0</v>
      </c>
      <c r="CB46" s="6">
        <f>IF(VLOOKUP(A46,'BD OFICIAL'!$A$1:$AL$2099,24,0)=AK46,0,1)</f>
        <v>0</v>
      </c>
      <c r="CC46" s="6">
        <f>IF(VLOOKUP(A46,'BD OFICIAL'!$A$1:$AL$2099,25,0)=X46,0,1)</f>
        <v>0</v>
      </c>
      <c r="CD46" s="6">
        <f>IF(VLOOKUP(A46,'BD OFICIAL'!$A$1:$AL$2099,26,0)=Y46,0,1)</f>
        <v>0</v>
      </c>
      <c r="CE46" s="6">
        <f>IF(VLOOKUP(A46,'BD OFICIAL'!$A$1:$AL$2099,27,0)=Z46,0,1)</f>
        <v>0</v>
      </c>
      <c r="CF46" s="6">
        <f>IF(VLOOKUP(A46,'BD OFICIAL'!$A$1:$AL$2099,28,0)=AA46,0,1)</f>
        <v>0</v>
      </c>
      <c r="CG46" s="6">
        <f>IF(VLOOKUP(A46,'BD OFICIAL'!$A$1:$AL$2099,33,0)=AF46,0,1)</f>
        <v>0</v>
      </c>
      <c r="CH46" s="6">
        <f>IF(VLOOKUP(A46,'BD OFICIAL'!$A$1:$AL$2099,35,0)=AH46,0,1)</f>
        <v>0</v>
      </c>
      <c r="CI46" s="89">
        <f>IF(VLOOKUP(A46,'BD OFICIAL'!$A$1:$AL$2099,34,0)=AL46,0,1)</f>
        <v>1</v>
      </c>
      <c r="CJ46" s="89">
        <f>VLOOKUP(A46,'BD OFICIAL'!$A$1:$AM$2099,36,0)*AM46-AP46</f>
        <v>0</v>
      </c>
      <c r="CK46" s="89" t="str">
        <f t="shared" si="0"/>
        <v>SHMAN</v>
      </c>
      <c r="CL46" s="89" t="str">
        <f t="shared" si="1"/>
        <v>SI</v>
      </c>
      <c r="CM46" s="89" t="str">
        <f t="shared" si="2"/>
        <v>NO</v>
      </c>
      <c r="CN46" s="35">
        <f t="shared" si="3"/>
        <v>0</v>
      </c>
      <c r="CO46" s="35">
        <f t="shared" si="19"/>
        <v>0</v>
      </c>
      <c r="CP46" s="35">
        <f t="shared" si="20"/>
        <v>0</v>
      </c>
      <c r="CQ46" s="35">
        <f>IF(VLOOKUP(A46,'BD OFICIAL'!$A:$AT,40,0)=AQ46,0,1)</f>
        <v>1</v>
      </c>
      <c r="CR46" s="35">
        <f>IF(VLOOKUP(A46,'BD OFICIAL'!$A:$AT,41,0)=AS46,0,1)</f>
        <v>0</v>
      </c>
      <c r="CS46" s="35">
        <f t="shared" si="21"/>
        <v>0</v>
      </c>
      <c r="CT46" s="35">
        <f t="shared" si="4"/>
        <v>1</v>
      </c>
      <c r="CU46" s="35">
        <f>IF(VLOOKUP(A46,'BD OFICIAL'!$A$1:$AL$1057,31,0)="SI",IF(AT46&gt;0,0,1),IF(AT46=0,0,1))</f>
        <v>0</v>
      </c>
      <c r="CV46" s="35">
        <f t="shared" si="5"/>
        <v>0</v>
      </c>
      <c r="CW46" s="35">
        <f t="shared" si="6"/>
        <v>0</v>
      </c>
      <c r="CX46" s="89" t="str">
        <f t="shared" si="7"/>
        <v>NO</v>
      </c>
      <c r="CY46" s="35">
        <f t="shared" si="8"/>
        <v>0</v>
      </c>
      <c r="CZ46" s="89" t="str">
        <f>IF(ISERROR(VLOOKUP(AI46,EXPERIENCIA!$A$1:$C$2100,1,0)),"NO","SI")</f>
        <v>SI</v>
      </c>
      <c r="DA46" s="89" t="str">
        <f>IF(CX46="no","NO APLICA",IF(AX46=0,"ERROR NOTA",IF(AND(AX46&gt;1,CZ46="NO"),"ERROR NOTA",IF(AND(CZ46="NO",AX46=1),0,IF(VLOOKUP(AI46,EXPERIENCIA!$A$1:$C$2100,3,0)=AX46,0,"ERROR NOTA")))))</f>
        <v>NO APLICA</v>
      </c>
      <c r="DB46" s="89" t="str">
        <f>IF(ISERROR(VLOOKUP(AI46,COMPORTAMIENTO!$A$1:$C$2100,1,0)),"NO","SI")</f>
        <v>SI</v>
      </c>
      <c r="DC46" s="89" t="str">
        <f>IF(CX46="NO","NO APLICA",IF(AY46=0,"ERROR NOTA",IF(AND(DB46="NO",AY46=7),0,IF(VLOOKUP(AI46,COMPORTAMIENTO!$A$2:$H$2100,8,0)=AY46,0,"ERROR NOTA"))))</f>
        <v>NO APLICA</v>
      </c>
      <c r="DD46" s="108" t="str">
        <f t="shared" si="9"/>
        <v>NO APLICA</v>
      </c>
      <c r="DE46" s="108" t="str">
        <f t="shared" si="10"/>
        <v>NO APLICA</v>
      </c>
      <c r="DF46" s="89" t="str">
        <f t="shared" si="22"/>
        <v>SI</v>
      </c>
      <c r="DG46" s="89">
        <f t="shared" si="11"/>
        <v>0</v>
      </c>
      <c r="DH46" s="89">
        <f t="shared" si="12"/>
        <v>0</v>
      </c>
      <c r="DI46" s="89" t="str">
        <f t="shared" si="23"/>
        <v>NO APLICA</v>
      </c>
      <c r="DJ46" s="16" t="str">
        <f t="shared" si="35"/>
        <v>NO APLICA</v>
      </c>
      <c r="DK46" s="11" t="str">
        <f t="shared" si="24"/>
        <v>NO APLICA</v>
      </c>
      <c r="DL46" s="16">
        <f t="shared" si="36"/>
        <v>5075</v>
      </c>
      <c r="DM46" s="16">
        <f>VLOOKUP(A46,'5 TD'!$A$3:$B$35,2,0)</f>
        <v>5000</v>
      </c>
      <c r="DN46" s="11" t="str">
        <f t="shared" si="25"/>
        <v>NO APLICA</v>
      </c>
      <c r="DO46" s="89" t="str">
        <f t="shared" si="26"/>
        <v>NO APLICA</v>
      </c>
      <c r="DP46" s="89" t="str">
        <f t="shared" si="27"/>
        <v>NO APLICA</v>
      </c>
      <c r="DQ46" s="11" t="str">
        <f t="shared" si="28"/>
        <v>NO APLICA</v>
      </c>
      <c r="DR46" s="89" t="str">
        <f t="shared" si="29"/>
        <v>NO APLICA</v>
      </c>
      <c r="DS46" s="6" t="str">
        <f>+('3 Planilla Preadjudicación OTIC'!BP47)</f>
        <v>NO</v>
      </c>
      <c r="DT46" s="6" t="str">
        <f>IF(DR46="APROBADO",VLOOKUP(A46,'5 TD'!$D$3:$E$270,2,0),"NO APLICA")</f>
        <v>NO APLICA</v>
      </c>
      <c r="DU46" s="6" t="str">
        <f t="shared" si="30"/>
        <v>NO APLICA</v>
      </c>
      <c r="DV46" s="6" t="str">
        <f>IF(DU46="SI",VLOOKUP(A46,'5 TD'!$G$3:$H$270,2,0),"NO APLICA ")</f>
        <v xml:space="preserve">NO APLICA </v>
      </c>
      <c r="DW46" s="6" t="str">
        <f t="shared" si="34"/>
        <v>NO</v>
      </c>
      <c r="DX46" s="6" t="str">
        <f>IF(DW46="SI",VLOOKUP(A46,'5 TD'!$J$4:$K$472,2,0),"NO APLICA")</f>
        <v>NO APLICA</v>
      </c>
      <c r="DY46" s="6" t="str">
        <f t="shared" si="37"/>
        <v>NO APLICA</v>
      </c>
      <c r="DZ46" s="11" t="str">
        <f>IF(DY46="SI",VLOOKUP(A46,'5 TD'!$M$4:$N$350,2,0),"NO APLICA")</f>
        <v>NO APLICA</v>
      </c>
      <c r="EA46" s="6" t="str">
        <f t="shared" si="38"/>
        <v>NO APLICA</v>
      </c>
      <c r="EB46" s="16" t="str">
        <f t="shared" si="39"/>
        <v/>
      </c>
      <c r="EC46" s="16" t="str">
        <f>IF(EA46="SI",VLOOKUP(A46,'5 TD'!$V$4:$W$479,2,0),"NO APLICA")</f>
        <v>NO APLICA</v>
      </c>
      <c r="ED46" s="6" t="str">
        <f t="shared" si="31"/>
        <v>NO</v>
      </c>
      <c r="EE46" s="83" t="str">
        <f>IF(ED46="SI",VLOOKUP(AI46,COMPORTAMIENTO!$A$1:$H$2100,7,0),"NO APLICA")</f>
        <v>NO APLICA</v>
      </c>
      <c r="EF46" s="16" t="str">
        <f>IF(ED46="SI",VLOOKUP(A46,'5 TD'!$P$2:$Q$479,2,0),"NO APLICA")</f>
        <v>NO APLICA</v>
      </c>
      <c r="EG46" s="6" t="str">
        <f t="shared" si="32"/>
        <v>NO</v>
      </c>
      <c r="EH46" s="6">
        <f>IF(CZ46="no",0,VLOOKUP(AI46,EXPERIENCIA!$A$1:$C$2100,2,0))</f>
        <v>29</v>
      </c>
      <c r="EI46" s="6">
        <f>IF(CZ46="si",VLOOKUP(A46,'5 TD'!$S$3:$T$2103,2,0),0)</f>
        <v>125</v>
      </c>
      <c r="EJ46" s="6" t="str">
        <f t="shared" si="33"/>
        <v>NO</v>
      </c>
      <c r="EK46" s="6">
        <f>+('3 Planilla Preadjudicación OTIC'!BW47)</f>
        <v>0</v>
      </c>
      <c r="EL46" s="34" t="s">
        <v>2394</v>
      </c>
      <c r="EM46" s="7" t="s">
        <v>2399</v>
      </c>
    </row>
    <row r="47" spans="1:146" s="7" customFormat="1" ht="12.75" x14ac:dyDescent="0.2">
      <c r="A47" s="6">
        <f>+('3 Planilla Preadjudicación OTIC'!A47)</f>
        <v>14386</v>
      </c>
      <c r="B47" s="6" t="str">
        <f>+('3 Planilla Preadjudicación OTIC'!B47)</f>
        <v>SOFOFA</v>
      </c>
      <c r="C47" s="8">
        <f>+('3 Planilla Preadjudicación OTIC'!E47)</f>
        <v>2025</v>
      </c>
      <c r="D47" s="8" t="str">
        <f>+('3 Planilla Preadjudicación OTIC'!F47)</f>
        <v>MANDATO</v>
      </c>
      <c r="E47" s="8" t="str">
        <f>+('3 Planilla Preadjudicación OTIC'!G47)</f>
        <v>65181652-1</v>
      </c>
      <c r="F47" s="8" t="str">
        <f>+('3 Planilla Preadjudicación OTIC'!H47)</f>
        <v>SOFOFA</v>
      </c>
      <c r="G47" s="8" t="str">
        <f>+('3 Planilla Preadjudicación OTIC'!I47)</f>
        <v>65140022-8</v>
      </c>
      <c r="H47" s="8" t="str">
        <f>+('3 Planilla Preadjudicación OTIC'!J47)</f>
        <v>FUTURO DEL TRABAJO</v>
      </c>
      <c r="I47" s="8" t="str">
        <f>+('3 Planilla Preadjudicación OTIC'!K47)</f>
        <v>MOVILIZADOR DE CARGA</v>
      </c>
      <c r="J47" s="8" t="str">
        <f>+('3 Planilla Preadjudicación OTIC'!L47)</f>
        <v>PF0739</v>
      </c>
      <c r="K47" s="8" t="str">
        <f>+('3 Planilla Preadjudicación OTIC'!M47)</f>
        <v/>
      </c>
      <c r="L47" s="8" t="str">
        <f>+('3 Planilla Preadjudicación OTIC'!N47)</f>
        <v/>
      </c>
      <c r="M47" s="6">
        <f>+('3 Planilla Preadjudicación OTIC'!O47)</f>
        <v>13</v>
      </c>
      <c r="N47" s="8">
        <f>+('3 Planilla Preadjudicación OTIC'!P47)</f>
        <v>0</v>
      </c>
      <c r="O47" s="8" t="str">
        <f>+('3 Planilla Preadjudicación OTIC'!Q47)</f>
        <v>RENCA</v>
      </c>
      <c r="P47" s="8" t="str">
        <f>+('3 Planilla Preadjudicación OTIC'!R47)</f>
        <v>ESTUDIANTES DE CUARTO AÑO DE ENSEÑANZA MEDIA O DE LICEOS TÉCNICOS PROFESIONALES.</v>
      </c>
      <c r="Q47" s="8" t="str">
        <f>+('3 Planilla Preadjudicación OTIC'!S47)</f>
        <v>PRESENCIAL</v>
      </c>
      <c r="R47" s="8" t="str">
        <f>+('3 Planilla Preadjudicación OTIC'!T47)</f>
        <v>DEPENDIENTE</v>
      </c>
      <c r="S47" s="8" t="str">
        <f>+('3 Planilla Preadjudicación OTIC'!U47)</f>
        <v>03. LUNES - VESPERTINO / 06. MARTES - VESPERTINO / 09. MIÉRCOLES - VESPERTINO / 12. JUEVES - VESPERTINO / 15. VIERNES - VESPERTINO</v>
      </c>
      <c r="T47" s="6">
        <f>+('3 Planilla Preadjudicación OTIC'!V47)</f>
        <v>14</v>
      </c>
      <c r="U47" s="6">
        <f>+('3 Planilla Preadjudicación OTIC'!W47)</f>
        <v>120</v>
      </c>
      <c r="V47" s="6">
        <f>+('3 Planilla Preadjudicación OTIC'!X47)</f>
        <v>0</v>
      </c>
      <c r="W47" s="6">
        <f>+('3 Planilla Preadjudicación OTIC'!Y47)</f>
        <v>120</v>
      </c>
      <c r="X47" s="6">
        <f>+('3 Planilla Preadjudicación OTIC'!Z47)</f>
        <v>4</v>
      </c>
      <c r="Y47" s="6" t="str">
        <f>+('3 Planilla Preadjudicación OTIC'!AA47)</f>
        <v>SI</v>
      </c>
      <c r="Z47" s="6" t="str">
        <f>+('3 Planilla Preadjudicación OTIC'!AB47)</f>
        <v>NO</v>
      </c>
      <c r="AA47" s="6" t="str">
        <f>+('3 Planilla Preadjudicación OTIC'!AC47)</f>
        <v>NO</v>
      </c>
      <c r="AB47" s="8">
        <f>+('3 Planilla Preadjudicación OTIC'!AD47)</f>
        <v>0</v>
      </c>
      <c r="AC47" s="8" t="str">
        <f>+('3 Planilla Preadjudicación OTIC'!AE47)</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47" s="6" t="str">
        <f>+('3 Planilla Preadjudicación OTIC'!AF47)</f>
        <v>NO</v>
      </c>
      <c r="AE47" s="8">
        <f>+('3 Planilla Preadjudicación OTIC'!AG47)</f>
        <v>0</v>
      </c>
      <c r="AF47" s="6" t="str">
        <f>+('3 Planilla Preadjudicación OTIC'!AH47)</f>
        <v>CERRADA</v>
      </c>
      <c r="AG47" s="6">
        <f>+('3 Planilla Preadjudicación OTIC'!AI47)</f>
        <v>30</v>
      </c>
      <c r="AH47" s="6">
        <f>+('3 Planilla Preadjudicación OTIC'!AJ47)</f>
        <v>3</v>
      </c>
      <c r="AI47" s="140" t="str">
        <f>+('3 Planilla Preadjudicación OTIC'!AK47)</f>
        <v>76460844-5</v>
      </c>
      <c r="AJ47" s="8" t="str">
        <f>+('3 Planilla Preadjudicación OTIC'!AL47)</f>
        <v>Servicios de Capacitación Caitec S.A.</v>
      </c>
      <c r="AK47" s="6">
        <f>+('3 Planilla Preadjudicación OTIC'!AM47)</f>
        <v>120</v>
      </c>
      <c r="AL47" s="6">
        <f>+('3 Planilla Preadjudicación OTIC'!AN47)</f>
        <v>30</v>
      </c>
      <c r="AM47" s="16">
        <f>+('3 Planilla Preadjudicación OTIC'!AO47)</f>
        <v>6373</v>
      </c>
      <c r="AN47" s="16">
        <f>+('3 Planilla Preadjudicación OTIC'!AP47)</f>
        <v>0</v>
      </c>
      <c r="AO47" s="16">
        <f>+('3 Planilla Preadjudicación OTIC'!AQ47)</f>
        <v>0</v>
      </c>
      <c r="AP47" s="16">
        <f>+('3 Planilla Preadjudicación OTIC'!AR47)</f>
        <v>10706640</v>
      </c>
      <c r="AQ47" s="16">
        <f>+('3 Planilla Preadjudicación OTIC'!AS47)</f>
        <v>1680000</v>
      </c>
      <c r="AR47" s="16">
        <f>+('3 Planilla Preadjudicación OTIC'!AT47)</f>
        <v>0</v>
      </c>
      <c r="AS47" s="16">
        <f>+('3 Planilla Preadjudicación OTIC'!AU47)</f>
        <v>2100000</v>
      </c>
      <c r="AT47" s="16">
        <f>+('3 Planilla Preadjudicación OTIC'!AV47)</f>
        <v>0</v>
      </c>
      <c r="AU47" s="16">
        <f>+('3 Planilla Preadjudicación OTIC'!AW47)</f>
        <v>14486640</v>
      </c>
      <c r="AV47" s="158" t="str">
        <f>+('3 Planilla Preadjudicación OTIC'!AX47)</f>
        <v>NO</v>
      </c>
      <c r="AW47" s="8" t="str">
        <f>+('3 Planilla Preadjudicación OTIC'!AY47)</f>
        <v>NUMERAL 6.1.2. ÍTEM 6 - ERROR VALOR TOTAL DEL CURSO; OTEC ESTÁ CONSIDERANDO SUBSIDIO DE CUIDADO EN ANEXO 3, CUANDO NO ESTÁ CONTEMPLADO.</v>
      </c>
      <c r="AX47" s="6">
        <f>+('3 Planilla Preadjudicación OTIC'!AZ47)</f>
        <v>0</v>
      </c>
      <c r="AY47" s="6">
        <f>+('3 Planilla Preadjudicación OTIC'!BA47)</f>
        <v>0</v>
      </c>
      <c r="AZ47" s="6">
        <f>+('3 Planilla Preadjudicación OTIC'!BB47)</f>
        <v>0</v>
      </c>
      <c r="BA47" s="6">
        <f>+('3 Planilla Preadjudicación OTIC'!BC47)</f>
        <v>0</v>
      </c>
      <c r="BB47" s="6">
        <f>+('3 Planilla Preadjudicación OTIC'!BD47)</f>
        <v>0</v>
      </c>
      <c r="BC47" s="6">
        <f>+('3 Planilla Preadjudicación OTIC'!BE47)</f>
        <v>0</v>
      </c>
      <c r="BD47" s="6">
        <f>+('3 Planilla Preadjudicación OTIC'!BF47)</f>
        <v>0</v>
      </c>
      <c r="BE47" s="6">
        <f>+('3 Planilla Preadjudicación OTIC'!BG47)</f>
        <v>0</v>
      </c>
      <c r="BF47" s="6">
        <f>+('3 Planilla Preadjudicación OTIC'!BH47)</f>
        <v>0</v>
      </c>
      <c r="BG47" s="6">
        <f>+('3 Planilla Preadjudicación OTIC'!BI47)</f>
        <v>0</v>
      </c>
      <c r="BH47" s="6">
        <f>+('3 Planilla Preadjudicación OTIC'!BJ47)</f>
        <v>0</v>
      </c>
      <c r="BI47" s="6">
        <f>+('3 Planilla Preadjudicación OTIC'!BK47)</f>
        <v>0</v>
      </c>
      <c r="BJ47" s="6">
        <f>+('3 Planilla Preadjudicación OTIC'!BL47)</f>
        <v>0</v>
      </c>
      <c r="BK47" s="6">
        <f>+('3 Planilla Preadjudicación OTIC'!BM47)</f>
        <v>0</v>
      </c>
      <c r="BL47" s="6">
        <f>+('3 Planilla Preadjudicación OTIC'!BN47)</f>
        <v>0</v>
      </c>
      <c r="BM47" s="108">
        <f>ROUND(('3 Planilla Preadjudicación OTIC'!BO47),1)</f>
        <v>0</v>
      </c>
      <c r="BN47" s="8" t="str">
        <f>+('3 Planilla Preadjudicación OTIC'!BP47)</f>
        <v>NO</v>
      </c>
      <c r="BO47" s="8" t="str">
        <f>+('3 Planilla Preadjudicación OTIC'!BQ47)</f>
        <v>Osvaldo Sotomayor Baeza</v>
      </c>
      <c r="BP47" s="8" t="str">
        <f>+('3 Planilla Preadjudicación OTIC'!BR47)</f>
        <v>gerencia@caitec.cl</v>
      </c>
      <c r="BQ47" s="8">
        <f>+('3 Planilla Preadjudicación OTIC'!BS47)</f>
        <v>722604254</v>
      </c>
      <c r="BR47" s="8" t="str">
        <f>+('3 Planilla Preadjudicación OTIC'!BT47)</f>
        <v>Avenida La hacienda N° 1589, Renca</v>
      </c>
      <c r="BS47" s="8">
        <f>+('3 Planilla Preadjudicación OTIC'!BU47)</f>
        <v>0</v>
      </c>
      <c r="BT47" s="8">
        <f>+('3 Planilla Preadjudicación OTIC'!BV47)</f>
        <v>0</v>
      </c>
      <c r="BU47" s="89">
        <f>IF(VLOOKUP(A47,'BD OFICIAL'!$A$1:$AL$2099,7,0)=D47,0,1)</f>
        <v>0</v>
      </c>
      <c r="BV47" s="89">
        <f>IF(VLOOKUP(A47,'BD OFICIAL'!$A$1:$AL$2099,11,0)=J47,0,1)</f>
        <v>0</v>
      </c>
      <c r="BW47" s="89">
        <f>IF(VLOOKUP(A47,'BD OFICIAL'!$A$1:$AL$2099,13,0)=L47,0,1)</f>
        <v>0</v>
      </c>
      <c r="BX47" s="6">
        <f>IF(VLOOKUP(A47,'BD OFICIAL'!$A$1:$AL$2099,16,0)=O47,0,1)</f>
        <v>0</v>
      </c>
      <c r="BY47" s="6">
        <f>IF(VLOOKUP(A47,'BD OFICIAL'!$A$1:$AL$2099,17,0)=P47,0,1)</f>
        <v>0</v>
      </c>
      <c r="BZ47" s="6">
        <f>IF(VLOOKUP(A47,'BD OFICIAL'!$A$1:$AL$2099,19,0)=R47,0,1)</f>
        <v>0</v>
      </c>
      <c r="CA47" s="6">
        <f>IF(VLOOKUP(A47,'BD OFICIAL'!$A$1:$AL$2099,21,0)=T47,0,1)</f>
        <v>0</v>
      </c>
      <c r="CB47" s="6">
        <f>IF(VLOOKUP(A47,'BD OFICIAL'!$A$1:$AL$2099,24,0)=AK47,0,1)</f>
        <v>0</v>
      </c>
      <c r="CC47" s="6">
        <f>IF(VLOOKUP(A47,'BD OFICIAL'!$A$1:$AL$2099,25,0)=X47,0,1)</f>
        <v>0</v>
      </c>
      <c r="CD47" s="6">
        <f>IF(VLOOKUP(A47,'BD OFICIAL'!$A$1:$AL$2099,26,0)=Y47,0,1)</f>
        <v>0</v>
      </c>
      <c r="CE47" s="6">
        <f>IF(VLOOKUP(A47,'BD OFICIAL'!$A$1:$AL$2099,27,0)=Z47,0,1)</f>
        <v>0</v>
      </c>
      <c r="CF47" s="6">
        <f>IF(VLOOKUP(A47,'BD OFICIAL'!$A$1:$AL$2099,28,0)=AA47,0,1)</f>
        <v>0</v>
      </c>
      <c r="CG47" s="6">
        <f>IF(VLOOKUP(A47,'BD OFICIAL'!$A$1:$AL$2099,33,0)=AF47,0,1)</f>
        <v>0</v>
      </c>
      <c r="CH47" s="6">
        <f>IF(VLOOKUP(A47,'BD OFICIAL'!$A$1:$AL$2099,35,0)=AH47,0,1)</f>
        <v>0</v>
      </c>
      <c r="CI47" s="89">
        <f>IF(VLOOKUP(A47,'BD OFICIAL'!$A$1:$AL$2099,34,0)=AL47,0,1)</f>
        <v>0</v>
      </c>
      <c r="CJ47" s="89">
        <f>VLOOKUP(A47,'BD OFICIAL'!$A$1:$AM$2099,36,0)*AM47-AP47</f>
        <v>0</v>
      </c>
      <c r="CK47" s="89" t="str">
        <f t="shared" si="0"/>
        <v>SSH</v>
      </c>
      <c r="CL47" s="89" t="str">
        <f t="shared" si="1"/>
        <v>SI</v>
      </c>
      <c r="CM47" s="89" t="str">
        <f t="shared" si="2"/>
        <v>NO</v>
      </c>
      <c r="CN47" s="35">
        <f t="shared" si="3"/>
        <v>0</v>
      </c>
      <c r="CO47" s="35">
        <f t="shared" si="19"/>
        <v>0</v>
      </c>
      <c r="CP47" s="35">
        <f t="shared" si="20"/>
        <v>0</v>
      </c>
      <c r="CQ47" s="35">
        <f>IF(VLOOKUP(A47,'BD OFICIAL'!$A:$AT,40,0)=AQ47,0,1)</f>
        <v>0</v>
      </c>
      <c r="CR47" s="35">
        <f>IF(VLOOKUP(A47,'BD OFICIAL'!$A:$AT,41,0)=AS47,0,1)</f>
        <v>1</v>
      </c>
      <c r="CS47" s="35">
        <f t="shared" si="21"/>
        <v>0</v>
      </c>
      <c r="CT47" s="35">
        <f t="shared" si="4"/>
        <v>0</v>
      </c>
      <c r="CU47" s="35">
        <f>IF(VLOOKUP(A47,'BD OFICIAL'!$A$1:$AL$1057,31,0)="SI",IF(AT47&gt;0,0,1),IF(AT47=0,0,1))</f>
        <v>0</v>
      </c>
      <c r="CV47" s="35">
        <f t="shared" si="5"/>
        <v>0</v>
      </c>
      <c r="CW47" s="35">
        <f t="shared" si="6"/>
        <v>0</v>
      </c>
      <c r="CX47" s="89" t="str">
        <f t="shared" si="7"/>
        <v>NO</v>
      </c>
      <c r="CY47" s="35">
        <f t="shared" si="8"/>
        <v>0</v>
      </c>
      <c r="CZ47" s="89" t="str">
        <f>IF(ISERROR(VLOOKUP(AI47,EXPERIENCIA!$A$1:$C$2100,1,0)),"NO","SI")</f>
        <v>SI</v>
      </c>
      <c r="DA47" s="89" t="str">
        <f>IF(CX47="no","NO APLICA",IF(AX47=0,"ERROR NOTA",IF(AND(AX47&gt;1,CZ47="NO"),"ERROR NOTA",IF(AND(CZ47="NO",AX47=1),0,IF(VLOOKUP(AI47,EXPERIENCIA!$A$1:$C$2100,3,0)=AX47,0,"ERROR NOTA")))))</f>
        <v>NO APLICA</v>
      </c>
      <c r="DB47" s="89" t="str">
        <f>IF(ISERROR(VLOOKUP(AI47,COMPORTAMIENTO!$A$1:$C$2100,1,0)),"NO","SI")</f>
        <v>SI</v>
      </c>
      <c r="DC47" s="89" t="str">
        <f>IF(CX47="NO","NO APLICA",IF(AY47=0,"ERROR NOTA",IF(AND(DB47="NO",AY47=7),0,IF(VLOOKUP(AI47,COMPORTAMIENTO!$A$2:$H$2100,8,0)=AY47,0,"ERROR NOTA"))))</f>
        <v>NO APLICA</v>
      </c>
      <c r="DD47" s="108" t="str">
        <f t="shared" si="9"/>
        <v>NO APLICA</v>
      </c>
      <c r="DE47" s="108" t="str">
        <f t="shared" si="10"/>
        <v>NO APLICA</v>
      </c>
      <c r="DF47" s="89" t="str">
        <f t="shared" si="22"/>
        <v>SI</v>
      </c>
      <c r="DG47" s="89">
        <f t="shared" si="11"/>
        <v>0</v>
      </c>
      <c r="DH47" s="89">
        <f t="shared" si="12"/>
        <v>0</v>
      </c>
      <c r="DI47" s="89" t="str">
        <f t="shared" si="23"/>
        <v>NO APLICA</v>
      </c>
      <c r="DJ47" s="16" t="str">
        <f t="shared" si="35"/>
        <v>NO APLICA</v>
      </c>
      <c r="DK47" s="11" t="str">
        <f t="shared" si="24"/>
        <v>NO APLICA</v>
      </c>
      <c r="DL47" s="16">
        <f t="shared" si="36"/>
        <v>6373</v>
      </c>
      <c r="DM47" s="16">
        <f>VLOOKUP(A47,'5 TD'!$A$3:$B$35,2,0)</f>
        <v>6373</v>
      </c>
      <c r="DN47" s="11" t="str">
        <f t="shared" si="25"/>
        <v>NO APLICA</v>
      </c>
      <c r="DO47" s="89" t="str">
        <f t="shared" si="26"/>
        <v>NO APLICA</v>
      </c>
      <c r="DP47" s="89" t="str">
        <f t="shared" si="27"/>
        <v>NO APLICA</v>
      </c>
      <c r="DQ47" s="11" t="str">
        <f t="shared" si="28"/>
        <v>NO APLICA</v>
      </c>
      <c r="DR47" s="89" t="str">
        <f t="shared" si="29"/>
        <v>NO APLICA</v>
      </c>
      <c r="DS47" s="6" t="str">
        <f>+('3 Planilla Preadjudicación OTIC'!BP48)</f>
        <v>NO</v>
      </c>
      <c r="DT47" s="6" t="str">
        <f>IF(DR47="APROBADO",VLOOKUP(A47,'5 TD'!$D$3:$E$270,2,0),"NO APLICA")</f>
        <v>NO APLICA</v>
      </c>
      <c r="DU47" s="6" t="str">
        <f t="shared" si="30"/>
        <v>NO APLICA</v>
      </c>
      <c r="DV47" s="6" t="str">
        <f>IF(DU47="SI",VLOOKUP(A47,'5 TD'!$G$3:$H$270,2,0),"NO APLICA ")</f>
        <v xml:space="preserve">NO APLICA </v>
      </c>
      <c r="DW47" s="6" t="str">
        <f t="shared" si="34"/>
        <v>NO</v>
      </c>
      <c r="DX47" s="6" t="str">
        <f>IF(DW47="SI",VLOOKUP(A47,'5 TD'!$J$4:$K$472,2,0),"NO APLICA")</f>
        <v>NO APLICA</v>
      </c>
      <c r="DY47" s="6" t="str">
        <f t="shared" si="37"/>
        <v>NO APLICA</v>
      </c>
      <c r="DZ47" s="11" t="str">
        <f>IF(DY47="SI",VLOOKUP(A47,'5 TD'!$M$4:$N$350,2,0),"NO APLICA")</f>
        <v>NO APLICA</v>
      </c>
      <c r="EA47" s="6" t="str">
        <f t="shared" si="38"/>
        <v>NO APLICA</v>
      </c>
      <c r="EB47" s="16" t="str">
        <f t="shared" si="39"/>
        <v/>
      </c>
      <c r="EC47" s="16" t="str">
        <f>IF(EA47="SI",VLOOKUP(A47,'5 TD'!$V$4:$W$479,2,0),"NO APLICA")</f>
        <v>NO APLICA</v>
      </c>
      <c r="ED47" s="6" t="str">
        <f t="shared" si="31"/>
        <v>NO</v>
      </c>
      <c r="EE47" s="83" t="str">
        <f>IF(ED47="SI",VLOOKUP(AI47,COMPORTAMIENTO!$A$1:$H$2100,7,0),"NO APLICA")</f>
        <v>NO APLICA</v>
      </c>
      <c r="EF47" s="16" t="str">
        <f>IF(ED47="SI",VLOOKUP(A47,'5 TD'!$P$2:$Q$479,2,0),"NO APLICA")</f>
        <v>NO APLICA</v>
      </c>
      <c r="EG47" s="6" t="str">
        <f t="shared" si="32"/>
        <v>NO</v>
      </c>
      <c r="EH47" s="6">
        <f>IF(CZ47="no",0,VLOOKUP(AI47,EXPERIENCIA!$A$1:$C$2100,2,0))</f>
        <v>43</v>
      </c>
      <c r="EI47" s="6">
        <f>IF(CZ47="si",VLOOKUP(A47,'5 TD'!$S$3:$T$2103,2,0),0)</f>
        <v>2</v>
      </c>
      <c r="EJ47" s="6" t="str">
        <f t="shared" si="33"/>
        <v>NO</v>
      </c>
      <c r="EK47" s="6">
        <f>+('3 Planilla Preadjudicación OTIC'!BW48)</f>
        <v>0</v>
      </c>
      <c r="EL47" s="34" t="s">
        <v>2395</v>
      </c>
      <c r="EM47" s="7" t="s">
        <v>2398</v>
      </c>
      <c r="EP47" s="7" t="s">
        <v>2393</v>
      </c>
    </row>
    <row r="48" spans="1:146" s="7" customFormat="1" ht="12.75" x14ac:dyDescent="0.2">
      <c r="A48" s="6">
        <f>+('3 Planilla Preadjudicación OTIC'!A48)</f>
        <v>14388</v>
      </c>
      <c r="B48" s="6" t="str">
        <f>+('3 Planilla Preadjudicación OTIC'!B48)</f>
        <v>SOFOFA</v>
      </c>
      <c r="C48" s="8">
        <f>+('3 Planilla Preadjudicación OTIC'!E48)</f>
        <v>2025</v>
      </c>
      <c r="D48" s="8" t="str">
        <f>+('3 Planilla Preadjudicación OTIC'!F48)</f>
        <v>MANDATO</v>
      </c>
      <c r="E48" s="8" t="str">
        <f>+('3 Planilla Preadjudicación OTIC'!G48)</f>
        <v>65181652-1</v>
      </c>
      <c r="F48" s="8" t="str">
        <f>+('3 Planilla Preadjudicación OTIC'!H48)</f>
        <v>SOFOFA</v>
      </c>
      <c r="G48" s="8" t="str">
        <f>+('3 Planilla Preadjudicación OTIC'!I48)</f>
        <v>65140022-8</v>
      </c>
      <c r="H48" s="8" t="str">
        <f>+('3 Planilla Preadjudicación OTIC'!J48)</f>
        <v>FUTURO DEL TRABAJO</v>
      </c>
      <c r="I48" s="8" t="str">
        <f>+('3 Planilla Preadjudicación OTIC'!K48)</f>
        <v>PROCESOS LOGÍSTICOS EN BODEGAS, CENTROS DE DISTRIBUCIÓN Y CENTROS DE TRANSFERENCIA</v>
      </c>
      <c r="J48" s="8" t="str">
        <f>+('3 Planilla Preadjudicación OTIC'!L48)</f>
        <v>PF1444</v>
      </c>
      <c r="K48" s="8">
        <f>+('3 Planilla Preadjudicación OTIC'!M48)</f>
        <v>0</v>
      </c>
      <c r="L48" s="8" t="str">
        <f>+('3 Planilla Preadjudicación OTIC'!N48)</f>
        <v/>
      </c>
      <c r="M48" s="6">
        <f>+('3 Planilla Preadjudicación OTIC'!O48)</f>
        <v>13</v>
      </c>
      <c r="N48" s="8">
        <f>+('3 Planilla Preadjudicación OTIC'!P48)</f>
        <v>0</v>
      </c>
      <c r="O48" s="8" t="str">
        <f>+('3 Planilla Preadjudicación OTIC'!Q48)</f>
        <v>RENCA</v>
      </c>
      <c r="P48" s="8" t="str">
        <f>+('3 Planilla Preadjudicación OTIC'!R48)</f>
        <v>ESTUDIANTES DE CUARTO AÑO DE ENSEÑANZA MEDIA O DE LICEOS TÉCNICOS PROFESIONALES.</v>
      </c>
      <c r="Q48" s="8" t="str">
        <f>+('3 Planilla Preadjudicación OTIC'!S48)</f>
        <v>PRESENCIAL</v>
      </c>
      <c r="R48" s="8" t="str">
        <f>+('3 Planilla Preadjudicación OTIC'!T48)</f>
        <v>DEPENDIENTE</v>
      </c>
      <c r="S48" s="8" t="str">
        <f>+('3 Planilla Preadjudicación OTIC'!U48)</f>
        <v>03. LUNES - VESPERTINO / 06. MARTES - VESPERTINO / 09. MIÉRCOLES - VESPERTINO / 12. JUEVES - VESPERTINO / 15. VIERNES - VESPERTINO</v>
      </c>
      <c r="T48" s="6">
        <f>+('3 Planilla Preadjudicación OTIC'!V48)</f>
        <v>16</v>
      </c>
      <c r="U48" s="6">
        <f>+('3 Planilla Preadjudicación OTIC'!W48)</f>
        <v>80</v>
      </c>
      <c r="V48" s="6">
        <f>+('3 Planilla Preadjudicación OTIC'!X48)</f>
        <v>0</v>
      </c>
      <c r="W48" s="6">
        <f>+('3 Planilla Preadjudicación OTIC'!Y48)</f>
        <v>80</v>
      </c>
      <c r="X48" s="6">
        <f>+('3 Planilla Preadjudicación OTIC'!Z48)</f>
        <v>4</v>
      </c>
      <c r="Y48" s="6" t="str">
        <f>+('3 Planilla Preadjudicación OTIC'!AA48)</f>
        <v>SI</v>
      </c>
      <c r="Z48" s="6" t="str">
        <f>+('3 Planilla Preadjudicación OTIC'!AB48)</f>
        <v>NO</v>
      </c>
      <c r="AA48" s="6" t="str">
        <f>+('3 Planilla Preadjudicación OTIC'!AC48)</f>
        <v>NO</v>
      </c>
      <c r="AB48" s="8">
        <f>+('3 Planilla Preadjudicación OTIC'!AD48)</f>
        <v>0</v>
      </c>
      <c r="AC48" s="8" t="str">
        <f>+('3 Planilla Preadjudicación OTIC'!AE48)</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v>
      </c>
      <c r="AD48" s="6" t="str">
        <f>+('3 Planilla Preadjudicación OTIC'!AF48)</f>
        <v>NO</v>
      </c>
      <c r="AE48" s="8">
        <f>+('3 Planilla Preadjudicación OTIC'!AG48)</f>
        <v>0</v>
      </c>
      <c r="AF48" s="6" t="str">
        <f>+('3 Planilla Preadjudicación OTIC'!AH48)</f>
        <v>CERRADA</v>
      </c>
      <c r="AG48" s="6">
        <f>+('3 Planilla Preadjudicación OTIC'!AI48)</f>
        <v>20</v>
      </c>
      <c r="AH48" s="6">
        <f>+('3 Planilla Preadjudicación OTIC'!AJ48)</f>
        <v>3</v>
      </c>
      <c r="AI48" s="140" t="str">
        <f>+('3 Planilla Preadjudicación OTIC'!AK48)</f>
        <v>76102946-0</v>
      </c>
      <c r="AJ48" s="8" t="str">
        <f>+('3 Planilla Preadjudicación OTIC'!AL48)</f>
        <v>CAPACITACIONES INNOVA PYMES LTDA</v>
      </c>
      <c r="AK48" s="6">
        <f>+('3 Planilla Preadjudicación OTIC'!AM48)</f>
        <v>80</v>
      </c>
      <c r="AL48" s="6">
        <f>+('3 Planilla Preadjudicación OTIC'!AN48)</f>
        <v>20</v>
      </c>
      <c r="AM48" s="16">
        <f>+('3 Planilla Preadjudicación OTIC'!AO48)</f>
        <v>6373</v>
      </c>
      <c r="AN48" s="16">
        <f>+('3 Planilla Preadjudicación OTIC'!AP48)</f>
        <v>0</v>
      </c>
      <c r="AO48" s="16">
        <f>+('3 Planilla Preadjudicación OTIC'!AQ48)</f>
        <v>0</v>
      </c>
      <c r="AP48" s="16">
        <f>+('3 Planilla Preadjudicación OTIC'!AR48)</f>
        <v>8157440</v>
      </c>
      <c r="AQ48" s="16">
        <f>+('3 Planilla Preadjudicación OTIC'!AS48)</f>
        <v>1280000</v>
      </c>
      <c r="AR48" s="16">
        <f>+('3 Planilla Preadjudicación OTIC'!AT48)</f>
        <v>0</v>
      </c>
      <c r="AS48" s="16">
        <f>+('3 Planilla Preadjudicación OTIC'!AU48)</f>
        <v>0</v>
      </c>
      <c r="AT48" s="16">
        <f>+('3 Planilla Preadjudicación OTIC'!AV48)</f>
        <v>0</v>
      </c>
      <c r="AU48" s="16">
        <f>+('3 Planilla Preadjudicación OTIC'!AW48)</f>
        <v>9437440</v>
      </c>
      <c r="AV48" s="158" t="str">
        <f>+('3 Planilla Preadjudicación OTIC'!AX48)</f>
        <v>NO</v>
      </c>
      <c r="AW48" s="8" t="str">
        <f>+('3 Planilla Preadjudicación OTIC'!AY48)</f>
        <v>NUMERAL 6.1.2. ÍTEM 7 - EL OFERENTE NO PRESENTA LA ESTRUCTURA DE COSTOS PARA EL CURSO (ANEXO N° 3).</v>
      </c>
      <c r="AX48" s="6">
        <f>+('3 Planilla Preadjudicación OTIC'!AZ48)</f>
        <v>0</v>
      </c>
      <c r="AY48" s="6">
        <f>+('3 Planilla Preadjudicación OTIC'!BA48)</f>
        <v>0</v>
      </c>
      <c r="AZ48" s="6">
        <f>+('3 Planilla Preadjudicación OTIC'!BB48)</f>
        <v>0</v>
      </c>
      <c r="BA48" s="6">
        <f>+('3 Planilla Preadjudicación OTIC'!BC48)</f>
        <v>0</v>
      </c>
      <c r="BB48" s="6">
        <f>+('3 Planilla Preadjudicación OTIC'!BD48)</f>
        <v>0</v>
      </c>
      <c r="BC48" s="6">
        <f>+('3 Planilla Preadjudicación OTIC'!BE48)</f>
        <v>0</v>
      </c>
      <c r="BD48" s="6">
        <f>+('3 Planilla Preadjudicación OTIC'!BF48)</f>
        <v>0</v>
      </c>
      <c r="BE48" s="6">
        <f>+('3 Planilla Preadjudicación OTIC'!BG48)</f>
        <v>0</v>
      </c>
      <c r="BF48" s="6">
        <f>+('3 Planilla Preadjudicación OTIC'!BH48)</f>
        <v>0</v>
      </c>
      <c r="BG48" s="6">
        <f>+('3 Planilla Preadjudicación OTIC'!BI48)</f>
        <v>0</v>
      </c>
      <c r="BH48" s="6">
        <f>+('3 Planilla Preadjudicación OTIC'!BJ48)</f>
        <v>0</v>
      </c>
      <c r="BI48" s="6">
        <f>+('3 Planilla Preadjudicación OTIC'!BK48)</f>
        <v>0</v>
      </c>
      <c r="BJ48" s="6">
        <f>+('3 Planilla Preadjudicación OTIC'!BL48)</f>
        <v>0</v>
      </c>
      <c r="BK48" s="6">
        <f>+('3 Planilla Preadjudicación OTIC'!BM48)</f>
        <v>0</v>
      </c>
      <c r="BL48" s="6">
        <f>+('3 Planilla Preadjudicación OTIC'!BN48)</f>
        <v>0</v>
      </c>
      <c r="BM48" s="108">
        <f>ROUND(('3 Planilla Preadjudicación OTIC'!BO48),1)</f>
        <v>0</v>
      </c>
      <c r="BN48" s="8" t="str">
        <f>+('3 Planilla Preadjudicación OTIC'!BP48)</f>
        <v>NO</v>
      </c>
      <c r="BO48" s="8" t="str">
        <f>+('3 Planilla Preadjudicación OTIC'!BQ48)</f>
        <v>ALVARO CARLOS</v>
      </c>
      <c r="BP48" s="8" t="str">
        <f>+('3 Planilla Preadjudicación OTIC'!BR48)</f>
        <v>a.avila@innovapymes.org</v>
      </c>
      <c r="BQ48" s="8">
        <f>+('3 Planilla Preadjudicación OTIC'!BS48)</f>
        <v>342358308</v>
      </c>
      <c r="BR48" s="8" t="str">
        <f>+('3 Planilla Preadjudicación OTIC'!BT48)</f>
        <v>Montevideo 2550, Renca</v>
      </c>
      <c r="BS48" s="8">
        <f>+('3 Planilla Preadjudicación OTIC'!BU48)</f>
        <v>0</v>
      </c>
      <c r="BT48" s="8">
        <f>+('3 Planilla Preadjudicación OTIC'!BV48)</f>
        <v>0</v>
      </c>
      <c r="BU48" s="89">
        <f>IF(VLOOKUP(A48,'BD OFICIAL'!$A$1:$AL$2099,7,0)=D48,0,1)</f>
        <v>0</v>
      </c>
      <c r="BV48" s="89">
        <f>IF(VLOOKUP(A48,'BD OFICIAL'!$A$1:$AL$2099,11,0)=J48,0,1)</f>
        <v>0</v>
      </c>
      <c r="BW48" s="89">
        <f>IF(VLOOKUP(A48,'BD OFICIAL'!$A$1:$AL$2099,13,0)=L48,0,1)</f>
        <v>0</v>
      </c>
      <c r="BX48" s="6">
        <f>IF(VLOOKUP(A48,'BD OFICIAL'!$A$1:$AL$2099,16,0)=O48,0,1)</f>
        <v>0</v>
      </c>
      <c r="BY48" s="6">
        <f>IF(VLOOKUP(A48,'BD OFICIAL'!$A$1:$AL$2099,17,0)=P48,0,1)</f>
        <v>0</v>
      </c>
      <c r="BZ48" s="6">
        <f>IF(VLOOKUP(A48,'BD OFICIAL'!$A$1:$AL$2099,19,0)=R48,0,1)</f>
        <v>0</v>
      </c>
      <c r="CA48" s="6">
        <f>IF(VLOOKUP(A48,'BD OFICIAL'!$A$1:$AL$2099,21,0)=T48,0,1)</f>
        <v>0</v>
      </c>
      <c r="CB48" s="6">
        <f>IF(VLOOKUP(A48,'BD OFICIAL'!$A$1:$AL$2099,24,0)=AK48,0,1)</f>
        <v>0</v>
      </c>
      <c r="CC48" s="6">
        <f>IF(VLOOKUP(A48,'BD OFICIAL'!$A$1:$AL$2099,25,0)=X48,0,1)</f>
        <v>0</v>
      </c>
      <c r="CD48" s="6">
        <f>IF(VLOOKUP(A48,'BD OFICIAL'!$A$1:$AL$2099,26,0)=Y48,0,1)</f>
        <v>0</v>
      </c>
      <c r="CE48" s="6">
        <f>IF(VLOOKUP(A48,'BD OFICIAL'!$A$1:$AL$2099,27,0)=Z48,0,1)</f>
        <v>0</v>
      </c>
      <c r="CF48" s="6">
        <f>IF(VLOOKUP(A48,'BD OFICIAL'!$A$1:$AL$2099,28,0)=AA48,0,1)</f>
        <v>0</v>
      </c>
      <c r="CG48" s="6">
        <f>IF(VLOOKUP(A48,'BD OFICIAL'!$A$1:$AL$2099,33,0)=AF48,0,1)</f>
        <v>0</v>
      </c>
      <c r="CH48" s="6">
        <f>IF(VLOOKUP(A48,'BD OFICIAL'!$A$1:$AL$2099,35,0)=AH48,0,1)</f>
        <v>0</v>
      </c>
      <c r="CI48" s="89">
        <f>IF(VLOOKUP(A48,'BD OFICIAL'!$A$1:$AL$2099,34,0)=AL48,0,1)</f>
        <v>0</v>
      </c>
      <c r="CJ48" s="89">
        <f>VLOOKUP(A48,'BD OFICIAL'!$A$1:$AM$2099,36,0)*AM48-AP48</f>
        <v>0</v>
      </c>
      <c r="CK48" s="89" t="str">
        <f t="shared" si="0"/>
        <v>SSH</v>
      </c>
      <c r="CL48" s="89" t="str">
        <f t="shared" si="1"/>
        <v>SI</v>
      </c>
      <c r="CM48" s="89" t="str">
        <f t="shared" si="2"/>
        <v>NO</v>
      </c>
      <c r="CN48" s="35">
        <f t="shared" si="3"/>
        <v>0</v>
      </c>
      <c r="CO48" s="35">
        <f t="shared" si="19"/>
        <v>0</v>
      </c>
      <c r="CP48" s="35">
        <f t="shared" si="20"/>
        <v>0</v>
      </c>
      <c r="CQ48" s="35">
        <f>IF(VLOOKUP(A48,'BD OFICIAL'!$A:$AT,40,0)=AQ48,0,1)</f>
        <v>0</v>
      </c>
      <c r="CR48" s="35">
        <f>IF(VLOOKUP(A48,'BD OFICIAL'!$A:$AT,41,0)=AS48,0,1)</f>
        <v>0</v>
      </c>
      <c r="CS48" s="35">
        <f t="shared" si="21"/>
        <v>0</v>
      </c>
      <c r="CT48" s="35">
        <f t="shared" si="4"/>
        <v>0</v>
      </c>
      <c r="CU48" s="35">
        <f>IF(VLOOKUP(A48,'BD OFICIAL'!$A$1:$AL$1057,31,0)="SI",IF(AT48&gt;0,0,1),IF(AT48=0,0,1))</f>
        <v>0</v>
      </c>
      <c r="CV48" s="35">
        <f t="shared" si="5"/>
        <v>0</v>
      </c>
      <c r="CW48" s="35">
        <f t="shared" si="6"/>
        <v>0</v>
      </c>
      <c r="CX48" s="89" t="str">
        <f t="shared" si="7"/>
        <v>NO</v>
      </c>
      <c r="CY48" s="35">
        <f t="shared" si="8"/>
        <v>0</v>
      </c>
      <c r="CZ48" s="89" t="str">
        <f>IF(ISERROR(VLOOKUP(AI48,EXPERIENCIA!$A$1:$C$2100,1,0)),"NO","SI")</f>
        <v>SI</v>
      </c>
      <c r="DA48" s="89" t="str">
        <f>IF(CX48="no","NO APLICA",IF(AX48=0,"ERROR NOTA",IF(AND(AX48&gt;1,CZ48="NO"),"ERROR NOTA",IF(AND(CZ48="NO",AX48=1),0,IF(VLOOKUP(AI48,EXPERIENCIA!$A$1:$C$2100,3,0)=AX48,0,"ERROR NOTA")))))</f>
        <v>NO APLICA</v>
      </c>
      <c r="DB48" s="89" t="str">
        <f>IF(ISERROR(VLOOKUP(AI48,COMPORTAMIENTO!$A$1:$C$2100,1,0)),"NO","SI")</f>
        <v>SI</v>
      </c>
      <c r="DC48" s="89" t="str">
        <f>IF(CX48="NO","NO APLICA",IF(AY48=0,"ERROR NOTA",IF(AND(DB48="NO",AY48=7),0,IF(VLOOKUP(AI48,COMPORTAMIENTO!$A$2:$H$2100,8,0)=AY48,0,"ERROR NOTA"))))</f>
        <v>NO APLICA</v>
      </c>
      <c r="DD48" s="108" t="str">
        <f t="shared" si="9"/>
        <v>NO APLICA</v>
      </c>
      <c r="DE48" s="108" t="str">
        <f t="shared" si="10"/>
        <v>NO APLICA</v>
      </c>
      <c r="DF48" s="89" t="str">
        <f t="shared" si="22"/>
        <v>SI</v>
      </c>
      <c r="DG48" s="89">
        <f t="shared" si="11"/>
        <v>0</v>
      </c>
      <c r="DH48" s="89">
        <f t="shared" si="12"/>
        <v>0</v>
      </c>
      <c r="DI48" s="89" t="str">
        <f t="shared" si="23"/>
        <v>NO APLICA</v>
      </c>
      <c r="DJ48" s="16" t="str">
        <f t="shared" si="35"/>
        <v>NO APLICA</v>
      </c>
      <c r="DK48" s="11" t="str">
        <f t="shared" si="24"/>
        <v>NO APLICA</v>
      </c>
      <c r="DL48" s="16">
        <f t="shared" si="36"/>
        <v>6373</v>
      </c>
      <c r="DM48" s="16">
        <f>VLOOKUP(A48,'5 TD'!$A$3:$B$35,2,0)</f>
        <v>6373</v>
      </c>
      <c r="DN48" s="11" t="str">
        <f t="shared" si="25"/>
        <v>NO APLICA</v>
      </c>
      <c r="DO48" s="89" t="str">
        <f t="shared" si="26"/>
        <v>NO APLICA</v>
      </c>
      <c r="DP48" s="89" t="str">
        <f t="shared" si="27"/>
        <v>NO APLICA</v>
      </c>
      <c r="DQ48" s="11" t="str">
        <f t="shared" si="28"/>
        <v>NO APLICA</v>
      </c>
      <c r="DR48" s="89" t="str">
        <f t="shared" si="29"/>
        <v>NO APLICA</v>
      </c>
      <c r="DS48" s="6" t="str">
        <f>+('3 Planilla Preadjudicación OTIC'!BP49)</f>
        <v>NO</v>
      </c>
      <c r="DT48" s="6" t="str">
        <f>IF(DR48="APROBADO",VLOOKUP(A48,'5 TD'!$D$3:$E$270,2,0),"NO APLICA")</f>
        <v>NO APLICA</v>
      </c>
      <c r="DU48" s="6" t="str">
        <f t="shared" si="30"/>
        <v>NO APLICA</v>
      </c>
      <c r="DV48" s="6" t="str">
        <f>IF(DU48="SI",VLOOKUP(A48,'5 TD'!$G$3:$H$270,2,0),"NO APLICA ")</f>
        <v xml:space="preserve">NO APLICA </v>
      </c>
      <c r="DW48" s="6" t="str">
        <f t="shared" si="34"/>
        <v>NO</v>
      </c>
      <c r="DX48" s="6" t="str">
        <f>IF(DW48="SI",VLOOKUP(A48,'5 TD'!$J$4:$K$472,2,0),"NO APLICA")</f>
        <v>NO APLICA</v>
      </c>
      <c r="DY48" s="6" t="str">
        <f t="shared" si="37"/>
        <v>NO APLICA</v>
      </c>
      <c r="DZ48" s="11" t="str">
        <f>IF(DY48="SI",VLOOKUP(A48,'5 TD'!$M$4:$N$350,2,0),"NO APLICA")</f>
        <v>NO APLICA</v>
      </c>
      <c r="EA48" s="6" t="str">
        <f t="shared" si="38"/>
        <v>NO APLICA</v>
      </c>
      <c r="EB48" s="16" t="str">
        <f t="shared" si="39"/>
        <v/>
      </c>
      <c r="EC48" s="16" t="str">
        <f>IF(EA48="SI",VLOOKUP(A48,'5 TD'!$V$4:$W$479,2,0),"NO APLICA")</f>
        <v>NO APLICA</v>
      </c>
      <c r="ED48" s="6" t="str">
        <f t="shared" si="31"/>
        <v>NO</v>
      </c>
      <c r="EE48" s="83" t="str">
        <f>IF(ED48="SI",VLOOKUP(AI48,COMPORTAMIENTO!$A$1:$H$2100,7,0),"NO APLICA")</f>
        <v>NO APLICA</v>
      </c>
      <c r="EF48" s="16" t="str">
        <f>IF(ED48="SI",VLOOKUP(A48,'5 TD'!$P$2:$Q$479,2,0),"NO APLICA")</f>
        <v>NO APLICA</v>
      </c>
      <c r="EG48" s="6" t="str">
        <f t="shared" si="32"/>
        <v>NO</v>
      </c>
      <c r="EH48" s="6">
        <f>IF(CZ48="no",0,VLOOKUP(AI48,EXPERIENCIA!$A$1:$C$2100,2,0))</f>
        <v>2</v>
      </c>
      <c r="EI48" s="6">
        <f>IF(CZ48="si",VLOOKUP(A48,'5 TD'!$S$3:$T$2103,2,0),0)</f>
        <v>125</v>
      </c>
      <c r="EJ48" s="6" t="str">
        <f t="shared" si="33"/>
        <v>NO</v>
      </c>
      <c r="EK48" s="6">
        <f>+('3 Planilla Preadjudicación OTIC'!BW49)</f>
        <v>0</v>
      </c>
      <c r="EL48" s="34"/>
    </row>
    <row r="49" spans="1:143" s="7" customFormat="1" ht="12.75" x14ac:dyDescent="0.2">
      <c r="A49" s="6">
        <f>+('3 Planilla Preadjudicación OTIC'!A49)</f>
        <v>14389</v>
      </c>
      <c r="B49" s="6" t="str">
        <f>+('3 Planilla Preadjudicación OTIC'!B49)</f>
        <v>SOFOFA</v>
      </c>
      <c r="C49" s="8">
        <f>+('3 Planilla Preadjudicación OTIC'!E49)</f>
        <v>2025</v>
      </c>
      <c r="D49" s="8" t="str">
        <f>+('3 Planilla Preadjudicación OTIC'!F49)</f>
        <v>MANDATO</v>
      </c>
      <c r="E49" s="8" t="str">
        <f>+('3 Planilla Preadjudicación OTIC'!G49)</f>
        <v>65181652-1</v>
      </c>
      <c r="F49" s="8" t="str">
        <f>+('3 Planilla Preadjudicación OTIC'!H49)</f>
        <v>SOFOFA</v>
      </c>
      <c r="G49" s="8" t="str">
        <f>+('3 Planilla Preadjudicación OTIC'!I49)</f>
        <v>65140022-8</v>
      </c>
      <c r="H49" s="8" t="str">
        <f>+('3 Planilla Preadjudicación OTIC'!J49)</f>
        <v>FUTURO DEL TRABAJO</v>
      </c>
      <c r="I49" s="8" t="str">
        <f>+('3 Planilla Preadjudicación OTIC'!K49)</f>
        <v>TÉCNICAS DE SOLDADURA POR OXIGÁS, ARCO VOLTAICO, TIG Y MIG</v>
      </c>
      <c r="J49" s="8" t="str">
        <f>+('3 Planilla Preadjudicación OTIC'!L49)</f>
        <v>PF0622</v>
      </c>
      <c r="K49" s="8" t="str">
        <f>+('3 Planilla Preadjudicación OTIC'!M49)</f>
        <v>TÉCNICAS PARA EL EMPRENDIMIENTO</v>
      </c>
      <c r="L49" s="8" t="str">
        <f>+('3 Planilla Preadjudicación OTIC'!N49)</f>
        <v>PF0921</v>
      </c>
      <c r="M49" s="6">
        <f>+('3 Planilla Preadjudicación OTIC'!O49)</f>
        <v>13</v>
      </c>
      <c r="N49" s="8">
        <f>+('3 Planilla Preadjudicación OTIC'!P49)</f>
        <v>0</v>
      </c>
      <c r="O49" s="8" t="str">
        <f>+('3 Planilla Preadjudicación OTIC'!Q49)</f>
        <v>RENCA</v>
      </c>
      <c r="P49" s="8" t="str">
        <f>+('3 Planilla Preadjudicación OTIC'!R49)</f>
        <v>ESTUDIANTES DE CUARTO AÑO DE ENSEÑANZA MEDIA O DE LICEOS TÉCNICOS PROFESIONALES.</v>
      </c>
      <c r="Q49" s="8" t="str">
        <f>+('3 Planilla Preadjudicación OTIC'!S49)</f>
        <v>PRESENCIAL</v>
      </c>
      <c r="R49" s="8" t="str">
        <f>+('3 Planilla Preadjudicación OTIC'!T49)</f>
        <v>INDEPENDIENTE</v>
      </c>
      <c r="S49" s="8" t="str">
        <f>+('3 Planilla Preadjudicación OTIC'!U49)</f>
        <v>03. LUNES - VESPERTINO / 06. MARTES - VESPERTINO / 09. MIÉRCOLES - VESPERTINO / 12. JUEVES - VESPERTINO / 15. VIERNES - VESPERTINO</v>
      </c>
      <c r="T49" s="6">
        <f>+('3 Planilla Preadjudicación OTIC'!V49)</f>
        <v>14</v>
      </c>
      <c r="U49" s="6">
        <f>+('3 Planilla Preadjudicación OTIC'!W49)</f>
        <v>260</v>
      </c>
      <c r="V49" s="6">
        <f>+('3 Planilla Preadjudicación OTIC'!X49)</f>
        <v>12</v>
      </c>
      <c r="W49" s="6">
        <f>+('3 Planilla Preadjudicación OTIC'!Y49)</f>
        <v>272</v>
      </c>
      <c r="X49" s="6">
        <f>+('3 Planilla Preadjudicación OTIC'!Z49)</f>
        <v>4</v>
      </c>
      <c r="Y49" s="6" t="str">
        <f>+('3 Planilla Preadjudicación OTIC'!AA49)</f>
        <v>SI</v>
      </c>
      <c r="Z49" s="6" t="str">
        <f>+('3 Planilla Preadjudicación OTIC'!AB49)</f>
        <v>NO</v>
      </c>
      <c r="AA49" s="6" t="str">
        <f>+('3 Planilla Preadjudicación OTIC'!AC49)</f>
        <v>SI</v>
      </c>
      <c r="AB49" s="8">
        <f>+('3 Planilla Preadjudicación OTIC'!AD49)</f>
        <v>0</v>
      </c>
      <c r="AC49" s="8" t="str">
        <f>+('3 Planilla Preadjudicación OTIC'!AE49)</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49" s="6" t="str">
        <f>+('3 Planilla Preadjudicación OTIC'!AF49)</f>
        <v>SI</v>
      </c>
      <c r="AE49" s="8" t="str">
        <f>+('3 Planilla Preadjudicación OTIC'!AG49)</f>
        <v>CERTIFICACIÓN COMO SOLDADOR.</v>
      </c>
      <c r="AF49" s="6" t="str">
        <f>+('3 Planilla Preadjudicación OTIC'!AH49)</f>
        <v>CERRADA</v>
      </c>
      <c r="AG49" s="6">
        <f>+('3 Planilla Preadjudicación OTIC'!AI49)</f>
        <v>68</v>
      </c>
      <c r="AH49" s="6">
        <f>+('3 Planilla Preadjudicación OTIC'!AJ49)</f>
        <v>2</v>
      </c>
      <c r="AI49" s="140" t="str">
        <f>+('3 Planilla Preadjudicación OTIC'!AK49)</f>
        <v>87730100-1</v>
      </c>
      <c r="AJ49" s="8" t="str">
        <f>+('3 Planilla Preadjudicación OTIC'!AL49)</f>
        <v>CENTRO TECNICO INDURA LIMITADA</v>
      </c>
      <c r="AK49" s="6">
        <f>+('3 Planilla Preadjudicación OTIC'!AM49)</f>
        <v>272</v>
      </c>
      <c r="AL49" s="6">
        <f>+('3 Planilla Preadjudicación OTIC'!AN49)</f>
        <v>68</v>
      </c>
      <c r="AM49" s="16">
        <f>+('3 Planilla Preadjudicación OTIC'!AO49)</f>
        <v>6300</v>
      </c>
      <c r="AN49" s="16">
        <f>+('3 Planilla Preadjudicación OTIC'!AP49)</f>
        <v>250000</v>
      </c>
      <c r="AO49" s="16">
        <f>+('3 Planilla Preadjudicación OTIC'!AQ49)</f>
        <v>250000</v>
      </c>
      <c r="AP49" s="16">
        <f>+('3 Planilla Preadjudicación OTIC'!AR49)</f>
        <v>23990400</v>
      </c>
      <c r="AQ49" s="16">
        <f>+('3 Planilla Preadjudicación OTIC'!AS49)</f>
        <v>3808000</v>
      </c>
      <c r="AR49" s="16">
        <f>+('3 Planilla Preadjudicación OTIC'!AT49)</f>
        <v>3500000</v>
      </c>
      <c r="AS49" s="16">
        <f>+('3 Planilla Preadjudicación OTIC'!AU49)</f>
        <v>0</v>
      </c>
      <c r="AT49" s="16">
        <f>+('3 Planilla Preadjudicación OTIC'!AV49)</f>
        <v>3500000</v>
      </c>
      <c r="AU49" s="16">
        <f>+('3 Planilla Preadjudicación OTIC'!AW49)</f>
        <v>34798400</v>
      </c>
      <c r="AV49" s="158" t="str">
        <f>+('3 Planilla Preadjudicación OTIC'!AX49)</f>
        <v>NO</v>
      </c>
      <c r="AW49" s="8" t="str">
        <f>+('3 Planilla Preadjudicación OTIC'!AY49)</f>
        <v>NUMERAL 6.1.2. ÍTEM 7 - OTEC ADJUNTA ANEXO DE PROPUESTA, SIN EMBARGO, NO ADJUNTA EL ANEXO 3 CORRESPONDIENTE AL CURSO / NUMERAL 6.1.2. ÍTEM 11: NO PRESENTA FOTOS QUE ACREDITEN LAS CARACTERISTICAS DESCRITAS EN LA PROPUESTA, NO PRESENTA MODELO CARTA COMPROMISO DE INFRAESTRUCTURA</v>
      </c>
      <c r="AX49" s="6">
        <f>+('3 Planilla Preadjudicación OTIC'!AZ49)</f>
        <v>0</v>
      </c>
      <c r="AY49" s="6">
        <f>+('3 Planilla Preadjudicación OTIC'!BA49)</f>
        <v>0</v>
      </c>
      <c r="AZ49" s="6">
        <f>+('3 Planilla Preadjudicación OTIC'!BB49)</f>
        <v>0</v>
      </c>
      <c r="BA49" s="6">
        <f>+('3 Planilla Preadjudicación OTIC'!BC49)</f>
        <v>0</v>
      </c>
      <c r="BB49" s="6">
        <f>+('3 Planilla Preadjudicación OTIC'!BD49)</f>
        <v>0</v>
      </c>
      <c r="BC49" s="6">
        <f>+('3 Planilla Preadjudicación OTIC'!BE49)</f>
        <v>0</v>
      </c>
      <c r="BD49" s="6">
        <f>+('3 Planilla Preadjudicación OTIC'!BF49)</f>
        <v>0</v>
      </c>
      <c r="BE49" s="6">
        <f>+('3 Planilla Preadjudicación OTIC'!BG49)</f>
        <v>0</v>
      </c>
      <c r="BF49" s="6">
        <f>+('3 Planilla Preadjudicación OTIC'!BH49)</f>
        <v>0</v>
      </c>
      <c r="BG49" s="6">
        <f>+('3 Planilla Preadjudicación OTIC'!BI49)</f>
        <v>0</v>
      </c>
      <c r="BH49" s="6">
        <f>+('3 Planilla Preadjudicación OTIC'!BJ49)</f>
        <v>0</v>
      </c>
      <c r="BI49" s="6">
        <f>+('3 Planilla Preadjudicación OTIC'!BK49)</f>
        <v>0</v>
      </c>
      <c r="BJ49" s="6">
        <f>+('3 Planilla Preadjudicación OTIC'!BL49)</f>
        <v>0</v>
      </c>
      <c r="BK49" s="6">
        <f>+('3 Planilla Preadjudicación OTIC'!BM49)</f>
        <v>0</v>
      </c>
      <c r="BL49" s="6">
        <f>+('3 Planilla Preadjudicación OTIC'!BN49)</f>
        <v>0</v>
      </c>
      <c r="BM49" s="108">
        <f>ROUND(('3 Planilla Preadjudicación OTIC'!BO49),1)</f>
        <v>0</v>
      </c>
      <c r="BN49" s="8" t="str">
        <f>+('3 Planilla Preadjudicación OTIC'!BP49)</f>
        <v>NO</v>
      </c>
      <c r="BO49" s="8" t="str">
        <f>+('3 Planilla Preadjudicación OTIC'!BQ49)</f>
        <v>Viviana Díaz Salazar</v>
      </c>
      <c r="BP49" s="8" t="str">
        <f>+('3 Planilla Preadjudicación OTIC'!BR49)</f>
        <v>DIAZSAVC@airproducts.com</v>
      </c>
      <c r="BQ49" s="8">
        <f>+('3 Planilla Preadjudicación OTIC'!BS49)</f>
        <v>225303178</v>
      </c>
      <c r="BR49" s="8" t="str">
        <f>+('3 Planilla Preadjudicación OTIC'!BT49)</f>
        <v>Por confirmar, Renca</v>
      </c>
      <c r="BS49" s="8">
        <f>+('3 Planilla Preadjudicación OTIC'!BU49)</f>
        <v>0</v>
      </c>
      <c r="BT49" s="8">
        <f>+('3 Planilla Preadjudicación OTIC'!BV49)</f>
        <v>0</v>
      </c>
      <c r="BU49" s="89">
        <f>IF(VLOOKUP(A49,'BD OFICIAL'!$A$1:$AL$2099,7,0)=D49,0,1)</f>
        <v>0</v>
      </c>
      <c r="BV49" s="89">
        <f>IF(VLOOKUP(A49,'BD OFICIAL'!$A$1:$AL$2099,11,0)=J49,0,1)</f>
        <v>0</v>
      </c>
      <c r="BW49" s="89">
        <f>IF(VLOOKUP(A49,'BD OFICIAL'!$A$1:$AL$2099,13,0)=L49,0,1)</f>
        <v>0</v>
      </c>
      <c r="BX49" s="6">
        <f>IF(VLOOKUP(A49,'BD OFICIAL'!$A$1:$AL$2099,16,0)=O49,0,1)</f>
        <v>0</v>
      </c>
      <c r="BY49" s="6">
        <f>IF(VLOOKUP(A49,'BD OFICIAL'!$A$1:$AL$2099,17,0)=P49,0,1)</f>
        <v>0</v>
      </c>
      <c r="BZ49" s="6">
        <f>IF(VLOOKUP(A49,'BD OFICIAL'!$A$1:$AL$2099,19,0)=R49,0,1)</f>
        <v>0</v>
      </c>
      <c r="CA49" s="6">
        <f>IF(VLOOKUP(A49,'BD OFICIAL'!$A$1:$AL$2099,21,0)=T49,0,1)</f>
        <v>0</v>
      </c>
      <c r="CB49" s="6">
        <f>IF(VLOOKUP(A49,'BD OFICIAL'!$A$1:$AL$2099,24,0)=AK49,0,1)</f>
        <v>0</v>
      </c>
      <c r="CC49" s="6">
        <f>IF(VLOOKUP(A49,'BD OFICIAL'!$A$1:$AL$2099,25,0)=X49,0,1)</f>
        <v>0</v>
      </c>
      <c r="CD49" s="6">
        <f>IF(VLOOKUP(A49,'BD OFICIAL'!$A$1:$AL$2099,26,0)=Y49,0,1)</f>
        <v>0</v>
      </c>
      <c r="CE49" s="6">
        <f>IF(VLOOKUP(A49,'BD OFICIAL'!$A$1:$AL$2099,27,0)=Z49,0,1)</f>
        <v>0</v>
      </c>
      <c r="CF49" s="6">
        <f>IF(VLOOKUP(A49,'BD OFICIAL'!$A$1:$AL$2099,28,0)=AA49,0,1)</f>
        <v>0</v>
      </c>
      <c r="CG49" s="6">
        <f>IF(VLOOKUP(A49,'BD OFICIAL'!$A$1:$AL$2099,33,0)=AF49,0,1)</f>
        <v>0</v>
      </c>
      <c r="CH49" s="6">
        <f>IF(VLOOKUP(A49,'BD OFICIAL'!$A$1:$AL$2099,35,0)=AH49,0,1)</f>
        <v>0</v>
      </c>
      <c r="CI49" s="89">
        <f>IF(VLOOKUP(A49,'BD OFICIAL'!$A$1:$AL$2099,34,0)=AL49,0,1)</f>
        <v>0</v>
      </c>
      <c r="CJ49" s="89">
        <f>VLOOKUP(A49,'BD OFICIAL'!$A$1:$AM$2099,36,0)*AM49-AP49</f>
        <v>0</v>
      </c>
      <c r="CK49" s="89" t="str">
        <f t="shared" si="0"/>
        <v>SHMAN</v>
      </c>
      <c r="CL49" s="89" t="str">
        <f t="shared" si="1"/>
        <v>SI</v>
      </c>
      <c r="CM49" s="89" t="str">
        <f t="shared" si="2"/>
        <v>NO</v>
      </c>
      <c r="CN49" s="35">
        <f t="shared" si="3"/>
        <v>0</v>
      </c>
      <c r="CO49" s="35">
        <f t="shared" si="19"/>
        <v>0</v>
      </c>
      <c r="CP49" s="35">
        <f t="shared" si="20"/>
        <v>0</v>
      </c>
      <c r="CQ49" s="35">
        <f>IF(VLOOKUP(A49,'BD OFICIAL'!$A:$AT,40,0)=AQ49,0,1)</f>
        <v>0</v>
      </c>
      <c r="CR49" s="35">
        <f>IF(VLOOKUP(A49,'BD OFICIAL'!$A:$AT,41,0)=AS49,0,1)</f>
        <v>0</v>
      </c>
      <c r="CS49" s="35">
        <f t="shared" si="21"/>
        <v>0</v>
      </c>
      <c r="CT49" s="35">
        <f t="shared" si="4"/>
        <v>0</v>
      </c>
      <c r="CU49" s="35">
        <f>IF(VLOOKUP(A49,'BD OFICIAL'!$A$1:$AL$1057,31,0)="SI",IF(AT49&gt;0,0,1),IF(AT49=0,0,1))</f>
        <v>0</v>
      </c>
      <c r="CV49" s="35">
        <f t="shared" si="5"/>
        <v>0</v>
      </c>
      <c r="CW49" s="35">
        <f t="shared" si="6"/>
        <v>0</v>
      </c>
      <c r="CX49" s="89" t="str">
        <f t="shared" si="7"/>
        <v>NO</v>
      </c>
      <c r="CY49" s="35">
        <f t="shared" si="8"/>
        <v>0</v>
      </c>
      <c r="CZ49" s="89" t="str">
        <f>IF(ISERROR(VLOOKUP(AI49,EXPERIENCIA!$A$1:$C$2100,1,0)),"NO","SI")</f>
        <v>SI</v>
      </c>
      <c r="DA49" s="89" t="str">
        <f>IF(CX49="no","NO APLICA",IF(AX49=0,"ERROR NOTA",IF(AND(AX49&gt;1,CZ49="NO"),"ERROR NOTA",IF(AND(CZ49="NO",AX49=1),0,IF(VLOOKUP(AI49,EXPERIENCIA!$A$1:$C$2100,3,0)=AX49,0,"ERROR NOTA")))))</f>
        <v>NO APLICA</v>
      </c>
      <c r="DB49" s="89" t="str">
        <f>IF(ISERROR(VLOOKUP(AI49,COMPORTAMIENTO!$A$1:$C$2100,1,0)),"NO","SI")</f>
        <v>SI</v>
      </c>
      <c r="DC49" s="89" t="str">
        <f>IF(CX49="NO","NO APLICA",IF(AY49=0,"ERROR NOTA",IF(AND(DB49="NO",AY49=7),0,IF(VLOOKUP(AI49,COMPORTAMIENTO!$A$2:$H$2100,8,0)=AY49,0,"ERROR NOTA"))))</f>
        <v>NO APLICA</v>
      </c>
      <c r="DD49" s="108" t="str">
        <f t="shared" si="9"/>
        <v>NO APLICA</v>
      </c>
      <c r="DE49" s="108" t="str">
        <f t="shared" si="10"/>
        <v>NO APLICA</v>
      </c>
      <c r="DF49" s="89" t="str">
        <f t="shared" si="22"/>
        <v>SI</v>
      </c>
      <c r="DG49" s="89">
        <f t="shared" si="11"/>
        <v>0</v>
      </c>
      <c r="DH49" s="89">
        <f t="shared" si="12"/>
        <v>0</v>
      </c>
      <c r="DI49" s="89" t="str">
        <f t="shared" si="23"/>
        <v>NO APLICA</v>
      </c>
      <c r="DJ49" s="16" t="str">
        <f t="shared" si="35"/>
        <v>NO APLICA</v>
      </c>
      <c r="DK49" s="11" t="str">
        <f t="shared" si="24"/>
        <v>NO APLICA</v>
      </c>
      <c r="DL49" s="16">
        <f t="shared" si="36"/>
        <v>6300</v>
      </c>
      <c r="DM49" s="16">
        <f>VLOOKUP(A49,'5 TD'!$A$3:$B$35,2,0)</f>
        <v>5000</v>
      </c>
      <c r="DN49" s="11" t="str">
        <f t="shared" si="25"/>
        <v>NO APLICA</v>
      </c>
      <c r="DO49" s="89" t="str">
        <f t="shared" si="26"/>
        <v>NO APLICA</v>
      </c>
      <c r="DP49" s="89" t="str">
        <f t="shared" si="27"/>
        <v>NO APLICA</v>
      </c>
      <c r="DQ49" s="11" t="str">
        <f t="shared" si="28"/>
        <v>NO APLICA</v>
      </c>
      <c r="DR49" s="89" t="str">
        <f t="shared" si="29"/>
        <v>NO APLICA</v>
      </c>
      <c r="DS49" s="6" t="str">
        <f>+('3 Planilla Preadjudicación OTIC'!BP50)</f>
        <v>NO</v>
      </c>
      <c r="DT49" s="6" t="str">
        <f>IF(DR49="APROBADO",VLOOKUP(A49,'5 TD'!$D$3:$E$270,2,0),"NO APLICA")</f>
        <v>NO APLICA</v>
      </c>
      <c r="DU49" s="6" t="str">
        <f t="shared" si="30"/>
        <v>NO APLICA</v>
      </c>
      <c r="DV49" s="6" t="str">
        <f>IF(DU49="SI",VLOOKUP(A49,'5 TD'!$G$3:$H$270,2,0),"NO APLICA ")</f>
        <v xml:space="preserve">NO APLICA </v>
      </c>
      <c r="DW49" s="6" t="str">
        <f t="shared" si="34"/>
        <v>NO</v>
      </c>
      <c r="DX49" s="6" t="str">
        <f>IF(DW49="SI",VLOOKUP(A49,'5 TD'!$J$4:$K$472,2,0),"NO APLICA")</f>
        <v>NO APLICA</v>
      </c>
      <c r="DY49" s="6" t="str">
        <f t="shared" si="37"/>
        <v>NO APLICA</v>
      </c>
      <c r="DZ49" s="11" t="str">
        <f>IF(DY49="SI",VLOOKUP(A49,'5 TD'!$M$4:$N$350,2,0),"NO APLICA")</f>
        <v>NO APLICA</v>
      </c>
      <c r="EA49" s="6" t="str">
        <f t="shared" si="38"/>
        <v>NO APLICA</v>
      </c>
      <c r="EB49" s="16" t="str">
        <f t="shared" si="39"/>
        <v/>
      </c>
      <c r="EC49" s="16" t="str">
        <f>IF(EA49="SI",VLOOKUP(A49,'5 TD'!$V$4:$W$479,2,0),"NO APLICA")</f>
        <v>NO APLICA</v>
      </c>
      <c r="ED49" s="6" t="str">
        <f t="shared" si="31"/>
        <v>NO</v>
      </c>
      <c r="EE49" s="83" t="str">
        <f>IF(ED49="SI",VLOOKUP(AI49,COMPORTAMIENTO!$A$1:$H$2100,7,0),"NO APLICA")</f>
        <v>NO APLICA</v>
      </c>
      <c r="EF49" s="16" t="str">
        <f>IF(ED49="SI",VLOOKUP(A49,'5 TD'!$P$2:$Q$479,2,0),"NO APLICA")</f>
        <v>NO APLICA</v>
      </c>
      <c r="EG49" s="6" t="str">
        <f t="shared" si="32"/>
        <v>NO</v>
      </c>
      <c r="EH49" s="6">
        <f>IF(CZ49="no",0,VLOOKUP(AI49,EXPERIENCIA!$A$1:$C$2100,2,0))</f>
        <v>8</v>
      </c>
      <c r="EI49" s="6">
        <f>IF(CZ49="si",VLOOKUP(A49,'5 TD'!$S$3:$T$2103,2,0),0)</f>
        <v>125</v>
      </c>
      <c r="EJ49" s="6" t="str">
        <f t="shared" si="33"/>
        <v>NO</v>
      </c>
      <c r="EK49" s="6">
        <f>+('3 Planilla Preadjudicación OTIC'!BW50)</f>
        <v>0</v>
      </c>
      <c r="EL49" s="34" t="s">
        <v>2390</v>
      </c>
      <c r="EM49" s="34" t="s">
        <v>2404</v>
      </c>
    </row>
    <row r="50" spans="1:143" s="7" customFormat="1" ht="12.75" x14ac:dyDescent="0.2">
      <c r="A50" s="6">
        <f>+('3 Planilla Preadjudicación OTIC'!A50)</f>
        <v>14626</v>
      </c>
      <c r="B50" s="6" t="str">
        <f>+('3 Planilla Preadjudicación OTIC'!B50)</f>
        <v>SOFOFA</v>
      </c>
      <c r="C50" s="8">
        <f>+('3 Planilla Preadjudicación OTIC'!E50)</f>
        <v>2025</v>
      </c>
      <c r="D50" s="8" t="str">
        <f>+('3 Planilla Preadjudicación OTIC'!F50)</f>
        <v>MANDATO</v>
      </c>
      <c r="E50" s="8" t="str">
        <f>+('3 Planilla Preadjudicación OTIC'!G50)</f>
        <v>65181652-1</v>
      </c>
      <c r="F50" s="8" t="str">
        <f>+('3 Planilla Preadjudicación OTIC'!H50)</f>
        <v>SOFOFA</v>
      </c>
      <c r="G50" s="8" t="str">
        <f>+('3 Planilla Preadjudicación OTIC'!I50)</f>
        <v>70417500-0</v>
      </c>
      <c r="H50" s="8" t="str">
        <f>+('3 Planilla Preadjudicación OTIC'!J50)</f>
        <v>CORPORACION DE CAPACITACION Y EMPLEO SOFOFA (LICEOS)</v>
      </c>
      <c r="I50" s="8" t="str">
        <f>+('3 Planilla Preadjudicación OTIC'!K50)</f>
        <v>CURSO ESPECIAL CON SIMULADOR DE INMERSIÓN TOTAL CONDUCENTE A LICENCIA DE CONDUCTOR PROFESIONAL CLASE A-5</v>
      </c>
      <c r="J50" s="8" t="str">
        <f>+('3 Planilla Preadjudicación OTIC'!L50)</f>
        <v>PF0621</v>
      </c>
      <c r="K50" s="8">
        <f>+('3 Planilla Preadjudicación OTIC'!M50)</f>
        <v>0</v>
      </c>
      <c r="L50" s="8" t="str">
        <f>+('3 Planilla Preadjudicación OTIC'!N50)</f>
        <v/>
      </c>
      <c r="M50" s="6">
        <f>+('3 Planilla Preadjudicación OTIC'!O50)</f>
        <v>13</v>
      </c>
      <c r="N50" s="8">
        <f>+('3 Planilla Preadjudicación OTIC'!P50)</f>
        <v>0</v>
      </c>
      <c r="O50" s="8" t="str">
        <f>+('3 Planilla Preadjudicación OTIC'!Q50)</f>
        <v>SANTIAGO</v>
      </c>
      <c r="P50" s="8" t="str">
        <f>+('3 Planilla Preadjudicación OTIC'!R50)</f>
        <v>EMPRENDEDORES/AS INFORMALES O PERSONAS VULNERABLES PERTENECIENTES AL 80% MAS VULNERABLE</v>
      </c>
      <c r="Q50" s="8" t="str">
        <f>+('3 Planilla Preadjudicación OTIC'!S50)</f>
        <v>PRESENCIAL</v>
      </c>
      <c r="R50" s="8" t="str">
        <f>+('3 Planilla Preadjudicación OTIC'!T50)</f>
        <v>DEPENDIENTE</v>
      </c>
      <c r="S50" s="8" t="str">
        <f>+('3 Planilla Preadjudicación OTIC'!U50)</f>
        <v>01. LUNES - MAÑANA / 04. MARTES - MAÑANA / 07. MIÉRCOLES - MAÑANA / 10. JUEVES - MAÑANA / 13. VIERNES - MAÑANA</v>
      </c>
      <c r="T50" s="6">
        <f>+('3 Planilla Preadjudicación OTIC'!V50)</f>
        <v>15</v>
      </c>
      <c r="U50" s="6">
        <f>+('3 Planilla Preadjudicación OTIC'!W50)</f>
        <v>225</v>
      </c>
      <c r="V50" s="6">
        <f>+('3 Planilla Preadjudicación OTIC'!X50)</f>
        <v>0</v>
      </c>
      <c r="W50" s="6">
        <f>+('3 Planilla Preadjudicación OTIC'!Y50)</f>
        <v>225</v>
      </c>
      <c r="X50" s="6">
        <f>+('3 Planilla Preadjudicación OTIC'!Z50)</f>
        <v>4</v>
      </c>
      <c r="Y50" s="6" t="str">
        <f>+('3 Planilla Preadjudicación OTIC'!AA50)</f>
        <v>SI</v>
      </c>
      <c r="Z50" s="6" t="str">
        <f>+('3 Planilla Preadjudicación OTIC'!AB50)</f>
        <v>NO</v>
      </c>
      <c r="AA50" s="6" t="str">
        <f>+('3 Planilla Preadjudicación OTIC'!AC50)</f>
        <v>NO</v>
      </c>
      <c r="AB50" s="8">
        <f>+('3 Planilla Preadjudicación OTIC'!AD50)</f>
        <v>0</v>
      </c>
      <c r="AC50" s="8" t="str">
        <f>+('3 Planilla Preadjudicación OTIC'!AE50)</f>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v>
      </c>
      <c r="AD50" s="6" t="str">
        <f>+('3 Planilla Preadjudicación OTIC'!AF50)</f>
        <v>SI</v>
      </c>
      <c r="AE50" s="8" t="str">
        <f>+('3 Planilla Preadjudicación OTIC'!AG50)</f>
        <v>Licencia de Conductor Profesional Clase A-5</v>
      </c>
      <c r="AF50" s="6" t="str">
        <f>+('3 Planilla Preadjudicación OTIC'!AH50)</f>
        <v>CERRADA</v>
      </c>
      <c r="AG50" s="6">
        <f>+('3 Planilla Preadjudicación OTIC'!AI50)</f>
        <v>57</v>
      </c>
      <c r="AH50" s="6">
        <f>+('3 Planilla Preadjudicación OTIC'!AJ50)</f>
        <v>3</v>
      </c>
      <c r="AI50" s="140" t="str">
        <f>+('3 Planilla Preadjudicación OTIC'!AK50)</f>
        <v>65088432-9</v>
      </c>
      <c r="AJ50" s="8" t="str">
        <f>+('3 Planilla Preadjudicación OTIC'!AL50)</f>
        <v>corporación Nueva Ciaspo</v>
      </c>
      <c r="AK50" s="6">
        <f>+('3 Planilla Preadjudicación OTIC'!AM50)</f>
        <v>225</v>
      </c>
      <c r="AL50" s="6">
        <f>+('3 Planilla Preadjudicación OTIC'!AN50)</f>
        <v>57</v>
      </c>
      <c r="AM50" s="16">
        <f>+('3 Planilla Preadjudicación OTIC'!AO50)</f>
        <v>7200</v>
      </c>
      <c r="AN50" s="16">
        <f>+('3 Planilla Preadjudicación OTIC'!AP50)</f>
        <v>0</v>
      </c>
      <c r="AO50" s="16">
        <f>+('3 Planilla Preadjudicación OTIC'!AQ50)</f>
        <v>50000</v>
      </c>
      <c r="AP50" s="16">
        <f>+('3 Planilla Preadjudicación OTIC'!AR50)</f>
        <v>24300000</v>
      </c>
      <c r="AQ50" s="16">
        <f>+('3 Planilla Preadjudicación OTIC'!AS50)</f>
        <v>3420000</v>
      </c>
      <c r="AR50" s="16">
        <f>+('3 Planilla Preadjudicación OTIC'!AT50)</f>
        <v>0</v>
      </c>
      <c r="AS50" s="16">
        <f>+('3 Planilla Preadjudicación OTIC'!AU50)</f>
        <v>0</v>
      </c>
      <c r="AT50" s="16">
        <f>+('3 Planilla Preadjudicación OTIC'!AV50)</f>
        <v>750000</v>
      </c>
      <c r="AU50" s="16">
        <f>+('3 Planilla Preadjudicación OTIC'!AW50)</f>
        <v>28470000</v>
      </c>
      <c r="AV50" s="158" t="str">
        <f>+('3 Planilla Preadjudicación OTIC'!AX50)</f>
        <v>NO</v>
      </c>
      <c r="AW50" s="8" t="str">
        <f>+('3 Planilla Preadjudicación OTIC'!AY50)</f>
        <v>NUMERAL 6.1.2. ITEM 6 - LA ESTRUCTURA DE COSTOS DEL OTEC SE REALIZA CALCULANDO SUBSIDIO PARA 57 DÍAS DE EJECUCIÓN. SEGÚN NORMATIVA, EL CURSO DEBIERA TENER 69 DÍAS DE EJECUCIÓN.</v>
      </c>
      <c r="AX50" s="6">
        <f>+('3 Planilla Preadjudicación OTIC'!AZ50)</f>
        <v>0</v>
      </c>
      <c r="AY50" s="6">
        <f>+('3 Planilla Preadjudicación OTIC'!BA50)</f>
        <v>0</v>
      </c>
      <c r="AZ50" s="6">
        <f>+('3 Planilla Preadjudicación OTIC'!BB50)</f>
        <v>0</v>
      </c>
      <c r="BA50" s="6">
        <f>+('3 Planilla Preadjudicación OTIC'!BC50)</f>
        <v>0</v>
      </c>
      <c r="BB50" s="6">
        <f>+('3 Planilla Preadjudicación OTIC'!BD50)</f>
        <v>0</v>
      </c>
      <c r="BC50" s="6">
        <f>+('3 Planilla Preadjudicación OTIC'!BE50)</f>
        <v>0</v>
      </c>
      <c r="BD50" s="6">
        <f>+('3 Planilla Preadjudicación OTIC'!BF50)</f>
        <v>0</v>
      </c>
      <c r="BE50" s="6">
        <f>+('3 Planilla Preadjudicación OTIC'!BG50)</f>
        <v>0</v>
      </c>
      <c r="BF50" s="6">
        <f>+('3 Planilla Preadjudicación OTIC'!BH50)</f>
        <v>0</v>
      </c>
      <c r="BG50" s="6">
        <f>+('3 Planilla Preadjudicación OTIC'!BI50)</f>
        <v>0</v>
      </c>
      <c r="BH50" s="6">
        <f>+('3 Planilla Preadjudicación OTIC'!BJ50)</f>
        <v>0</v>
      </c>
      <c r="BI50" s="6">
        <f>+('3 Planilla Preadjudicación OTIC'!BK50)</f>
        <v>0</v>
      </c>
      <c r="BJ50" s="6">
        <f>+('3 Planilla Preadjudicación OTIC'!BL50)</f>
        <v>0</v>
      </c>
      <c r="BK50" s="6">
        <f>+('3 Planilla Preadjudicación OTIC'!BM50)</f>
        <v>0</v>
      </c>
      <c r="BL50" s="6">
        <f>+('3 Planilla Preadjudicación OTIC'!BN50)</f>
        <v>0</v>
      </c>
      <c r="BM50" s="108">
        <f>ROUND(('3 Planilla Preadjudicación OTIC'!BO50),1)</f>
        <v>0</v>
      </c>
      <c r="BN50" s="8" t="str">
        <f>+('3 Planilla Preadjudicación OTIC'!BP50)</f>
        <v>NO</v>
      </c>
      <c r="BO50" s="8">
        <f>+('3 Planilla Preadjudicación OTIC'!BQ50)</f>
        <v>0</v>
      </c>
      <c r="BP50" s="8">
        <f>+('3 Planilla Preadjudicación OTIC'!BR50)</f>
        <v>0</v>
      </c>
      <c r="BQ50" s="8">
        <f>+('3 Planilla Preadjudicación OTIC'!BS50)</f>
        <v>0</v>
      </c>
      <c r="BR50" s="8">
        <f>+('3 Planilla Preadjudicación OTIC'!BT50)</f>
        <v>0</v>
      </c>
      <c r="BS50" s="8">
        <f>+('3 Planilla Preadjudicación OTIC'!BU50)</f>
        <v>0</v>
      </c>
      <c r="BT50" s="8">
        <f>+('3 Planilla Preadjudicación OTIC'!BV50)</f>
        <v>0</v>
      </c>
      <c r="BU50" s="89">
        <f>IF(VLOOKUP(A50,'BD OFICIAL'!$A$1:$AL$2099,7,0)=D50,0,1)</f>
        <v>0</v>
      </c>
      <c r="BV50" s="89">
        <f>IF(VLOOKUP(A50,'BD OFICIAL'!$A$1:$AL$2099,11,0)=J50,0,1)</f>
        <v>0</v>
      </c>
      <c r="BW50" s="89">
        <f>IF(VLOOKUP(A50,'BD OFICIAL'!$A$1:$AL$2099,13,0)=L50,0,1)</f>
        <v>0</v>
      </c>
      <c r="BX50" s="6">
        <f>IF(VLOOKUP(A50,'BD OFICIAL'!$A$1:$AL$2099,16,0)=O50,0,1)</f>
        <v>0</v>
      </c>
      <c r="BY50" s="6">
        <f>IF(VLOOKUP(A50,'BD OFICIAL'!$A$1:$AL$2099,17,0)=P50,0,1)</f>
        <v>0</v>
      </c>
      <c r="BZ50" s="6">
        <f>IF(VLOOKUP(A50,'BD OFICIAL'!$A$1:$AL$2099,19,0)=R50,0,1)</f>
        <v>0</v>
      </c>
      <c r="CA50" s="6">
        <f>IF(VLOOKUP(A50,'BD OFICIAL'!$A$1:$AL$2099,21,0)=T50,0,1)</f>
        <v>0</v>
      </c>
      <c r="CB50" s="6">
        <f>IF(VLOOKUP(A50,'BD OFICIAL'!$A$1:$AL$2099,24,0)=AK50,0,1)</f>
        <v>0</v>
      </c>
      <c r="CC50" s="6">
        <f>IF(VLOOKUP(A50,'BD OFICIAL'!$A$1:$AL$2099,25,0)=X50,0,1)</f>
        <v>0</v>
      </c>
      <c r="CD50" s="6">
        <f>IF(VLOOKUP(A50,'BD OFICIAL'!$A$1:$AL$2099,26,0)=Y50,0,1)</f>
        <v>0</v>
      </c>
      <c r="CE50" s="6">
        <f>IF(VLOOKUP(A50,'BD OFICIAL'!$A$1:$AL$2099,27,0)=Z50,0,1)</f>
        <v>0</v>
      </c>
      <c r="CF50" s="6">
        <f>IF(VLOOKUP(A50,'BD OFICIAL'!$A$1:$AL$2099,28,0)=AA50,0,1)</f>
        <v>0</v>
      </c>
      <c r="CG50" s="6">
        <f>IF(VLOOKUP(A50,'BD OFICIAL'!$A$1:$AL$2099,33,0)=AF50,0,1)</f>
        <v>0</v>
      </c>
      <c r="CH50" s="6">
        <f>IF(VLOOKUP(A50,'BD OFICIAL'!$A$1:$AL$2099,35,0)=AH50,0,1)</f>
        <v>0</v>
      </c>
      <c r="CI50" s="89">
        <f>IF(VLOOKUP(A50,'BD OFICIAL'!$A$1:$AL$2099,34,0)=AL50,0,1)</f>
        <v>1</v>
      </c>
      <c r="CJ50" s="89">
        <f>VLOOKUP(A50,'BD OFICIAL'!$A$1:$AM$2099,36,0)*AM50-AP50</f>
        <v>0</v>
      </c>
      <c r="CK50" s="89" t="str">
        <f t="shared" ref="CK50:CK51" si="40">IF(AND(AA50="SI",D50="EMERGENCIA"),"SHNOM",IF(AND(AA50="SI",D50="FONDOS REGIONALES"),"SHNOM",IF(AND(AA50="SI",D50="FONDOS CONCURSABLES"),"SHNOM",IF(AND(AA50="SI",D50="Mandato"),"SHMAN","SSH"))))</f>
        <v>SSH</v>
      </c>
      <c r="CL50" s="89" t="str">
        <f t="shared" ref="CL50:CL51" si="41">IF(J50="SIN PLAN FORMATIVO","NO","SI")</f>
        <v>SI</v>
      </c>
      <c r="CM50" s="89" t="str">
        <f t="shared" ref="CM50:CM51" si="42">IF(SUM(AZ50:BF50)&gt;0,"SI","NO")</f>
        <v>NO</v>
      </c>
      <c r="CN50" s="35">
        <f t="shared" ref="CN50:CN51" si="43">IF(AND(AV50="NO",CM50="NO"),0,1)*IF(AND(AV50="SI",CL50="SI",CM50="NO"),0,1)*IF(AND(AV50="SI",CL50="NO",CM50="SI"),0,1)</f>
        <v>0</v>
      </c>
      <c r="CO50" s="35">
        <f t="shared" ref="CO50:CO51" si="44">IF(AND(AH50=1,AND(AM50&gt;=4130,AM50&lt;=5074)),0,IF(AND(AH50=2,AND(AM50&gt;=5075,AM50&lt;=6372)),0,IF(AND(AH50=3,AND(AM50&gt;=6373,AM50&lt;=7434)),0,1)))</f>
        <v>0</v>
      </c>
      <c r="CP50" s="35">
        <f t="shared" ref="CP50:CP51" si="45">IF(AND(CJ50&gt;-1,CJ50&lt;1),0,1)</f>
        <v>0</v>
      </c>
      <c r="CQ50" s="35">
        <f>IF(VLOOKUP(A50,'BD OFICIAL'!$A:$AT,40,0)=AQ50,0,1)</f>
        <v>1</v>
      </c>
      <c r="CR50" s="35">
        <f>IF(VLOOKUP(A50,'BD OFICIAL'!$A:$AT,41,0)=AS50,0,1)</f>
        <v>0</v>
      </c>
      <c r="CS50" s="35">
        <f t="shared" ref="CS50:CS51" si="46">IF(AND(CK50="SHNOM",AN50=250000),0,IF(AND(CK50="SHMAN",AN50&lt;=250000),0,IF(AND(CK50="SSH",AN50=0),0,1)))</f>
        <v>0</v>
      </c>
      <c r="CT50" s="35">
        <f t="shared" ref="CT50:CT51" si="47">IF(T50*AN50=AR50,0,1)</f>
        <v>0</v>
      </c>
      <c r="CU50" s="35">
        <f>IF(VLOOKUP(A50,'BD OFICIAL'!$A$1:$AL$1057,31,0)="SI",IF(AT50&gt;0,0,1),IF(AT50=0,0,1))</f>
        <v>0</v>
      </c>
      <c r="CV50" s="35">
        <f t="shared" ref="CV50:CV51" si="48">IF(AO50*T50-AT50=0,0,1)</f>
        <v>0</v>
      </c>
      <c r="CW50" s="35">
        <f t="shared" ref="CW50:CW51" si="49">IF((AP50+AQ50+AR50+AS50+AT50-AU50=0),0,1)</f>
        <v>0</v>
      </c>
      <c r="CX50" s="89" t="str">
        <f t="shared" ref="CX50:CX51" si="50">IF(AND(AV50="SI",SUM(BU50+BV50+BW50+BX50+BY50+BZ50+CA50+CB50+CC50+CD50+CE50+CF50+CG50+CH50+CI50+CJ50+CN50+CO50+CP50+CQ50+CR50+CS50+CT50+CU50+CV50+CW50)=0),"SI","NO")</f>
        <v>NO</v>
      </c>
      <c r="CY50" s="35">
        <f t="shared" ref="CY50:CY51" si="51">IF(AV50=CX50,0,1)</f>
        <v>0</v>
      </c>
      <c r="CZ50" s="89" t="str">
        <f>IF(ISERROR(VLOOKUP(AI50,EXPERIENCIA!$A$1:$C$2100,1,0)),"NO","SI")</f>
        <v>SI</v>
      </c>
      <c r="DA50" s="89" t="str">
        <f>IF(CX50="no","NO APLICA",IF(AX50=0,"ERROR NOTA",IF(AND(AX50&gt;1,CZ50="NO"),"ERROR NOTA",IF(AND(CZ50="NO",AX50=1),0,IF(VLOOKUP(AI50,EXPERIENCIA!$A$1:$C$2100,3,0)=AX50,0,"ERROR NOTA")))))</f>
        <v>NO APLICA</v>
      </c>
      <c r="DB50" s="89" t="str">
        <f>IF(ISERROR(VLOOKUP(AI50,COMPORTAMIENTO!$A$1:$C$2100,1,0)),"NO","SI")</f>
        <v>SI</v>
      </c>
      <c r="DC50" s="89" t="str">
        <f>IF(CX50="NO","NO APLICA",IF(AY50=0,"ERROR NOTA",IF(AND(DB50="NO",AY50=7),0,IF(VLOOKUP(AI50,COMPORTAMIENTO!$A$2:$H$2100,8,0)=AY50,0,"ERROR NOTA"))))</f>
        <v>NO APLICA</v>
      </c>
      <c r="DD50" s="108" t="str">
        <f t="shared" ref="DD50:DD51" si="52">IF(CX50="no","NO APLICA",IF(DA50=0,(AX50*0.1),"ERROR NOTA"))</f>
        <v>NO APLICA</v>
      </c>
      <c r="DE50" s="108" t="str">
        <f t="shared" ref="DE50:DE51" si="53">IF(CX50="no","NO APLICA",IF(DC50=0,(AY50*0.1),"ERROR NOTA"))</f>
        <v>NO APLICA</v>
      </c>
      <c r="DF50" s="89" t="str">
        <f t="shared" si="22"/>
        <v>SI</v>
      </c>
      <c r="DG50" s="89">
        <f t="shared" ref="DG50:DG51" si="54">IF(OR(CX50="NO",DF50="SI"),0,(AZ50*0.5+BA50*0.5))</f>
        <v>0</v>
      </c>
      <c r="DH50" s="89">
        <f t="shared" ref="DH50:DH51" si="55">IF(OR(CX50="NO",DF50="SI"),0,(BB50*0.15+BC50*0.25+BD50*0.2+BE50*0.25+BF50*0.15))</f>
        <v>0</v>
      </c>
      <c r="DI50" s="89" t="str">
        <f t="shared" ref="DI50:DI51" si="56">IF(CX50="NO","NO APLICA",(DG50*0.35+DH50*0.65))</f>
        <v>NO APLICA</v>
      </c>
      <c r="DJ50" s="16" t="str">
        <f t="shared" si="35"/>
        <v>NO APLICA</v>
      </c>
      <c r="DK50" s="11" t="str">
        <f t="shared" si="24"/>
        <v>NO APLICA</v>
      </c>
      <c r="DL50" s="16">
        <f t="shared" si="36"/>
        <v>7200</v>
      </c>
      <c r="DM50" s="16">
        <f>VLOOKUP(A50,'5 TD'!$A$3:$B$35,2,0)</f>
        <v>7200</v>
      </c>
      <c r="DN50" s="11" t="str">
        <f t="shared" si="25"/>
        <v>NO APLICA</v>
      </c>
      <c r="DO50" s="89" t="str">
        <f t="shared" si="26"/>
        <v>NO APLICA</v>
      </c>
      <c r="DP50" s="89" t="str">
        <f t="shared" si="27"/>
        <v>NO APLICA</v>
      </c>
      <c r="DQ50" s="11" t="str">
        <f t="shared" si="28"/>
        <v>NO APLICA</v>
      </c>
      <c r="DR50" s="89" t="str">
        <f t="shared" si="29"/>
        <v>NO APLICA</v>
      </c>
      <c r="DS50" s="6" t="str">
        <f>+('3 Planilla Preadjudicación OTIC'!BP51)</f>
        <v>NO</v>
      </c>
      <c r="DT50" s="6" t="str">
        <f>IF(DR50="APROBADO",VLOOKUP(A50,'5 TD'!$D$3:$E$270,2,0),"NO APLICA")</f>
        <v>NO APLICA</v>
      </c>
      <c r="DU50" s="6" t="str">
        <f t="shared" ref="DU50:DU51" si="57">IF(DT50="NO APLICA","NO APLICA",IF(DT50=DQ50,"SI","NO"))</f>
        <v>NO APLICA</v>
      </c>
      <c r="DV50" s="6" t="str">
        <f>IF(DU50="SI",VLOOKUP(A50,'5 TD'!$G$3:$H$270,2,0),"NO APLICA ")</f>
        <v xml:space="preserve">NO APLICA </v>
      </c>
      <c r="DW50" s="6" t="str">
        <f t="shared" ref="DW50:DW51" si="58">IF(DV50="NO APLICA","NO",IF(DV50=DJ50,"SI","NO"))</f>
        <v>NO</v>
      </c>
      <c r="DX50" s="6" t="str">
        <f>IF(DW50="SI",VLOOKUP(A50,'5 TD'!$J$4:$K$472,2,0),"NO APLICA")</f>
        <v>NO APLICA</v>
      </c>
      <c r="DY50" s="6" t="str">
        <f t="shared" si="37"/>
        <v>NO APLICA</v>
      </c>
      <c r="DZ50" s="11" t="str">
        <f>IF(DY50="SI",VLOOKUP(A50,'5 TD'!$M$4:$N$350,2,0),"NO APLICA")</f>
        <v>NO APLICA</v>
      </c>
      <c r="EA50" s="6" t="str">
        <f t="shared" si="38"/>
        <v>NO APLICA</v>
      </c>
      <c r="EB50" s="16" t="str">
        <f t="shared" si="39"/>
        <v/>
      </c>
      <c r="EC50" s="16" t="str">
        <f>IF(EA50="SI",VLOOKUP(A50,'5 TD'!$V$4:$W$479,2,0),"NO APLICA")</f>
        <v>NO APLICA</v>
      </c>
      <c r="ED50" s="6" t="str">
        <f t="shared" ref="ED50:ED51" si="59">IF(AND(EA50="SI",EB50=EC50),"SI","NO")</f>
        <v>NO</v>
      </c>
      <c r="EE50" s="83" t="str">
        <f>IF(ED50="SI",VLOOKUP(AI50,COMPORTAMIENTO!$A$1:$H$2100,7,0),"NO APLICA")</f>
        <v>NO APLICA</v>
      </c>
      <c r="EF50" s="16" t="str">
        <f>IF(ED50="SI",VLOOKUP(A50,'5 TD'!$P$2:$Q$479,2,0),"NO APLICA")</f>
        <v>NO APLICA</v>
      </c>
      <c r="EG50" s="6" t="str">
        <f t="shared" ref="EG50:EG51" si="60">IF(AND(ED50="SI",EE50=EF50),"SI","NO")</f>
        <v>NO</v>
      </c>
      <c r="EH50" s="6">
        <f>IF(CZ50="no",0,VLOOKUP(AI50,EXPERIENCIA!$A$1:$C$2100,2,0))</f>
        <v>89</v>
      </c>
      <c r="EI50" s="6">
        <f>IF(CZ50="si",VLOOKUP(A50,'5 TD'!$S$3:$T$2103,2,0),0)</f>
        <v>89</v>
      </c>
      <c r="EJ50" s="6" t="str">
        <f t="shared" ref="EJ50:EJ51" si="61">IF(EI50="NO APLICA","NO",IF(EI50=EH50,"SI","NO"))</f>
        <v>SI</v>
      </c>
      <c r="EK50" s="6">
        <f>+('3 Planilla Preadjudicación OTIC'!BW51)</f>
        <v>0</v>
      </c>
      <c r="EL50" s="34" t="s">
        <v>2392</v>
      </c>
      <c r="EM50" s="7" t="s">
        <v>2407</v>
      </c>
    </row>
    <row r="51" spans="1:143" s="7" customFormat="1" ht="12.75" x14ac:dyDescent="0.2">
      <c r="A51" s="6">
        <f>+('3 Planilla Preadjudicación OTIC'!A51)</f>
        <v>14389</v>
      </c>
      <c r="B51" s="6" t="str">
        <f>+('3 Planilla Preadjudicación OTIC'!B51)</f>
        <v>SOFOFA</v>
      </c>
      <c r="C51" s="8">
        <f>+('3 Planilla Preadjudicación OTIC'!E51)</f>
        <v>2025</v>
      </c>
      <c r="D51" s="8" t="str">
        <f>+('3 Planilla Preadjudicación OTIC'!F51)</f>
        <v>MANDATO</v>
      </c>
      <c r="E51" s="8" t="str">
        <f>+('3 Planilla Preadjudicación OTIC'!G51)</f>
        <v>65181652-1</v>
      </c>
      <c r="F51" s="8" t="str">
        <f>+('3 Planilla Preadjudicación OTIC'!H51)</f>
        <v>SOFOFA</v>
      </c>
      <c r="G51" s="8" t="str">
        <f>+('3 Planilla Preadjudicación OTIC'!I51)</f>
        <v>65140022-8</v>
      </c>
      <c r="H51" s="8" t="str">
        <f>+('3 Planilla Preadjudicación OTIC'!J51)</f>
        <v>FUTURO DEL TRABAJO</v>
      </c>
      <c r="I51" s="8" t="str">
        <f>+('3 Planilla Preadjudicación OTIC'!K51)</f>
        <v>TÉCNICAS DE SOLDADURA POR OXIGÁS, ARCO VOLTAICO, TIG Y MIG</v>
      </c>
      <c r="J51" s="8" t="str">
        <f>+('3 Planilla Preadjudicación OTIC'!L51)</f>
        <v>PF0622</v>
      </c>
      <c r="K51" s="8" t="str">
        <f>+('3 Planilla Preadjudicación OTIC'!M51)</f>
        <v>TÉCNICAS PARA EL EMPRENDIMIENTO</v>
      </c>
      <c r="L51" s="8" t="str">
        <f>+('3 Planilla Preadjudicación OTIC'!N51)</f>
        <v>PF0921</v>
      </c>
      <c r="M51" s="6">
        <f>+('3 Planilla Preadjudicación OTIC'!O51)</f>
        <v>13</v>
      </c>
      <c r="N51" s="8">
        <f>+('3 Planilla Preadjudicación OTIC'!P51)</f>
        <v>0</v>
      </c>
      <c r="O51" s="8" t="str">
        <f>+('3 Planilla Preadjudicación OTIC'!Q51)</f>
        <v>RENCA</v>
      </c>
      <c r="P51" s="8" t="str">
        <f>+('3 Planilla Preadjudicación OTIC'!R51)</f>
        <v>ESTUDIANTES DE CUARTO AÑO DE ENSEÑANZA MEDIA O DE LICEOS TÉCNICOS PROFESIONALES.</v>
      </c>
      <c r="Q51" s="8" t="str">
        <f>+('3 Planilla Preadjudicación OTIC'!S51)</f>
        <v>PRESENCIAL</v>
      </c>
      <c r="R51" s="8" t="str">
        <f>+('3 Planilla Preadjudicación OTIC'!T51)</f>
        <v>INDEPENDIENTE</v>
      </c>
      <c r="S51" s="8" t="str">
        <f>+('3 Planilla Preadjudicación OTIC'!U51)</f>
        <v>03. LUNES - VESPERTINO / 06. MARTES - VESPERTINO / 09. MIÉRCOLES - VESPERTINO / 12. JUEVES - VESPERTINO / 15. VIERNES - VESPERTINO</v>
      </c>
      <c r="T51" s="6">
        <f>+('3 Planilla Preadjudicación OTIC'!V51)</f>
        <v>14</v>
      </c>
      <c r="U51" s="6">
        <f>+('3 Planilla Preadjudicación OTIC'!W51)</f>
        <v>260</v>
      </c>
      <c r="V51" s="6">
        <f>+('3 Planilla Preadjudicación OTIC'!X51)</f>
        <v>12</v>
      </c>
      <c r="W51" s="6">
        <f>+('3 Planilla Preadjudicación OTIC'!Y51)</f>
        <v>272</v>
      </c>
      <c r="X51" s="6">
        <f>+('3 Planilla Preadjudicación OTIC'!Z51)</f>
        <v>4</v>
      </c>
      <c r="Y51" s="6" t="str">
        <f>+('3 Planilla Preadjudicación OTIC'!AA51)</f>
        <v>SI</v>
      </c>
      <c r="Z51" s="6" t="str">
        <f>+('3 Planilla Preadjudicación OTIC'!AB51)</f>
        <v>NO</v>
      </c>
      <c r="AA51" s="6" t="str">
        <f>+('3 Planilla Preadjudicación OTIC'!AC51)</f>
        <v>SI</v>
      </c>
      <c r="AB51" s="8">
        <f>+('3 Planilla Preadjudicación OTIC'!AD51)</f>
        <v>0</v>
      </c>
      <c r="AC51" s="8" t="str">
        <f>+('3 Planilla Preadjudicación OTIC'!AE51)</f>
        <v>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v>
      </c>
      <c r="AD51" s="6" t="str">
        <f>+('3 Planilla Preadjudicación OTIC'!AF51)</f>
        <v>SI</v>
      </c>
      <c r="AE51" s="8" t="str">
        <f>+('3 Planilla Preadjudicación OTIC'!AG51)</f>
        <v>CERTIFICACIÓN COMO SOLDADOR.</v>
      </c>
      <c r="AF51" s="6" t="str">
        <f>+('3 Planilla Preadjudicación OTIC'!AH51)</f>
        <v>CERRADA</v>
      </c>
      <c r="AG51" s="6">
        <f>+('3 Planilla Preadjudicación OTIC'!AI51)</f>
        <v>68</v>
      </c>
      <c r="AH51" s="6">
        <f>+('3 Planilla Preadjudicación OTIC'!AJ51)</f>
        <v>2</v>
      </c>
      <c r="AI51" s="140" t="str">
        <f>+('3 Planilla Preadjudicación OTIC'!AK51)</f>
        <v>65057122-3</v>
      </c>
      <c r="AJ51" s="8" t="str">
        <f>+('3 Planilla Preadjudicación OTIC'!AL51)</f>
        <v>asociación de capacitación juvenil boreal</v>
      </c>
      <c r="AK51" s="6">
        <f>+('3 Planilla Preadjudicación OTIC'!AM51)</f>
        <v>272</v>
      </c>
      <c r="AL51" s="6">
        <f>+('3 Planilla Preadjudicación OTIC'!AN51)</f>
        <v>68</v>
      </c>
      <c r="AM51" s="16">
        <f>+('3 Planilla Preadjudicación OTIC'!AO51)</f>
        <v>5075</v>
      </c>
      <c r="AN51" s="16">
        <f>+('3 Planilla Preadjudicación OTIC'!AP51)</f>
        <v>250000</v>
      </c>
      <c r="AO51" s="16">
        <f>+('3 Planilla Preadjudicación OTIC'!AQ51)</f>
        <v>250000</v>
      </c>
      <c r="AP51" s="16">
        <f>+('3 Planilla Preadjudicación OTIC'!AR51)</f>
        <v>19325600</v>
      </c>
      <c r="AQ51" s="16">
        <f>+('3 Planilla Preadjudicación OTIC'!AS51)</f>
        <v>3808000</v>
      </c>
      <c r="AR51" s="16">
        <f>+('3 Planilla Preadjudicación OTIC'!AT51)</f>
        <v>3500000</v>
      </c>
      <c r="AS51" s="16">
        <f>+('3 Planilla Preadjudicación OTIC'!AU51)</f>
        <v>0</v>
      </c>
      <c r="AT51" s="16">
        <f>+('3 Planilla Preadjudicación OTIC'!AV51)</f>
        <v>3500000</v>
      </c>
      <c r="AU51" s="16">
        <f>+('3 Planilla Preadjudicación OTIC'!AW51)</f>
        <v>30133600</v>
      </c>
      <c r="AV51" s="158" t="str">
        <f>+('3 Planilla Preadjudicación OTIC'!AX51)</f>
        <v>SI</v>
      </c>
      <c r="AW51" s="8">
        <f>+('3 Planilla Preadjudicación OTIC'!AY51)</f>
        <v>0</v>
      </c>
      <c r="AX51" s="6">
        <f>+('3 Planilla Preadjudicación OTIC'!AZ51)</f>
        <v>5</v>
      </c>
      <c r="AY51" s="6">
        <f>+('3 Planilla Preadjudicación OTIC'!BA51)</f>
        <v>7</v>
      </c>
      <c r="AZ51" s="6">
        <f>+('3 Planilla Preadjudicación OTIC'!BB51)</f>
        <v>0</v>
      </c>
      <c r="BA51" s="6">
        <f>+('3 Planilla Preadjudicación OTIC'!BC51)</f>
        <v>0</v>
      </c>
      <c r="BB51" s="6">
        <f>+('3 Planilla Preadjudicación OTIC'!BD51)</f>
        <v>0</v>
      </c>
      <c r="BC51" s="6">
        <f>+('3 Planilla Preadjudicación OTIC'!BE51)</f>
        <v>0</v>
      </c>
      <c r="BD51" s="6">
        <f>+('3 Planilla Preadjudicación OTIC'!BF51)</f>
        <v>0</v>
      </c>
      <c r="BE51" s="6">
        <f>+('3 Planilla Preadjudicación OTIC'!BG51)</f>
        <v>0</v>
      </c>
      <c r="BF51" s="6">
        <f>+('3 Planilla Preadjudicación OTIC'!BH51)</f>
        <v>0</v>
      </c>
      <c r="BG51" s="6">
        <f>+('3 Planilla Preadjudicación OTIC'!BI51)</f>
        <v>6</v>
      </c>
      <c r="BH51" s="6">
        <f>+('3 Planilla Preadjudicación OTIC'!BJ51)</f>
        <v>6</v>
      </c>
      <c r="BI51" s="6">
        <f>+('3 Planilla Preadjudicación OTIC'!BK51)</f>
        <v>6</v>
      </c>
      <c r="BJ51" s="6">
        <f>+('3 Planilla Preadjudicación OTIC'!BL51)</f>
        <v>6</v>
      </c>
      <c r="BK51" s="6">
        <f>+('3 Planilla Preadjudicación OTIC'!BM51)</f>
        <v>6</v>
      </c>
      <c r="BL51" s="6">
        <f>+('3 Planilla Preadjudicación OTIC'!BN51)</f>
        <v>6.9</v>
      </c>
      <c r="BM51" s="108">
        <f>ROUND(('3 Planilla Preadjudicación OTIC'!BO51),1)</f>
        <v>6</v>
      </c>
      <c r="BN51" s="8" t="str">
        <f>+('3 Planilla Preadjudicación OTIC'!BP51)</f>
        <v>NO</v>
      </c>
      <c r="BO51" s="8" t="str">
        <f>+('3 Planilla Preadjudicación OTIC'!BQ51)</f>
        <v>ALEJANDRA GALLARDO</v>
      </c>
      <c r="BP51" s="8" t="str">
        <f>+('3 Planilla Preadjudicación OTIC'!BR51)</f>
        <v>borealicitaciones@gmail.com</v>
      </c>
      <c r="BQ51" s="8">
        <f>+('3 Planilla Preadjudicación OTIC'!BS51)</f>
        <v>962274066</v>
      </c>
      <c r="BR51" s="8" t="str">
        <f>+('3 Planilla Preadjudicación OTIC'!BT51)</f>
        <v>La Marquesita 3962, Renca</v>
      </c>
      <c r="BS51" s="8">
        <f>+('3 Planilla Preadjudicación OTIC'!BU51)</f>
        <v>0</v>
      </c>
      <c r="BT51" s="8">
        <f>+('3 Planilla Preadjudicación OTIC'!BV51)</f>
        <v>0</v>
      </c>
      <c r="BU51" s="89">
        <f>IF(VLOOKUP(A51,'BD OFICIAL'!$A$1:$AL$2099,7,0)=D51,0,1)</f>
        <v>0</v>
      </c>
      <c r="BV51" s="89">
        <f>IF(VLOOKUP(A51,'BD OFICIAL'!$A$1:$AL$2099,11,0)=J51,0,1)</f>
        <v>0</v>
      </c>
      <c r="BW51" s="89">
        <f>IF(VLOOKUP(A51,'BD OFICIAL'!$A$1:$AL$2099,13,0)=L51,0,1)</f>
        <v>0</v>
      </c>
      <c r="BX51" s="6">
        <f>IF(VLOOKUP(A51,'BD OFICIAL'!$A$1:$AL$2099,16,0)=O51,0,1)</f>
        <v>0</v>
      </c>
      <c r="BY51" s="6">
        <f>IF(VLOOKUP(A51,'BD OFICIAL'!$A$1:$AL$2099,17,0)=P51,0,1)</f>
        <v>0</v>
      </c>
      <c r="BZ51" s="6">
        <f>IF(VLOOKUP(A51,'BD OFICIAL'!$A$1:$AL$2099,19,0)=R51,0,1)</f>
        <v>0</v>
      </c>
      <c r="CA51" s="6">
        <f>IF(VLOOKUP(A51,'BD OFICIAL'!$A$1:$AL$2099,21,0)=T51,0,1)</f>
        <v>0</v>
      </c>
      <c r="CB51" s="6">
        <f>IF(VLOOKUP(A51,'BD OFICIAL'!$A$1:$AL$2099,24,0)=AK51,0,1)</f>
        <v>0</v>
      </c>
      <c r="CC51" s="6">
        <f>IF(VLOOKUP(A51,'BD OFICIAL'!$A$1:$AL$2099,25,0)=X51,0,1)</f>
        <v>0</v>
      </c>
      <c r="CD51" s="6">
        <f>IF(VLOOKUP(A51,'BD OFICIAL'!$A$1:$AL$2099,26,0)=Y51,0,1)</f>
        <v>0</v>
      </c>
      <c r="CE51" s="6">
        <f>IF(VLOOKUP(A51,'BD OFICIAL'!$A$1:$AL$2099,27,0)=Z51,0,1)</f>
        <v>0</v>
      </c>
      <c r="CF51" s="6">
        <f>IF(VLOOKUP(A51,'BD OFICIAL'!$A$1:$AL$2099,28,0)=AA51,0,1)</f>
        <v>0</v>
      </c>
      <c r="CG51" s="6">
        <f>IF(VLOOKUP(A51,'BD OFICIAL'!$A$1:$AL$2099,33,0)=AF51,0,1)</f>
        <v>0</v>
      </c>
      <c r="CH51" s="6">
        <f>IF(VLOOKUP(A51,'BD OFICIAL'!$A$1:$AL$2099,35,0)=AH51,0,1)</f>
        <v>0</v>
      </c>
      <c r="CI51" s="89">
        <f>IF(VLOOKUP(A51,'BD OFICIAL'!$A$1:$AL$2099,34,0)=AL51,0,1)</f>
        <v>0</v>
      </c>
      <c r="CJ51" s="89">
        <f>VLOOKUP(A51,'BD OFICIAL'!$A$1:$AM$2099,36,0)*AM51-AP51</f>
        <v>0</v>
      </c>
      <c r="CK51" s="89" t="str">
        <f t="shared" si="40"/>
        <v>SHMAN</v>
      </c>
      <c r="CL51" s="89" t="str">
        <f t="shared" si="41"/>
        <v>SI</v>
      </c>
      <c r="CM51" s="89" t="str">
        <f t="shared" si="42"/>
        <v>NO</v>
      </c>
      <c r="CN51" s="35">
        <f t="shared" si="43"/>
        <v>0</v>
      </c>
      <c r="CO51" s="35">
        <f t="shared" si="44"/>
        <v>0</v>
      </c>
      <c r="CP51" s="35">
        <f t="shared" si="45"/>
        <v>0</v>
      </c>
      <c r="CQ51" s="35">
        <f>IF(VLOOKUP(A51,'BD OFICIAL'!$A:$AT,40,0)=AQ51,0,1)</f>
        <v>0</v>
      </c>
      <c r="CR51" s="35">
        <f>IF(VLOOKUP(A51,'BD OFICIAL'!$A:$AT,41,0)=AS51,0,1)</f>
        <v>0</v>
      </c>
      <c r="CS51" s="35">
        <f t="shared" si="46"/>
        <v>0</v>
      </c>
      <c r="CT51" s="35">
        <f t="shared" si="47"/>
        <v>0</v>
      </c>
      <c r="CU51" s="35">
        <f>IF(VLOOKUP(A51,'BD OFICIAL'!$A$1:$AL$1057,31,0)="SI",IF(AT51&gt;0,0,1),IF(AT51=0,0,1))</f>
        <v>0</v>
      </c>
      <c r="CV51" s="35">
        <f t="shared" si="48"/>
        <v>0</v>
      </c>
      <c r="CW51" s="35">
        <f t="shared" si="49"/>
        <v>0</v>
      </c>
      <c r="CX51" s="89" t="str">
        <f t="shared" si="50"/>
        <v>SI</v>
      </c>
      <c r="CY51" s="35">
        <f t="shared" si="51"/>
        <v>0</v>
      </c>
      <c r="CZ51" s="89" t="str">
        <f>IF(ISERROR(VLOOKUP(AI51,EXPERIENCIA!$A$1:$C$2100,1,0)),"NO","SI")</f>
        <v>SI</v>
      </c>
      <c r="DA51" s="89">
        <f>IF(CX51="no","NO APLICA",IF(AX51=0,"ERROR NOTA",IF(AND(AX51&gt;1,CZ51="NO"),"ERROR NOTA",IF(AND(CZ51="NO",AX51=1),0,IF(VLOOKUP(AI51,EXPERIENCIA!$A$1:$C$2100,3,0)=AX51,0,"ERROR NOTA")))))</f>
        <v>0</v>
      </c>
      <c r="DB51" s="89" t="str">
        <f>IF(ISERROR(VLOOKUP(AI51,COMPORTAMIENTO!$A$1:$C$2100,1,0)),"NO","SI")</f>
        <v>SI</v>
      </c>
      <c r="DC51" s="89">
        <f>IF(CX51="NO","NO APLICA",IF(AY51=0,"ERROR NOTA",IF(AND(DB51="NO",AY51=7),0,IF(VLOOKUP(AI51,COMPORTAMIENTO!$A$2:$H$2100,8,0)=AY51,0,"ERROR NOTA"))))</f>
        <v>0</v>
      </c>
      <c r="DD51" s="108">
        <f t="shared" si="52"/>
        <v>0.5</v>
      </c>
      <c r="DE51" s="108">
        <f t="shared" si="53"/>
        <v>0.70000000000000007</v>
      </c>
      <c r="DF51" s="89" t="str">
        <f t="shared" si="22"/>
        <v>SI</v>
      </c>
      <c r="DG51" s="89">
        <f t="shared" si="54"/>
        <v>0</v>
      </c>
      <c r="DH51" s="89">
        <f t="shared" si="55"/>
        <v>0</v>
      </c>
      <c r="DI51" s="89">
        <f t="shared" si="56"/>
        <v>0</v>
      </c>
      <c r="DJ51" s="16">
        <f t="shared" si="35"/>
        <v>6</v>
      </c>
      <c r="DK51" s="11">
        <f t="shared" si="24"/>
        <v>6</v>
      </c>
      <c r="DL51" s="16">
        <f t="shared" si="36"/>
        <v>5075</v>
      </c>
      <c r="DM51" s="16">
        <f>VLOOKUP(A51,'5 TD'!$A$3:$B$35,2,0)</f>
        <v>5000</v>
      </c>
      <c r="DN51" s="11">
        <f t="shared" si="25"/>
        <v>6.9</v>
      </c>
      <c r="DO51" s="89" t="str">
        <f t="shared" si="26"/>
        <v>APROBADO</v>
      </c>
      <c r="DP51" s="89" t="str">
        <f t="shared" si="27"/>
        <v>APROBADO</v>
      </c>
      <c r="DQ51" s="11">
        <f t="shared" si="28"/>
        <v>6</v>
      </c>
      <c r="DR51" s="89" t="str">
        <f t="shared" si="29"/>
        <v>APROBADO</v>
      </c>
      <c r="DS51" s="6">
        <f>+('3 Planilla Preadjudicación OTIC'!BP52)</f>
        <v>0</v>
      </c>
      <c r="DT51" s="6">
        <f>IF(DR51="APROBADO",VLOOKUP(A51,'5 TD'!$D$3:$E$270,2,0),"NO APLICA")</f>
        <v>7</v>
      </c>
      <c r="DU51" s="6" t="str">
        <f t="shared" si="57"/>
        <v>NO</v>
      </c>
      <c r="DV51" s="6" t="str">
        <f>IF(DU51="SI",VLOOKUP(A51,'5 TD'!$G$3:$H$270,2,0),"NO APLICA ")</f>
        <v xml:space="preserve">NO APLICA </v>
      </c>
      <c r="DW51" s="6" t="str">
        <f t="shared" si="58"/>
        <v>NO</v>
      </c>
      <c r="DX51" s="6" t="str">
        <f>IF(DW51="SI",VLOOKUP(A51,'5 TD'!$J$4:$K$472,2,0),"NO APLICA")</f>
        <v>NO APLICA</v>
      </c>
      <c r="DY51" s="6" t="str">
        <f t="shared" si="37"/>
        <v>NO APLICA</v>
      </c>
      <c r="DZ51" s="11" t="str">
        <f>IF(DY51="SI",VLOOKUP(A51,'5 TD'!$M$4:$N$350,2,0),"NO APLICA")</f>
        <v>NO APLICA</v>
      </c>
      <c r="EA51" s="6" t="str">
        <f t="shared" si="38"/>
        <v>NO APLICA</v>
      </c>
      <c r="EB51" s="16" t="str">
        <f t="shared" si="39"/>
        <v/>
      </c>
      <c r="EC51" s="16" t="str">
        <f>IF(EA51="SI",VLOOKUP(A51,'5 TD'!$V$4:$W$479,2,0),"NO APLICA")</f>
        <v>NO APLICA</v>
      </c>
      <c r="ED51" s="6" t="str">
        <f t="shared" si="59"/>
        <v>NO</v>
      </c>
      <c r="EE51" s="83" t="str">
        <f>IF(ED51="SI",VLOOKUP(AI51,COMPORTAMIENTO!$A$1:$H$2100,7,0),"NO APLICA")</f>
        <v>NO APLICA</v>
      </c>
      <c r="EF51" s="16" t="str">
        <f>IF(ED51="SI",VLOOKUP(A51,'5 TD'!$P$2:$Q$479,2,0),"NO APLICA")</f>
        <v>NO APLICA</v>
      </c>
      <c r="EG51" s="6" t="str">
        <f t="shared" si="60"/>
        <v>NO</v>
      </c>
      <c r="EH51" s="6">
        <f>IF(CZ51="no",0,VLOOKUP(AI51,EXPERIENCIA!$A$1:$C$2100,2,0))</f>
        <v>62</v>
      </c>
      <c r="EI51" s="6">
        <f>IF(CZ51="si",VLOOKUP(A51,'5 TD'!$S$3:$T$2103,2,0),0)</f>
        <v>125</v>
      </c>
      <c r="EJ51" s="6" t="str">
        <f t="shared" si="61"/>
        <v>NO</v>
      </c>
      <c r="EK51" s="6">
        <f>+('3 Planilla Preadjudicación OTIC'!BW52)</f>
        <v>0</v>
      </c>
      <c r="EL51" s="34"/>
    </row>
  </sheetData>
  <autoFilter ref="A1:EP51" xr:uid="{2FB31C6E-E001-4682-A617-2E34C6F4DEDB}"/>
  <conditionalFormatting sqref="BU2:CH188">
    <cfRule type="cellIs" dxfId="11" priority="4" operator="greaterThan">
      <formula>0</formula>
    </cfRule>
  </conditionalFormatting>
  <conditionalFormatting sqref="CI2:CI188">
    <cfRule type="cellIs" dxfId="10" priority="20" operator="greaterThan">
      <formula>0</formula>
    </cfRule>
  </conditionalFormatting>
  <conditionalFormatting sqref="CJ2:CJ188">
    <cfRule type="cellIs" dxfId="9" priority="18" operator="notEqual">
      <formula>0</formula>
    </cfRule>
  </conditionalFormatting>
  <conditionalFormatting sqref="CN2:CN188">
    <cfRule type="cellIs" dxfId="8" priority="17" operator="equal">
      <formula>1</formula>
    </cfRule>
    <cfRule type="cellIs" dxfId="7" priority="23" operator="greaterThan">
      <formula>0</formula>
    </cfRule>
  </conditionalFormatting>
  <conditionalFormatting sqref="CO2:CW188 CY2:CY188">
    <cfRule type="cellIs" dxfId="6" priority="1" operator="greaterThan">
      <formula>0</formula>
    </cfRule>
  </conditionalFormatting>
  <conditionalFormatting sqref="DA2:DA188 DC2:DC188 DO2:DR188">
    <cfRule type="containsText" dxfId="5" priority="15" operator="containsText" text="ERROR NOTA">
      <formula>NOT(ISERROR(SEARCH("ERROR NOTA",DA2)))</formula>
    </cfRule>
  </conditionalFormatting>
  <pageMargins left="0.7" right="0.7" top="0.75" bottom="0.75" header="0.3" footer="0.3"/>
  <pageSetup orientation="portrait" r:id="rId1"/>
  <ignoredErrors>
    <ignoredError sqref="DZ2:DZ11 DZ12:DZ49"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2"/>
  <sheetViews>
    <sheetView workbookViewId="0"/>
  </sheetViews>
  <sheetFormatPr baseColWidth="10" defaultRowHeight="15" x14ac:dyDescent="0.25"/>
  <sheetData>
    <row r="1" spans="1:11" x14ac:dyDescent="0.25">
      <c r="I1" t="s">
        <v>80</v>
      </c>
      <c r="J1" t="s">
        <v>17</v>
      </c>
      <c r="K1" t="s">
        <v>99</v>
      </c>
    </row>
    <row r="2" spans="1:11" x14ac:dyDescent="0.25">
      <c r="I2" t="s">
        <v>81</v>
      </c>
      <c r="J2" t="s">
        <v>24</v>
      </c>
      <c r="K2" t="s">
        <v>100</v>
      </c>
    </row>
    <row r="3" spans="1:11" x14ac:dyDescent="0.25">
      <c r="I3" t="s">
        <v>82</v>
      </c>
      <c r="J3" t="s">
        <v>25</v>
      </c>
      <c r="K3" t="s">
        <v>101</v>
      </c>
    </row>
    <row r="4" spans="1:11" x14ac:dyDescent="0.25">
      <c r="A4" t="s">
        <v>17</v>
      </c>
      <c r="B4">
        <v>77301520</v>
      </c>
      <c r="C4" t="s">
        <v>53</v>
      </c>
      <c r="I4" t="s">
        <v>83</v>
      </c>
      <c r="J4" t="s">
        <v>26</v>
      </c>
      <c r="K4" t="s">
        <v>102</v>
      </c>
    </row>
    <row r="5" spans="1:11" x14ac:dyDescent="0.25">
      <c r="A5" t="s">
        <v>24</v>
      </c>
      <c r="B5">
        <v>74701100</v>
      </c>
      <c r="C5" t="s">
        <v>54</v>
      </c>
      <c r="I5" t="s">
        <v>84</v>
      </c>
      <c r="J5" t="s">
        <v>27</v>
      </c>
      <c r="K5" t="s">
        <v>103</v>
      </c>
    </row>
    <row r="6" spans="1:11" x14ac:dyDescent="0.25">
      <c r="A6" t="s">
        <v>25</v>
      </c>
      <c r="B6">
        <v>70533700</v>
      </c>
      <c r="C6" t="s">
        <v>55</v>
      </c>
      <c r="I6" t="s">
        <v>85</v>
      </c>
      <c r="J6" t="s">
        <v>28</v>
      </c>
      <c r="K6" t="s">
        <v>104</v>
      </c>
    </row>
    <row r="7" spans="1:11" x14ac:dyDescent="0.25">
      <c r="A7" t="s">
        <v>26</v>
      </c>
      <c r="B7">
        <v>73048900</v>
      </c>
      <c r="C7" t="s">
        <v>56</v>
      </c>
      <c r="I7" t="s">
        <v>86</v>
      </c>
      <c r="J7" t="s">
        <v>29</v>
      </c>
      <c r="K7" t="s">
        <v>105</v>
      </c>
    </row>
    <row r="8" spans="1:11" x14ac:dyDescent="0.25">
      <c r="A8" t="s">
        <v>27</v>
      </c>
      <c r="B8">
        <v>65440150</v>
      </c>
      <c r="C8" t="s">
        <v>57</v>
      </c>
      <c r="I8" t="s">
        <v>87</v>
      </c>
      <c r="J8" t="s">
        <v>30</v>
      </c>
      <c r="K8" t="s">
        <v>106</v>
      </c>
    </row>
    <row r="9" spans="1:11" x14ac:dyDescent="0.25">
      <c r="A9" t="s">
        <v>28</v>
      </c>
      <c r="B9">
        <v>65062590</v>
      </c>
      <c r="C9" t="s">
        <v>58</v>
      </c>
      <c r="I9" t="s">
        <v>88</v>
      </c>
      <c r="J9" t="s">
        <v>31</v>
      </c>
      <c r="K9" t="s">
        <v>107</v>
      </c>
    </row>
    <row r="10" spans="1:11" x14ac:dyDescent="0.25">
      <c r="A10" t="s">
        <v>29</v>
      </c>
      <c r="B10">
        <v>70200800</v>
      </c>
      <c r="C10" t="s">
        <v>59</v>
      </c>
      <c r="I10" t="s">
        <v>89</v>
      </c>
      <c r="J10" t="s">
        <v>32</v>
      </c>
      <c r="K10" t="s">
        <v>108</v>
      </c>
    </row>
    <row r="11" spans="1:11" x14ac:dyDescent="0.25">
      <c r="A11" t="s">
        <v>30</v>
      </c>
      <c r="B11">
        <v>65229660</v>
      </c>
      <c r="C11" t="s">
        <v>60</v>
      </c>
      <c r="I11" t="s">
        <v>90</v>
      </c>
      <c r="J11" t="s">
        <v>33</v>
      </c>
      <c r="K11" t="s">
        <v>109</v>
      </c>
    </row>
    <row r="12" spans="1:11" x14ac:dyDescent="0.25">
      <c r="A12" t="s">
        <v>31</v>
      </c>
      <c r="B12">
        <v>65145210</v>
      </c>
      <c r="C12" t="s">
        <v>61</v>
      </c>
      <c r="I12" t="s">
        <v>91</v>
      </c>
      <c r="J12" t="s">
        <v>34</v>
      </c>
      <c r="K12" t="s">
        <v>110</v>
      </c>
    </row>
    <row r="13" spans="1:11" x14ac:dyDescent="0.25">
      <c r="A13" t="s">
        <v>32</v>
      </c>
      <c r="B13">
        <v>70537300</v>
      </c>
      <c r="C13" t="s">
        <v>62</v>
      </c>
      <c r="I13" t="s">
        <v>92</v>
      </c>
      <c r="J13" t="s">
        <v>35</v>
      </c>
      <c r="K13" t="s">
        <v>111</v>
      </c>
    </row>
    <row r="14" spans="1:11" x14ac:dyDescent="0.25">
      <c r="A14" t="s">
        <v>33</v>
      </c>
      <c r="B14">
        <v>73315900</v>
      </c>
      <c r="C14" t="s">
        <v>63</v>
      </c>
      <c r="I14" t="s">
        <v>93</v>
      </c>
      <c r="J14" t="s">
        <v>36</v>
      </c>
      <c r="K14" t="s">
        <v>112</v>
      </c>
    </row>
    <row r="15" spans="1:11" x14ac:dyDescent="0.25">
      <c r="A15" t="s">
        <v>34</v>
      </c>
      <c r="B15">
        <v>73048400</v>
      </c>
      <c r="C15" t="s">
        <v>64</v>
      </c>
      <c r="I15" t="s">
        <v>94</v>
      </c>
      <c r="J15" t="s">
        <v>37</v>
      </c>
      <c r="K15" t="s">
        <v>113</v>
      </c>
    </row>
    <row r="16" spans="1:11" x14ac:dyDescent="0.25">
      <c r="A16" t="s">
        <v>35</v>
      </c>
      <c r="B16">
        <v>65038137</v>
      </c>
      <c r="C16" t="s">
        <v>66</v>
      </c>
      <c r="I16" t="s">
        <v>95</v>
      </c>
      <c r="J16" t="s">
        <v>38</v>
      </c>
      <c r="K16" t="s">
        <v>114</v>
      </c>
    </row>
    <row r="17" spans="1:11" x14ac:dyDescent="0.25">
      <c r="A17" t="s">
        <v>36</v>
      </c>
      <c r="B17">
        <v>65026673</v>
      </c>
      <c r="C17" t="s">
        <v>67</v>
      </c>
      <c r="I17" t="s">
        <v>96</v>
      </c>
      <c r="J17" t="s">
        <v>39</v>
      </c>
      <c r="K17" t="s">
        <v>39</v>
      </c>
    </row>
    <row r="18" spans="1:11" x14ac:dyDescent="0.25">
      <c r="A18" t="s">
        <v>37</v>
      </c>
      <c r="B18">
        <v>75387000</v>
      </c>
      <c r="C18" t="s">
        <v>68</v>
      </c>
      <c r="I18" t="s">
        <v>97</v>
      </c>
      <c r="J18" t="s">
        <v>40</v>
      </c>
      <c r="K18" t="s">
        <v>115</v>
      </c>
    </row>
    <row r="19" spans="1:11" x14ac:dyDescent="0.25">
      <c r="A19" t="s">
        <v>38</v>
      </c>
      <c r="B19">
        <v>65185420</v>
      </c>
      <c r="C19" t="s">
        <v>69</v>
      </c>
      <c r="I19" t="s">
        <v>98</v>
      </c>
      <c r="J19" t="s">
        <v>41</v>
      </c>
      <c r="K19" t="s">
        <v>116</v>
      </c>
    </row>
    <row r="20" spans="1:11" x14ac:dyDescent="0.25">
      <c r="A20" t="s">
        <v>39</v>
      </c>
      <c r="B20">
        <v>74252300</v>
      </c>
      <c r="C20" t="s">
        <v>70</v>
      </c>
    </row>
    <row r="21" spans="1:11" x14ac:dyDescent="0.25">
      <c r="A21" t="s">
        <v>40</v>
      </c>
      <c r="B21">
        <v>71566400</v>
      </c>
      <c r="C21" t="s">
        <v>65</v>
      </c>
    </row>
    <row r="22" spans="1:11" x14ac:dyDescent="0.25">
      <c r="A22" t="s">
        <v>41</v>
      </c>
      <c r="B22">
        <v>70417500</v>
      </c>
      <c r="C22" t="s">
        <v>71</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BAE4-1E6D-42B1-B265-205034993D6B}">
  <sheetPr filterMode="1"/>
  <dimension ref="A1:C509"/>
  <sheetViews>
    <sheetView workbookViewId="0">
      <selection activeCell="F518" sqref="F518"/>
    </sheetView>
  </sheetViews>
  <sheetFormatPr baseColWidth="10" defaultRowHeight="15" x14ac:dyDescent="0.25"/>
  <cols>
    <col min="1" max="2" width="10.85546875" style="150"/>
    <col min="3" max="3" width="22.5703125" style="150" customWidth="1"/>
  </cols>
  <sheetData>
    <row r="1" spans="1:3" x14ac:dyDescent="0.25">
      <c r="A1" s="151" t="s">
        <v>73</v>
      </c>
      <c r="B1" s="152" t="s">
        <v>1142</v>
      </c>
      <c r="C1" s="152" t="s">
        <v>1143</v>
      </c>
    </row>
    <row r="2" spans="1:3" hidden="1" x14ac:dyDescent="0.25">
      <c r="A2" s="153" t="s">
        <v>1044</v>
      </c>
      <c r="B2" s="150">
        <v>1</v>
      </c>
      <c r="C2" s="150">
        <v>1</v>
      </c>
    </row>
    <row r="3" spans="1:3" hidden="1" x14ac:dyDescent="0.25">
      <c r="A3" s="153" t="s">
        <v>1045</v>
      </c>
      <c r="B3" s="150">
        <v>2</v>
      </c>
      <c r="C3" s="150">
        <v>1</v>
      </c>
    </row>
    <row r="4" spans="1:3" hidden="1" x14ac:dyDescent="0.25">
      <c r="A4" s="153" t="s">
        <v>1046</v>
      </c>
      <c r="B4" s="150">
        <v>2</v>
      </c>
      <c r="C4" s="150">
        <v>1</v>
      </c>
    </row>
    <row r="5" spans="1:3" hidden="1" x14ac:dyDescent="0.25">
      <c r="A5" s="153" t="s">
        <v>528</v>
      </c>
      <c r="B5" s="150">
        <v>3</v>
      </c>
      <c r="C5" s="150">
        <v>1</v>
      </c>
    </row>
    <row r="6" spans="1:3" hidden="1" x14ac:dyDescent="0.25">
      <c r="A6" s="153" t="s">
        <v>1144</v>
      </c>
      <c r="B6" s="150">
        <v>2</v>
      </c>
      <c r="C6" s="150">
        <v>1</v>
      </c>
    </row>
    <row r="7" spans="1:3" hidden="1" x14ac:dyDescent="0.25">
      <c r="A7" s="153" t="s">
        <v>1145</v>
      </c>
      <c r="B7" s="150">
        <v>1</v>
      </c>
      <c r="C7" s="150">
        <v>1</v>
      </c>
    </row>
    <row r="8" spans="1:3" hidden="1" x14ac:dyDescent="0.25">
      <c r="A8" s="153" t="s">
        <v>1047</v>
      </c>
      <c r="B8" s="150">
        <v>1</v>
      </c>
      <c r="C8" s="150">
        <v>1</v>
      </c>
    </row>
    <row r="9" spans="1:3" hidden="1" x14ac:dyDescent="0.25">
      <c r="A9" s="153" t="s">
        <v>1048</v>
      </c>
      <c r="B9" s="150">
        <v>2</v>
      </c>
      <c r="C9" s="150">
        <v>1</v>
      </c>
    </row>
    <row r="10" spans="1:3" hidden="1" x14ac:dyDescent="0.25">
      <c r="A10" s="153" t="s">
        <v>529</v>
      </c>
      <c r="B10" s="150">
        <v>3</v>
      </c>
      <c r="C10" s="150">
        <v>1</v>
      </c>
    </row>
    <row r="11" spans="1:3" hidden="1" x14ac:dyDescent="0.25">
      <c r="A11" s="153" t="s">
        <v>1049</v>
      </c>
      <c r="B11" s="150">
        <v>2</v>
      </c>
      <c r="C11" s="150">
        <v>1</v>
      </c>
    </row>
    <row r="12" spans="1:3" hidden="1" x14ac:dyDescent="0.25">
      <c r="A12" s="153" t="s">
        <v>1050</v>
      </c>
      <c r="B12" s="150">
        <v>2</v>
      </c>
      <c r="C12" s="150">
        <v>1</v>
      </c>
    </row>
    <row r="13" spans="1:3" hidden="1" x14ac:dyDescent="0.25">
      <c r="A13" s="153" t="s">
        <v>1051</v>
      </c>
      <c r="B13" s="150">
        <v>2</v>
      </c>
      <c r="C13" s="150">
        <v>1</v>
      </c>
    </row>
    <row r="14" spans="1:3" hidden="1" x14ac:dyDescent="0.25">
      <c r="A14" s="153" t="s">
        <v>1052</v>
      </c>
      <c r="B14" s="150">
        <v>1</v>
      </c>
      <c r="C14" s="150">
        <v>1</v>
      </c>
    </row>
    <row r="15" spans="1:3" hidden="1" x14ac:dyDescent="0.25">
      <c r="A15" s="153" t="s">
        <v>530</v>
      </c>
      <c r="B15" s="150">
        <v>1</v>
      </c>
      <c r="C15" s="150">
        <v>1</v>
      </c>
    </row>
    <row r="16" spans="1:3" hidden="1" x14ac:dyDescent="0.25">
      <c r="A16" s="153" t="s">
        <v>531</v>
      </c>
      <c r="B16" s="150">
        <v>1</v>
      </c>
      <c r="C16" s="150">
        <v>1</v>
      </c>
    </row>
    <row r="17" spans="1:3" hidden="1" x14ac:dyDescent="0.25">
      <c r="A17" s="153" t="s">
        <v>1053</v>
      </c>
      <c r="B17" s="150">
        <v>1</v>
      </c>
      <c r="C17" s="150">
        <v>1</v>
      </c>
    </row>
    <row r="18" spans="1:3" hidden="1" x14ac:dyDescent="0.25">
      <c r="A18" s="153" t="s">
        <v>532</v>
      </c>
      <c r="B18" s="150">
        <v>1</v>
      </c>
      <c r="C18" s="150">
        <v>1</v>
      </c>
    </row>
    <row r="19" spans="1:3" hidden="1" x14ac:dyDescent="0.25">
      <c r="A19" s="153" t="s">
        <v>533</v>
      </c>
      <c r="B19" s="150">
        <v>1</v>
      </c>
      <c r="C19" s="150">
        <v>1</v>
      </c>
    </row>
    <row r="20" spans="1:3" hidden="1" x14ac:dyDescent="0.25">
      <c r="A20" s="153" t="s">
        <v>1054</v>
      </c>
      <c r="B20" s="150">
        <v>1</v>
      </c>
      <c r="C20" s="150">
        <v>1</v>
      </c>
    </row>
    <row r="21" spans="1:3" hidden="1" x14ac:dyDescent="0.25">
      <c r="A21" s="153" t="s">
        <v>117</v>
      </c>
      <c r="B21" s="150">
        <v>47</v>
      </c>
      <c r="C21" s="150">
        <v>5</v>
      </c>
    </row>
    <row r="22" spans="1:3" hidden="1" x14ac:dyDescent="0.25">
      <c r="A22" s="153" t="s">
        <v>118</v>
      </c>
      <c r="B22" s="150">
        <v>1</v>
      </c>
      <c r="C22" s="150">
        <v>1</v>
      </c>
    </row>
    <row r="23" spans="1:3" hidden="1" x14ac:dyDescent="0.25">
      <c r="A23" s="153" t="s">
        <v>119</v>
      </c>
      <c r="B23" s="150">
        <v>16</v>
      </c>
      <c r="C23" s="150">
        <v>1</v>
      </c>
    </row>
    <row r="24" spans="1:3" hidden="1" x14ac:dyDescent="0.25">
      <c r="A24" s="153" t="s">
        <v>534</v>
      </c>
      <c r="B24" s="150">
        <v>4</v>
      </c>
      <c r="C24" s="150">
        <v>1</v>
      </c>
    </row>
    <row r="25" spans="1:3" hidden="1" x14ac:dyDescent="0.25">
      <c r="A25" s="153" t="s">
        <v>535</v>
      </c>
      <c r="B25" s="150">
        <v>1</v>
      </c>
      <c r="C25" s="150">
        <v>1</v>
      </c>
    </row>
    <row r="26" spans="1:3" hidden="1" x14ac:dyDescent="0.25">
      <c r="A26" s="153" t="s">
        <v>536</v>
      </c>
      <c r="B26" s="150">
        <v>2</v>
      </c>
      <c r="C26" s="150">
        <v>1</v>
      </c>
    </row>
    <row r="27" spans="1:3" hidden="1" x14ac:dyDescent="0.25">
      <c r="A27" s="153" t="s">
        <v>537</v>
      </c>
      <c r="B27" s="150">
        <v>14</v>
      </c>
      <c r="C27" s="150">
        <v>1</v>
      </c>
    </row>
    <row r="28" spans="1:3" hidden="1" x14ac:dyDescent="0.25">
      <c r="A28" s="153" t="s">
        <v>538</v>
      </c>
      <c r="B28" s="150">
        <v>39</v>
      </c>
      <c r="C28" s="150">
        <v>3</v>
      </c>
    </row>
    <row r="29" spans="1:3" hidden="1" x14ac:dyDescent="0.25">
      <c r="A29" s="153" t="s">
        <v>539</v>
      </c>
      <c r="B29" s="150">
        <v>5</v>
      </c>
      <c r="C29" s="150">
        <v>1</v>
      </c>
    </row>
    <row r="30" spans="1:3" hidden="1" x14ac:dyDescent="0.25">
      <c r="A30" s="153" t="s">
        <v>540</v>
      </c>
      <c r="B30" s="150">
        <v>7</v>
      </c>
      <c r="C30" s="150">
        <v>1</v>
      </c>
    </row>
    <row r="31" spans="1:3" hidden="1" x14ac:dyDescent="0.25">
      <c r="A31" s="153" t="s">
        <v>541</v>
      </c>
      <c r="B31" s="150">
        <v>3</v>
      </c>
      <c r="C31" s="150">
        <v>1</v>
      </c>
    </row>
    <row r="32" spans="1:3" hidden="1" x14ac:dyDescent="0.25">
      <c r="A32" s="153" t="s">
        <v>542</v>
      </c>
      <c r="B32" s="150">
        <v>8</v>
      </c>
      <c r="C32" s="150">
        <v>1</v>
      </c>
    </row>
    <row r="33" spans="1:3" hidden="1" x14ac:dyDescent="0.25">
      <c r="A33" s="153" t="s">
        <v>543</v>
      </c>
      <c r="B33" s="150">
        <v>2</v>
      </c>
      <c r="C33" s="150">
        <v>1</v>
      </c>
    </row>
    <row r="34" spans="1:3" hidden="1" x14ac:dyDescent="0.25">
      <c r="A34" s="153" t="s">
        <v>544</v>
      </c>
      <c r="B34" s="150">
        <v>3</v>
      </c>
      <c r="C34" s="150">
        <v>1</v>
      </c>
    </row>
    <row r="35" spans="1:3" hidden="1" x14ac:dyDescent="0.25">
      <c r="A35" s="153" t="s">
        <v>1055</v>
      </c>
      <c r="B35" s="150">
        <v>4</v>
      </c>
      <c r="C35" s="150">
        <v>1</v>
      </c>
    </row>
    <row r="36" spans="1:3" hidden="1" x14ac:dyDescent="0.25">
      <c r="A36" s="153" t="s">
        <v>120</v>
      </c>
      <c r="B36" s="150">
        <v>65</v>
      </c>
      <c r="C36" s="150">
        <v>7</v>
      </c>
    </row>
    <row r="37" spans="1:3" hidden="1" x14ac:dyDescent="0.25">
      <c r="A37" s="153" t="s">
        <v>121</v>
      </c>
      <c r="B37" s="150">
        <v>183</v>
      </c>
      <c r="C37" s="150">
        <v>7</v>
      </c>
    </row>
    <row r="38" spans="1:3" hidden="1" x14ac:dyDescent="0.25">
      <c r="A38" s="153" t="s">
        <v>122</v>
      </c>
      <c r="B38" s="150">
        <v>153</v>
      </c>
      <c r="C38" s="150">
        <v>7</v>
      </c>
    </row>
    <row r="39" spans="1:3" hidden="1" x14ac:dyDescent="0.25">
      <c r="A39" s="153" t="s">
        <v>545</v>
      </c>
      <c r="B39" s="150">
        <v>62</v>
      </c>
      <c r="C39" s="150">
        <v>5</v>
      </c>
    </row>
    <row r="40" spans="1:3" hidden="1" x14ac:dyDescent="0.25">
      <c r="A40" s="153" t="s">
        <v>123</v>
      </c>
      <c r="B40" s="150">
        <v>1</v>
      </c>
      <c r="C40" s="150">
        <v>1</v>
      </c>
    </row>
    <row r="41" spans="1:3" hidden="1" x14ac:dyDescent="0.25">
      <c r="A41" s="153" t="s">
        <v>124</v>
      </c>
      <c r="B41" s="150">
        <v>79</v>
      </c>
      <c r="C41" s="150">
        <v>7</v>
      </c>
    </row>
    <row r="42" spans="1:3" hidden="1" x14ac:dyDescent="0.25">
      <c r="A42" s="153" t="s">
        <v>125</v>
      </c>
      <c r="B42" s="150">
        <v>19</v>
      </c>
      <c r="C42" s="150">
        <v>1</v>
      </c>
    </row>
    <row r="43" spans="1:3" hidden="1" x14ac:dyDescent="0.25">
      <c r="A43" s="153" t="s">
        <v>527</v>
      </c>
      <c r="B43" s="150">
        <v>37</v>
      </c>
      <c r="C43" s="150">
        <v>3</v>
      </c>
    </row>
    <row r="44" spans="1:3" hidden="1" x14ac:dyDescent="0.25">
      <c r="A44" s="153" t="s">
        <v>126</v>
      </c>
      <c r="B44" s="150">
        <v>18</v>
      </c>
      <c r="C44" s="150">
        <v>1</v>
      </c>
    </row>
    <row r="45" spans="1:3" hidden="1" x14ac:dyDescent="0.25">
      <c r="A45" s="153" t="s">
        <v>546</v>
      </c>
      <c r="B45" s="150">
        <v>125</v>
      </c>
      <c r="C45" s="150">
        <v>7</v>
      </c>
    </row>
    <row r="46" spans="1:3" hidden="1" x14ac:dyDescent="0.25">
      <c r="A46" s="153" t="s">
        <v>127</v>
      </c>
      <c r="B46" s="150">
        <v>31</v>
      </c>
      <c r="C46" s="150">
        <v>3</v>
      </c>
    </row>
    <row r="47" spans="1:3" hidden="1" x14ac:dyDescent="0.25">
      <c r="A47" s="153" t="s">
        <v>128</v>
      </c>
      <c r="B47" s="150">
        <v>274</v>
      </c>
      <c r="C47" s="150">
        <v>7</v>
      </c>
    </row>
    <row r="48" spans="1:3" hidden="1" x14ac:dyDescent="0.25">
      <c r="A48" s="153" t="s">
        <v>547</v>
      </c>
      <c r="B48" s="150">
        <v>89</v>
      </c>
      <c r="C48" s="150">
        <v>7</v>
      </c>
    </row>
    <row r="49" spans="1:3" hidden="1" x14ac:dyDescent="0.25">
      <c r="A49" s="153" t="s">
        <v>129</v>
      </c>
      <c r="B49" s="150">
        <v>11</v>
      </c>
      <c r="C49" s="150">
        <v>1</v>
      </c>
    </row>
    <row r="50" spans="1:3" hidden="1" x14ac:dyDescent="0.25">
      <c r="A50" s="153" t="s">
        <v>548</v>
      </c>
      <c r="B50" s="150">
        <v>5</v>
      </c>
      <c r="C50" s="150">
        <v>1</v>
      </c>
    </row>
    <row r="51" spans="1:3" hidden="1" x14ac:dyDescent="0.25">
      <c r="A51" s="153" t="s">
        <v>130</v>
      </c>
      <c r="B51" s="150">
        <v>8</v>
      </c>
      <c r="C51" s="150">
        <v>1</v>
      </c>
    </row>
    <row r="52" spans="1:3" hidden="1" x14ac:dyDescent="0.25">
      <c r="A52" s="153" t="s">
        <v>131</v>
      </c>
      <c r="B52" s="150">
        <v>41</v>
      </c>
      <c r="C52" s="150">
        <v>3</v>
      </c>
    </row>
    <row r="53" spans="1:3" hidden="1" x14ac:dyDescent="0.25">
      <c r="A53" s="153" t="s">
        <v>132</v>
      </c>
      <c r="B53" s="150">
        <v>35</v>
      </c>
      <c r="C53" s="150">
        <v>3</v>
      </c>
    </row>
    <row r="54" spans="1:3" hidden="1" x14ac:dyDescent="0.25">
      <c r="A54" s="153" t="s">
        <v>133</v>
      </c>
      <c r="B54" s="150">
        <v>30</v>
      </c>
      <c r="C54" s="150">
        <v>3</v>
      </c>
    </row>
    <row r="55" spans="1:3" hidden="1" x14ac:dyDescent="0.25">
      <c r="A55" s="153" t="s">
        <v>362</v>
      </c>
      <c r="B55" s="150">
        <v>6</v>
      </c>
      <c r="C55" s="150">
        <v>1</v>
      </c>
    </row>
    <row r="56" spans="1:3" hidden="1" x14ac:dyDescent="0.25">
      <c r="A56" s="153" t="s">
        <v>549</v>
      </c>
      <c r="B56" s="150">
        <v>11</v>
      </c>
      <c r="C56" s="150">
        <v>1</v>
      </c>
    </row>
    <row r="57" spans="1:3" hidden="1" x14ac:dyDescent="0.25">
      <c r="A57" s="153" t="s">
        <v>134</v>
      </c>
      <c r="B57" s="150">
        <v>89</v>
      </c>
      <c r="C57" s="150">
        <v>7</v>
      </c>
    </row>
    <row r="58" spans="1:3" hidden="1" x14ac:dyDescent="0.25">
      <c r="A58" s="153" t="s">
        <v>526</v>
      </c>
      <c r="B58" s="150">
        <v>28</v>
      </c>
      <c r="C58" s="150">
        <v>3</v>
      </c>
    </row>
    <row r="59" spans="1:3" hidden="1" x14ac:dyDescent="0.25">
      <c r="A59" s="153" t="s">
        <v>550</v>
      </c>
      <c r="B59" s="150">
        <v>11</v>
      </c>
      <c r="C59" s="150">
        <v>1</v>
      </c>
    </row>
    <row r="60" spans="1:3" hidden="1" x14ac:dyDescent="0.25">
      <c r="A60" s="153" t="s">
        <v>135</v>
      </c>
      <c r="B60" s="150">
        <v>9</v>
      </c>
      <c r="C60" s="150">
        <v>1</v>
      </c>
    </row>
    <row r="61" spans="1:3" hidden="1" x14ac:dyDescent="0.25">
      <c r="A61" s="153" t="s">
        <v>525</v>
      </c>
      <c r="B61" s="150">
        <v>12</v>
      </c>
      <c r="C61" s="150">
        <v>1</v>
      </c>
    </row>
    <row r="62" spans="1:3" hidden="1" x14ac:dyDescent="0.25">
      <c r="A62" s="153" t="s">
        <v>136</v>
      </c>
      <c r="B62" s="150">
        <v>2</v>
      </c>
      <c r="C62" s="150">
        <v>1</v>
      </c>
    </row>
    <row r="63" spans="1:3" hidden="1" x14ac:dyDescent="0.25">
      <c r="A63" s="153" t="s">
        <v>1056</v>
      </c>
      <c r="B63" s="150">
        <v>1</v>
      </c>
      <c r="C63" s="150">
        <v>1</v>
      </c>
    </row>
    <row r="64" spans="1:3" hidden="1" x14ac:dyDescent="0.25">
      <c r="A64" s="153" t="s">
        <v>457</v>
      </c>
      <c r="B64" s="150">
        <v>1</v>
      </c>
      <c r="C64" s="150">
        <v>1</v>
      </c>
    </row>
    <row r="65" spans="1:3" hidden="1" x14ac:dyDescent="0.25">
      <c r="A65" s="153" t="s">
        <v>551</v>
      </c>
      <c r="B65" s="150">
        <v>10</v>
      </c>
      <c r="C65" s="150">
        <v>1</v>
      </c>
    </row>
    <row r="66" spans="1:3" hidden="1" x14ac:dyDescent="0.25">
      <c r="A66" s="153" t="s">
        <v>137</v>
      </c>
      <c r="B66" s="150">
        <v>22</v>
      </c>
      <c r="C66" s="150">
        <v>3</v>
      </c>
    </row>
    <row r="67" spans="1:3" hidden="1" x14ac:dyDescent="0.25">
      <c r="A67" s="153" t="s">
        <v>552</v>
      </c>
      <c r="B67" s="150">
        <v>9</v>
      </c>
      <c r="C67" s="150">
        <v>1</v>
      </c>
    </row>
    <row r="68" spans="1:3" hidden="1" x14ac:dyDescent="0.25">
      <c r="A68" s="153" t="s">
        <v>553</v>
      </c>
      <c r="B68" s="150">
        <v>11</v>
      </c>
      <c r="C68" s="150">
        <v>1</v>
      </c>
    </row>
    <row r="69" spans="1:3" hidden="1" x14ac:dyDescent="0.25">
      <c r="A69" s="153" t="s">
        <v>325</v>
      </c>
      <c r="B69" s="150">
        <v>26</v>
      </c>
      <c r="C69" s="150">
        <v>3</v>
      </c>
    </row>
    <row r="70" spans="1:3" hidden="1" x14ac:dyDescent="0.25">
      <c r="A70" s="153" t="s">
        <v>554</v>
      </c>
      <c r="B70" s="150">
        <v>10</v>
      </c>
      <c r="C70" s="150">
        <v>1</v>
      </c>
    </row>
    <row r="71" spans="1:3" hidden="1" x14ac:dyDescent="0.25">
      <c r="A71" s="153" t="s">
        <v>524</v>
      </c>
      <c r="B71" s="150">
        <v>10</v>
      </c>
      <c r="C71" s="150">
        <v>1</v>
      </c>
    </row>
    <row r="72" spans="1:3" hidden="1" x14ac:dyDescent="0.25">
      <c r="A72" s="153" t="s">
        <v>555</v>
      </c>
      <c r="B72" s="150">
        <v>32</v>
      </c>
      <c r="C72" s="150">
        <v>3</v>
      </c>
    </row>
    <row r="73" spans="1:3" hidden="1" x14ac:dyDescent="0.25">
      <c r="A73" s="153" t="s">
        <v>556</v>
      </c>
      <c r="B73" s="150">
        <v>49</v>
      </c>
      <c r="C73" s="150">
        <v>5</v>
      </c>
    </row>
    <row r="74" spans="1:3" hidden="1" x14ac:dyDescent="0.25">
      <c r="A74" s="153" t="s">
        <v>557</v>
      </c>
      <c r="B74" s="150">
        <v>9</v>
      </c>
      <c r="C74" s="150">
        <v>1</v>
      </c>
    </row>
    <row r="75" spans="1:3" hidden="1" x14ac:dyDescent="0.25">
      <c r="A75" s="153" t="s">
        <v>1057</v>
      </c>
      <c r="B75" s="150">
        <v>17</v>
      </c>
      <c r="C75" s="150">
        <v>1</v>
      </c>
    </row>
    <row r="76" spans="1:3" hidden="1" x14ac:dyDescent="0.25">
      <c r="A76" s="153" t="s">
        <v>893</v>
      </c>
      <c r="B76" s="150">
        <v>5</v>
      </c>
      <c r="C76" s="150">
        <v>1</v>
      </c>
    </row>
    <row r="77" spans="1:3" hidden="1" x14ac:dyDescent="0.25">
      <c r="A77" s="153" t="s">
        <v>918</v>
      </c>
      <c r="B77" s="150">
        <v>4</v>
      </c>
      <c r="C77" s="150">
        <v>1</v>
      </c>
    </row>
    <row r="78" spans="1:3" hidden="1" x14ac:dyDescent="0.25">
      <c r="A78" s="153" t="s">
        <v>558</v>
      </c>
      <c r="B78" s="150">
        <v>20</v>
      </c>
      <c r="C78" s="150">
        <v>1</v>
      </c>
    </row>
    <row r="79" spans="1:3" hidden="1" x14ac:dyDescent="0.25">
      <c r="A79" s="153" t="s">
        <v>559</v>
      </c>
      <c r="B79" s="150">
        <v>22</v>
      </c>
      <c r="C79" s="150">
        <v>3</v>
      </c>
    </row>
    <row r="80" spans="1:3" hidden="1" x14ac:dyDescent="0.25">
      <c r="A80" s="153" t="s">
        <v>560</v>
      </c>
      <c r="B80" s="150">
        <v>72</v>
      </c>
      <c r="C80" s="150">
        <v>7</v>
      </c>
    </row>
    <row r="81" spans="1:3" hidden="1" x14ac:dyDescent="0.25">
      <c r="A81" s="153" t="s">
        <v>138</v>
      </c>
      <c r="B81" s="150">
        <v>30</v>
      </c>
      <c r="C81" s="150">
        <v>3</v>
      </c>
    </row>
    <row r="82" spans="1:3" hidden="1" x14ac:dyDescent="0.25">
      <c r="A82" s="153" t="s">
        <v>139</v>
      </c>
      <c r="B82" s="150">
        <v>161</v>
      </c>
      <c r="C82" s="150">
        <v>7</v>
      </c>
    </row>
    <row r="83" spans="1:3" hidden="1" x14ac:dyDescent="0.25">
      <c r="A83" s="153" t="s">
        <v>140</v>
      </c>
      <c r="B83" s="150">
        <v>64</v>
      </c>
      <c r="C83" s="150">
        <v>5</v>
      </c>
    </row>
    <row r="84" spans="1:3" hidden="1" x14ac:dyDescent="0.25">
      <c r="A84" s="153" t="s">
        <v>1058</v>
      </c>
      <c r="B84" s="150">
        <v>2</v>
      </c>
      <c r="C84" s="150">
        <v>1</v>
      </c>
    </row>
    <row r="85" spans="1:3" hidden="1" x14ac:dyDescent="0.25">
      <c r="A85" s="153" t="s">
        <v>561</v>
      </c>
      <c r="B85" s="150">
        <v>1</v>
      </c>
      <c r="C85" s="150">
        <v>1</v>
      </c>
    </row>
    <row r="86" spans="1:3" hidden="1" x14ac:dyDescent="0.25">
      <c r="A86" s="153" t="s">
        <v>562</v>
      </c>
      <c r="B86" s="150">
        <v>30</v>
      </c>
      <c r="C86" s="150">
        <v>3</v>
      </c>
    </row>
    <row r="87" spans="1:3" hidden="1" x14ac:dyDescent="0.25">
      <c r="A87" s="153" t="s">
        <v>1059</v>
      </c>
      <c r="B87" s="150">
        <v>1</v>
      </c>
      <c r="C87" s="150">
        <v>1</v>
      </c>
    </row>
    <row r="88" spans="1:3" hidden="1" x14ac:dyDescent="0.25">
      <c r="A88" s="153" t="s">
        <v>563</v>
      </c>
      <c r="B88" s="150">
        <v>22</v>
      </c>
      <c r="C88" s="150">
        <v>3</v>
      </c>
    </row>
    <row r="89" spans="1:3" hidden="1" x14ac:dyDescent="0.25">
      <c r="A89" s="153" t="s">
        <v>522</v>
      </c>
      <c r="B89" s="150">
        <v>6</v>
      </c>
      <c r="C89" s="150">
        <v>1</v>
      </c>
    </row>
    <row r="90" spans="1:3" hidden="1" x14ac:dyDescent="0.25">
      <c r="A90" s="153" t="s">
        <v>141</v>
      </c>
      <c r="B90" s="150">
        <v>8</v>
      </c>
      <c r="C90" s="150">
        <v>1</v>
      </c>
    </row>
    <row r="91" spans="1:3" hidden="1" x14ac:dyDescent="0.25">
      <c r="A91" s="153" t="s">
        <v>564</v>
      </c>
      <c r="B91" s="150">
        <v>2</v>
      </c>
      <c r="C91" s="150">
        <v>1</v>
      </c>
    </row>
    <row r="92" spans="1:3" hidden="1" x14ac:dyDescent="0.25">
      <c r="A92" s="153" t="s">
        <v>565</v>
      </c>
      <c r="B92" s="150">
        <v>12</v>
      </c>
      <c r="C92" s="150">
        <v>1</v>
      </c>
    </row>
    <row r="93" spans="1:3" hidden="1" x14ac:dyDescent="0.25">
      <c r="A93" s="153" t="s">
        <v>1060</v>
      </c>
      <c r="B93" s="150">
        <v>6</v>
      </c>
      <c r="C93" s="150">
        <v>1</v>
      </c>
    </row>
    <row r="94" spans="1:3" hidden="1" x14ac:dyDescent="0.25">
      <c r="A94" s="153" t="s">
        <v>142</v>
      </c>
      <c r="B94" s="150">
        <v>4</v>
      </c>
      <c r="C94" s="150">
        <v>1</v>
      </c>
    </row>
    <row r="95" spans="1:3" hidden="1" x14ac:dyDescent="0.25">
      <c r="A95" s="150" t="s">
        <v>566</v>
      </c>
      <c r="B95" s="150">
        <v>17</v>
      </c>
      <c r="C95" s="150">
        <v>1</v>
      </c>
    </row>
    <row r="96" spans="1:3" hidden="1" x14ac:dyDescent="0.25">
      <c r="A96" s="153" t="s">
        <v>1061</v>
      </c>
      <c r="B96" s="150">
        <v>3</v>
      </c>
      <c r="C96" s="150">
        <v>1</v>
      </c>
    </row>
    <row r="97" spans="1:3" hidden="1" x14ac:dyDescent="0.25">
      <c r="A97" s="153" t="s">
        <v>143</v>
      </c>
      <c r="B97" s="150">
        <v>17</v>
      </c>
      <c r="C97" s="150">
        <v>1</v>
      </c>
    </row>
    <row r="98" spans="1:3" hidden="1" x14ac:dyDescent="0.25">
      <c r="A98" s="153" t="s">
        <v>144</v>
      </c>
      <c r="B98" s="150">
        <v>47</v>
      </c>
      <c r="C98" s="150">
        <v>5</v>
      </c>
    </row>
    <row r="99" spans="1:3" hidden="1" x14ac:dyDescent="0.25">
      <c r="A99" s="153" t="s">
        <v>145</v>
      </c>
      <c r="B99" s="150">
        <v>47</v>
      </c>
      <c r="C99" s="150">
        <v>5</v>
      </c>
    </row>
    <row r="100" spans="1:3" hidden="1" x14ac:dyDescent="0.25">
      <c r="A100" s="153" t="s">
        <v>567</v>
      </c>
      <c r="B100" s="150">
        <v>18</v>
      </c>
      <c r="C100" s="150">
        <v>1</v>
      </c>
    </row>
    <row r="101" spans="1:3" hidden="1" x14ac:dyDescent="0.25">
      <c r="A101" s="153" t="s">
        <v>146</v>
      </c>
      <c r="B101" s="150">
        <v>4</v>
      </c>
      <c r="C101" s="150">
        <v>1</v>
      </c>
    </row>
    <row r="102" spans="1:3" hidden="1" x14ac:dyDescent="0.25">
      <c r="A102" s="153" t="s">
        <v>147</v>
      </c>
      <c r="B102" s="150">
        <v>21</v>
      </c>
      <c r="C102" s="150">
        <v>1</v>
      </c>
    </row>
    <row r="103" spans="1:3" hidden="1" x14ac:dyDescent="0.25">
      <c r="A103" s="153" t="s">
        <v>148</v>
      </c>
      <c r="B103" s="150">
        <v>48</v>
      </c>
      <c r="C103" s="150">
        <v>5</v>
      </c>
    </row>
    <row r="104" spans="1:3" hidden="1" x14ac:dyDescent="0.25">
      <c r="A104" s="153" t="s">
        <v>149</v>
      </c>
      <c r="B104" s="150">
        <v>1</v>
      </c>
      <c r="C104" s="150">
        <v>1</v>
      </c>
    </row>
    <row r="105" spans="1:3" hidden="1" x14ac:dyDescent="0.25">
      <c r="A105" s="153" t="s">
        <v>150</v>
      </c>
      <c r="B105" s="150">
        <v>179</v>
      </c>
      <c r="C105" s="150">
        <v>7</v>
      </c>
    </row>
    <row r="106" spans="1:3" hidden="1" x14ac:dyDescent="0.25">
      <c r="A106" s="153" t="s">
        <v>568</v>
      </c>
      <c r="B106" s="150">
        <v>6</v>
      </c>
      <c r="C106" s="150">
        <v>1</v>
      </c>
    </row>
    <row r="107" spans="1:3" hidden="1" x14ac:dyDescent="0.25">
      <c r="A107" s="150" t="s">
        <v>151</v>
      </c>
      <c r="B107" s="150">
        <v>146</v>
      </c>
      <c r="C107" s="150">
        <v>7</v>
      </c>
    </row>
    <row r="108" spans="1:3" hidden="1" x14ac:dyDescent="0.25">
      <c r="A108" s="153" t="s">
        <v>521</v>
      </c>
      <c r="B108" s="150">
        <v>29</v>
      </c>
      <c r="C108" s="150">
        <v>3</v>
      </c>
    </row>
    <row r="109" spans="1:3" hidden="1" x14ac:dyDescent="0.25">
      <c r="A109" s="153" t="s">
        <v>569</v>
      </c>
      <c r="B109" s="150">
        <v>2</v>
      </c>
      <c r="C109" s="150">
        <v>1</v>
      </c>
    </row>
    <row r="110" spans="1:3" hidden="1" x14ac:dyDescent="0.25">
      <c r="A110" s="153" t="s">
        <v>152</v>
      </c>
      <c r="B110" s="150">
        <v>5</v>
      </c>
      <c r="C110" s="150">
        <v>1</v>
      </c>
    </row>
    <row r="111" spans="1:3" hidden="1" x14ac:dyDescent="0.25">
      <c r="A111" s="153" t="s">
        <v>570</v>
      </c>
      <c r="B111" s="150">
        <v>8</v>
      </c>
      <c r="C111" s="150">
        <v>1</v>
      </c>
    </row>
    <row r="112" spans="1:3" hidden="1" x14ac:dyDescent="0.25">
      <c r="A112" s="153" t="s">
        <v>571</v>
      </c>
      <c r="B112" s="150">
        <v>6</v>
      </c>
      <c r="C112" s="150">
        <v>1</v>
      </c>
    </row>
    <row r="113" spans="1:3" hidden="1" x14ac:dyDescent="0.25">
      <c r="A113" s="153" t="s">
        <v>1062</v>
      </c>
      <c r="B113" s="150">
        <v>5</v>
      </c>
      <c r="C113" s="150">
        <v>1</v>
      </c>
    </row>
    <row r="114" spans="1:3" hidden="1" x14ac:dyDescent="0.25">
      <c r="A114" s="153" t="s">
        <v>153</v>
      </c>
      <c r="B114" s="150">
        <v>18</v>
      </c>
      <c r="C114" s="150">
        <v>1</v>
      </c>
    </row>
    <row r="115" spans="1:3" hidden="1" x14ac:dyDescent="0.25">
      <c r="A115" s="153" t="s">
        <v>1146</v>
      </c>
      <c r="B115" s="150">
        <v>1</v>
      </c>
      <c r="C115" s="150">
        <v>1</v>
      </c>
    </row>
    <row r="116" spans="1:3" hidden="1" x14ac:dyDescent="0.25">
      <c r="A116" s="153" t="s">
        <v>154</v>
      </c>
      <c r="B116" s="150">
        <v>56</v>
      </c>
      <c r="C116" s="150">
        <v>5</v>
      </c>
    </row>
    <row r="117" spans="1:3" hidden="1" x14ac:dyDescent="0.25">
      <c r="A117" s="153" t="s">
        <v>1063</v>
      </c>
      <c r="B117" s="150">
        <v>6</v>
      </c>
      <c r="C117" s="150">
        <v>1</v>
      </c>
    </row>
    <row r="118" spans="1:3" hidden="1" x14ac:dyDescent="0.25">
      <c r="A118" s="153" t="s">
        <v>155</v>
      </c>
      <c r="B118" s="150">
        <v>2</v>
      </c>
      <c r="C118" s="150">
        <v>1</v>
      </c>
    </row>
    <row r="119" spans="1:3" hidden="1" x14ac:dyDescent="0.25">
      <c r="A119" s="153" t="s">
        <v>156</v>
      </c>
      <c r="B119" s="150">
        <v>9</v>
      </c>
      <c r="C119" s="150">
        <v>1</v>
      </c>
    </row>
    <row r="120" spans="1:3" hidden="1" x14ac:dyDescent="0.25">
      <c r="A120" s="153" t="s">
        <v>157</v>
      </c>
      <c r="B120" s="150">
        <v>52</v>
      </c>
      <c r="C120" s="150">
        <v>5</v>
      </c>
    </row>
    <row r="121" spans="1:3" hidden="1" x14ac:dyDescent="0.25">
      <c r="A121" s="153" t="s">
        <v>572</v>
      </c>
      <c r="B121" s="150">
        <v>8</v>
      </c>
      <c r="C121" s="150">
        <v>1</v>
      </c>
    </row>
    <row r="122" spans="1:3" hidden="1" x14ac:dyDescent="0.25">
      <c r="A122" s="153" t="s">
        <v>573</v>
      </c>
      <c r="B122" s="150">
        <v>6</v>
      </c>
      <c r="C122" s="150">
        <v>1</v>
      </c>
    </row>
    <row r="123" spans="1:3" hidden="1" x14ac:dyDescent="0.25">
      <c r="A123" s="153" t="s">
        <v>574</v>
      </c>
      <c r="B123" s="150">
        <v>3</v>
      </c>
      <c r="C123" s="150">
        <v>1</v>
      </c>
    </row>
    <row r="124" spans="1:3" hidden="1" x14ac:dyDescent="0.25">
      <c r="A124" s="153" t="s">
        <v>158</v>
      </c>
      <c r="B124" s="150">
        <v>2</v>
      </c>
      <c r="C124" s="150">
        <v>1</v>
      </c>
    </row>
    <row r="125" spans="1:3" hidden="1" x14ac:dyDescent="0.25">
      <c r="A125" s="153" t="s">
        <v>1064</v>
      </c>
      <c r="B125" s="150">
        <v>2</v>
      </c>
      <c r="C125" s="150">
        <v>1</v>
      </c>
    </row>
    <row r="126" spans="1:3" hidden="1" x14ac:dyDescent="0.25">
      <c r="A126" s="153" t="s">
        <v>1065</v>
      </c>
      <c r="B126" s="150">
        <v>3</v>
      </c>
      <c r="C126" s="150">
        <v>1</v>
      </c>
    </row>
    <row r="127" spans="1:3" hidden="1" x14ac:dyDescent="0.25">
      <c r="A127" s="153" t="s">
        <v>159</v>
      </c>
      <c r="B127" s="150">
        <v>11</v>
      </c>
      <c r="C127" s="150">
        <v>1</v>
      </c>
    </row>
    <row r="128" spans="1:3" hidden="1" x14ac:dyDescent="0.25">
      <c r="A128" s="153" t="s">
        <v>575</v>
      </c>
      <c r="B128" s="150">
        <v>4</v>
      </c>
      <c r="C128" s="150">
        <v>1</v>
      </c>
    </row>
    <row r="129" spans="1:3" hidden="1" x14ac:dyDescent="0.25">
      <c r="A129" s="153" t="s">
        <v>160</v>
      </c>
      <c r="B129" s="150">
        <v>80</v>
      </c>
      <c r="C129" s="150">
        <v>7</v>
      </c>
    </row>
    <row r="130" spans="1:3" hidden="1" x14ac:dyDescent="0.25">
      <c r="A130" s="153" t="s">
        <v>161</v>
      </c>
      <c r="B130" s="150">
        <v>31</v>
      </c>
      <c r="C130" s="150">
        <v>3</v>
      </c>
    </row>
    <row r="131" spans="1:3" hidden="1" x14ac:dyDescent="0.25">
      <c r="A131" s="153" t="s">
        <v>576</v>
      </c>
      <c r="B131" s="150">
        <v>39</v>
      </c>
      <c r="C131" s="150">
        <v>3</v>
      </c>
    </row>
    <row r="132" spans="1:3" hidden="1" x14ac:dyDescent="0.25">
      <c r="A132" s="153" t="s">
        <v>520</v>
      </c>
      <c r="B132" s="150">
        <v>3</v>
      </c>
      <c r="C132" s="150">
        <v>1</v>
      </c>
    </row>
    <row r="133" spans="1:3" hidden="1" x14ac:dyDescent="0.25">
      <c r="A133" s="153" t="s">
        <v>577</v>
      </c>
      <c r="B133" s="150">
        <v>2</v>
      </c>
      <c r="C133" s="150">
        <v>1</v>
      </c>
    </row>
    <row r="134" spans="1:3" hidden="1" x14ac:dyDescent="0.25">
      <c r="A134" s="153" t="s">
        <v>162</v>
      </c>
      <c r="B134" s="150">
        <v>17</v>
      </c>
      <c r="C134" s="150">
        <v>1</v>
      </c>
    </row>
    <row r="135" spans="1:3" hidden="1" x14ac:dyDescent="0.25">
      <c r="A135" s="153" t="s">
        <v>578</v>
      </c>
      <c r="B135" s="150">
        <v>1</v>
      </c>
      <c r="C135" s="150">
        <v>1</v>
      </c>
    </row>
    <row r="136" spans="1:3" hidden="1" x14ac:dyDescent="0.25">
      <c r="A136" s="153" t="s">
        <v>360</v>
      </c>
      <c r="B136" s="150">
        <v>48</v>
      </c>
      <c r="C136" s="150">
        <v>5</v>
      </c>
    </row>
    <row r="137" spans="1:3" hidden="1" x14ac:dyDescent="0.25">
      <c r="A137" s="153" t="s">
        <v>163</v>
      </c>
      <c r="B137" s="150">
        <v>122</v>
      </c>
      <c r="C137" s="150">
        <v>7</v>
      </c>
    </row>
    <row r="138" spans="1:3" hidden="1" x14ac:dyDescent="0.25">
      <c r="A138" s="153" t="s">
        <v>164</v>
      </c>
      <c r="B138" s="150">
        <v>84</v>
      </c>
      <c r="C138" s="150">
        <v>7</v>
      </c>
    </row>
    <row r="139" spans="1:3" hidden="1" x14ac:dyDescent="0.25">
      <c r="A139" s="153" t="s">
        <v>165</v>
      </c>
      <c r="B139" s="150">
        <v>119</v>
      </c>
      <c r="C139" s="150">
        <v>7</v>
      </c>
    </row>
    <row r="140" spans="1:3" hidden="1" x14ac:dyDescent="0.25">
      <c r="A140" s="153" t="s">
        <v>166</v>
      </c>
      <c r="B140" s="150">
        <v>4</v>
      </c>
      <c r="C140" s="150">
        <v>1</v>
      </c>
    </row>
    <row r="141" spans="1:3" hidden="1" x14ac:dyDescent="0.25">
      <c r="A141" s="153" t="s">
        <v>579</v>
      </c>
      <c r="B141" s="150">
        <v>78</v>
      </c>
      <c r="C141" s="150">
        <v>7</v>
      </c>
    </row>
    <row r="142" spans="1:3" hidden="1" x14ac:dyDescent="0.25">
      <c r="A142" s="153" t="s">
        <v>580</v>
      </c>
      <c r="B142" s="150">
        <v>1</v>
      </c>
      <c r="C142" s="150">
        <v>1</v>
      </c>
    </row>
    <row r="143" spans="1:3" hidden="1" x14ac:dyDescent="0.25">
      <c r="A143" s="153" t="s">
        <v>581</v>
      </c>
      <c r="B143" s="150">
        <v>9</v>
      </c>
      <c r="C143" s="150">
        <v>1</v>
      </c>
    </row>
    <row r="144" spans="1:3" hidden="1" x14ac:dyDescent="0.25">
      <c r="A144" s="153" t="s">
        <v>167</v>
      </c>
      <c r="B144" s="150">
        <v>17</v>
      </c>
      <c r="C144" s="150">
        <v>1</v>
      </c>
    </row>
    <row r="145" spans="1:3" hidden="1" x14ac:dyDescent="0.25">
      <c r="A145" s="153" t="s">
        <v>168</v>
      </c>
      <c r="B145" s="150">
        <v>6</v>
      </c>
      <c r="C145" s="150">
        <v>1</v>
      </c>
    </row>
    <row r="146" spans="1:3" hidden="1" x14ac:dyDescent="0.25">
      <c r="A146" s="153" t="s">
        <v>519</v>
      </c>
      <c r="B146" s="150">
        <v>5</v>
      </c>
      <c r="C146" s="150">
        <v>1</v>
      </c>
    </row>
    <row r="147" spans="1:3" hidden="1" x14ac:dyDescent="0.25">
      <c r="A147" s="153" t="s">
        <v>169</v>
      </c>
      <c r="B147" s="150">
        <v>2</v>
      </c>
      <c r="C147" s="150">
        <v>1</v>
      </c>
    </row>
    <row r="148" spans="1:3" hidden="1" x14ac:dyDescent="0.25">
      <c r="A148" s="153" t="s">
        <v>1147</v>
      </c>
      <c r="B148" s="150">
        <v>1</v>
      </c>
      <c r="C148" s="150">
        <v>1</v>
      </c>
    </row>
    <row r="149" spans="1:3" hidden="1" x14ac:dyDescent="0.25">
      <c r="A149" s="153" t="s">
        <v>582</v>
      </c>
      <c r="B149" s="150">
        <v>18</v>
      </c>
      <c r="C149" s="150">
        <v>1</v>
      </c>
    </row>
    <row r="150" spans="1:3" hidden="1" x14ac:dyDescent="0.25">
      <c r="A150" s="153" t="s">
        <v>170</v>
      </c>
      <c r="B150" s="150">
        <v>4</v>
      </c>
      <c r="C150" s="150">
        <v>1</v>
      </c>
    </row>
    <row r="151" spans="1:3" hidden="1" x14ac:dyDescent="0.25">
      <c r="A151" s="153" t="s">
        <v>171</v>
      </c>
      <c r="B151" s="150">
        <v>11</v>
      </c>
      <c r="C151" s="150">
        <v>1</v>
      </c>
    </row>
    <row r="152" spans="1:3" hidden="1" x14ac:dyDescent="0.25">
      <c r="A152" s="153" t="s">
        <v>172</v>
      </c>
      <c r="B152" s="150">
        <v>5</v>
      </c>
      <c r="C152" s="150">
        <v>1</v>
      </c>
    </row>
    <row r="153" spans="1:3" hidden="1" x14ac:dyDescent="0.25">
      <c r="A153" s="153" t="s">
        <v>583</v>
      </c>
      <c r="B153" s="150">
        <v>11</v>
      </c>
      <c r="C153" s="150">
        <v>1</v>
      </c>
    </row>
    <row r="154" spans="1:3" hidden="1" x14ac:dyDescent="0.25">
      <c r="A154" s="153" t="s">
        <v>584</v>
      </c>
      <c r="B154" s="150">
        <v>1</v>
      </c>
      <c r="C154" s="150">
        <v>1</v>
      </c>
    </row>
    <row r="155" spans="1:3" hidden="1" x14ac:dyDescent="0.25">
      <c r="A155" s="153" t="s">
        <v>585</v>
      </c>
      <c r="B155" s="150">
        <v>22</v>
      </c>
      <c r="C155" s="150">
        <v>3</v>
      </c>
    </row>
    <row r="156" spans="1:3" hidden="1" x14ac:dyDescent="0.25">
      <c r="A156" s="153" t="s">
        <v>586</v>
      </c>
      <c r="B156" s="150">
        <v>5</v>
      </c>
      <c r="C156" s="150">
        <v>1</v>
      </c>
    </row>
    <row r="157" spans="1:3" hidden="1" x14ac:dyDescent="0.25">
      <c r="A157" s="153" t="s">
        <v>353</v>
      </c>
      <c r="B157" s="150">
        <v>23</v>
      </c>
      <c r="C157" s="150">
        <v>3</v>
      </c>
    </row>
    <row r="158" spans="1:3" hidden="1" x14ac:dyDescent="0.25">
      <c r="A158" s="153" t="s">
        <v>173</v>
      </c>
      <c r="B158" s="150">
        <v>6</v>
      </c>
      <c r="C158" s="150">
        <v>1</v>
      </c>
    </row>
    <row r="159" spans="1:3" hidden="1" x14ac:dyDescent="0.25">
      <c r="A159" s="153" t="s">
        <v>587</v>
      </c>
      <c r="B159" s="150">
        <v>4</v>
      </c>
      <c r="C159" s="150">
        <v>1</v>
      </c>
    </row>
    <row r="160" spans="1:3" hidden="1" x14ac:dyDescent="0.25">
      <c r="A160" s="153" t="s">
        <v>588</v>
      </c>
      <c r="B160" s="150">
        <v>14</v>
      </c>
      <c r="C160" s="150">
        <v>1</v>
      </c>
    </row>
    <row r="161" spans="1:3" hidden="1" x14ac:dyDescent="0.25">
      <c r="A161" s="153" t="s">
        <v>589</v>
      </c>
      <c r="B161" s="150">
        <v>70</v>
      </c>
      <c r="C161" s="150">
        <v>7</v>
      </c>
    </row>
    <row r="162" spans="1:3" hidden="1" x14ac:dyDescent="0.25">
      <c r="A162" s="153" t="s">
        <v>358</v>
      </c>
      <c r="B162" s="150">
        <v>50</v>
      </c>
      <c r="C162" s="150">
        <v>5</v>
      </c>
    </row>
    <row r="163" spans="1:3" hidden="1" x14ac:dyDescent="0.25">
      <c r="A163" s="153" t="s">
        <v>174</v>
      </c>
      <c r="B163" s="150">
        <v>2</v>
      </c>
      <c r="C163" s="150">
        <v>1</v>
      </c>
    </row>
    <row r="164" spans="1:3" hidden="1" x14ac:dyDescent="0.25">
      <c r="A164" s="153" t="s">
        <v>590</v>
      </c>
      <c r="B164" s="150">
        <v>6</v>
      </c>
      <c r="C164" s="150">
        <v>1</v>
      </c>
    </row>
    <row r="165" spans="1:3" hidden="1" x14ac:dyDescent="0.25">
      <c r="A165" s="153" t="s">
        <v>591</v>
      </c>
      <c r="B165" s="150">
        <v>1</v>
      </c>
      <c r="C165" s="150">
        <v>1</v>
      </c>
    </row>
    <row r="166" spans="1:3" hidden="1" x14ac:dyDescent="0.25">
      <c r="A166" s="153" t="s">
        <v>518</v>
      </c>
      <c r="B166" s="150">
        <v>1</v>
      </c>
      <c r="C166" s="150">
        <v>1</v>
      </c>
    </row>
    <row r="167" spans="1:3" hidden="1" x14ac:dyDescent="0.25">
      <c r="A167" s="153" t="s">
        <v>363</v>
      </c>
      <c r="B167" s="150">
        <v>1</v>
      </c>
      <c r="C167" s="150">
        <v>1</v>
      </c>
    </row>
    <row r="168" spans="1:3" hidden="1" x14ac:dyDescent="0.25">
      <c r="A168" s="153" t="s">
        <v>50</v>
      </c>
      <c r="B168" s="150">
        <v>1</v>
      </c>
      <c r="C168" s="150">
        <v>1</v>
      </c>
    </row>
    <row r="169" spans="1:3" hidden="1" x14ac:dyDescent="0.25">
      <c r="A169" s="153" t="s">
        <v>175</v>
      </c>
      <c r="B169" s="150">
        <v>2</v>
      </c>
      <c r="C169" s="150">
        <v>1</v>
      </c>
    </row>
    <row r="170" spans="1:3" hidden="1" x14ac:dyDescent="0.25">
      <c r="A170" s="153" t="s">
        <v>46</v>
      </c>
      <c r="B170" s="150">
        <v>1</v>
      </c>
      <c r="C170" s="150">
        <v>1</v>
      </c>
    </row>
    <row r="171" spans="1:3" hidden="1" x14ac:dyDescent="0.25">
      <c r="A171" s="153" t="s">
        <v>592</v>
      </c>
      <c r="B171" s="150">
        <v>10</v>
      </c>
      <c r="C171" s="150">
        <v>1</v>
      </c>
    </row>
    <row r="172" spans="1:3" hidden="1" x14ac:dyDescent="0.25">
      <c r="A172" s="153" t="s">
        <v>176</v>
      </c>
      <c r="B172" s="150">
        <v>18</v>
      </c>
      <c r="C172" s="150">
        <v>1</v>
      </c>
    </row>
    <row r="173" spans="1:3" hidden="1" x14ac:dyDescent="0.25">
      <c r="A173" s="153" t="s">
        <v>177</v>
      </c>
      <c r="B173" s="150">
        <v>22</v>
      </c>
      <c r="C173" s="150">
        <v>3</v>
      </c>
    </row>
    <row r="174" spans="1:3" hidden="1" x14ac:dyDescent="0.25">
      <c r="A174" s="153" t="s">
        <v>517</v>
      </c>
      <c r="B174" s="150">
        <v>16</v>
      </c>
      <c r="C174" s="150">
        <v>1</v>
      </c>
    </row>
    <row r="175" spans="1:3" hidden="1" x14ac:dyDescent="0.25">
      <c r="A175" s="153" t="s">
        <v>178</v>
      </c>
      <c r="B175" s="150">
        <v>6</v>
      </c>
      <c r="C175" s="150">
        <v>1</v>
      </c>
    </row>
    <row r="176" spans="1:3" hidden="1" x14ac:dyDescent="0.25">
      <c r="A176" s="153" t="s">
        <v>179</v>
      </c>
      <c r="B176" s="150">
        <v>14</v>
      </c>
      <c r="C176" s="150">
        <v>1</v>
      </c>
    </row>
    <row r="177" spans="1:3" hidden="1" x14ac:dyDescent="0.25">
      <c r="A177" s="153" t="s">
        <v>180</v>
      </c>
      <c r="B177" s="150">
        <v>21</v>
      </c>
      <c r="C177" s="150">
        <v>1</v>
      </c>
    </row>
    <row r="178" spans="1:3" hidden="1" x14ac:dyDescent="0.25">
      <c r="A178" s="153" t="s">
        <v>181</v>
      </c>
      <c r="B178" s="150">
        <v>5</v>
      </c>
      <c r="C178" s="150">
        <v>1</v>
      </c>
    </row>
    <row r="179" spans="1:3" hidden="1" x14ac:dyDescent="0.25">
      <c r="A179" s="153" t="s">
        <v>593</v>
      </c>
      <c r="B179" s="150">
        <v>2</v>
      </c>
      <c r="C179" s="150">
        <v>1</v>
      </c>
    </row>
    <row r="180" spans="1:3" hidden="1" x14ac:dyDescent="0.25">
      <c r="A180" s="153" t="s">
        <v>182</v>
      </c>
      <c r="B180" s="150">
        <v>15</v>
      </c>
      <c r="C180" s="150">
        <v>1</v>
      </c>
    </row>
    <row r="181" spans="1:3" hidden="1" x14ac:dyDescent="0.25">
      <c r="A181" s="153" t="s">
        <v>594</v>
      </c>
      <c r="B181" s="150">
        <v>2</v>
      </c>
      <c r="C181" s="150">
        <v>1</v>
      </c>
    </row>
    <row r="182" spans="1:3" hidden="1" x14ac:dyDescent="0.25">
      <c r="A182" s="153" t="s">
        <v>183</v>
      </c>
      <c r="B182" s="150">
        <v>1</v>
      </c>
      <c r="C182" s="150">
        <v>1</v>
      </c>
    </row>
    <row r="183" spans="1:3" hidden="1" x14ac:dyDescent="0.25">
      <c r="A183" s="153" t="s">
        <v>595</v>
      </c>
      <c r="B183" s="150">
        <v>4</v>
      </c>
      <c r="C183" s="150">
        <v>1</v>
      </c>
    </row>
    <row r="184" spans="1:3" hidden="1" x14ac:dyDescent="0.25">
      <c r="A184" s="153" t="s">
        <v>184</v>
      </c>
      <c r="B184" s="150">
        <v>63</v>
      </c>
      <c r="C184" s="150">
        <v>5</v>
      </c>
    </row>
    <row r="185" spans="1:3" hidden="1" x14ac:dyDescent="0.25">
      <c r="A185" s="153" t="s">
        <v>596</v>
      </c>
      <c r="B185" s="150">
        <v>1</v>
      </c>
      <c r="C185" s="150">
        <v>1</v>
      </c>
    </row>
    <row r="186" spans="1:3" hidden="1" x14ac:dyDescent="0.25">
      <c r="A186" s="153" t="s">
        <v>597</v>
      </c>
      <c r="B186" s="150">
        <v>1</v>
      </c>
      <c r="C186" s="150">
        <v>1</v>
      </c>
    </row>
    <row r="187" spans="1:3" hidden="1" x14ac:dyDescent="0.25">
      <c r="A187" s="153" t="s">
        <v>185</v>
      </c>
      <c r="B187" s="150">
        <v>15</v>
      </c>
      <c r="C187" s="150">
        <v>1</v>
      </c>
    </row>
    <row r="188" spans="1:3" hidden="1" x14ac:dyDescent="0.25">
      <c r="A188" s="153" t="s">
        <v>186</v>
      </c>
      <c r="B188" s="150">
        <v>1</v>
      </c>
      <c r="C188" s="150">
        <v>1</v>
      </c>
    </row>
    <row r="189" spans="1:3" hidden="1" x14ac:dyDescent="0.25">
      <c r="A189" s="153" t="s">
        <v>187</v>
      </c>
      <c r="B189" s="150">
        <v>33</v>
      </c>
      <c r="C189" s="150">
        <v>3</v>
      </c>
    </row>
    <row r="190" spans="1:3" hidden="1" x14ac:dyDescent="0.25">
      <c r="A190" s="153" t="s">
        <v>598</v>
      </c>
      <c r="B190" s="150">
        <v>34</v>
      </c>
      <c r="C190" s="150">
        <v>3</v>
      </c>
    </row>
    <row r="191" spans="1:3" hidden="1" x14ac:dyDescent="0.25">
      <c r="A191" s="153" t="s">
        <v>516</v>
      </c>
      <c r="B191" s="150">
        <v>4</v>
      </c>
      <c r="C191" s="150">
        <v>1</v>
      </c>
    </row>
    <row r="192" spans="1:3" hidden="1" x14ac:dyDescent="0.25">
      <c r="A192" s="153" t="s">
        <v>188</v>
      </c>
      <c r="B192" s="150">
        <v>10</v>
      </c>
      <c r="C192" s="150">
        <v>1</v>
      </c>
    </row>
    <row r="193" spans="1:3" hidden="1" x14ac:dyDescent="0.25">
      <c r="A193" s="153" t="s">
        <v>189</v>
      </c>
      <c r="B193" s="150">
        <v>33</v>
      </c>
      <c r="C193" s="150">
        <v>3</v>
      </c>
    </row>
    <row r="194" spans="1:3" hidden="1" x14ac:dyDescent="0.25">
      <c r="A194" s="153" t="s">
        <v>515</v>
      </c>
      <c r="B194" s="150">
        <v>10</v>
      </c>
      <c r="C194" s="150">
        <v>1</v>
      </c>
    </row>
    <row r="195" spans="1:3" hidden="1" x14ac:dyDescent="0.25">
      <c r="A195" s="153" t="s">
        <v>599</v>
      </c>
      <c r="B195" s="150">
        <v>55</v>
      </c>
      <c r="C195" s="150">
        <v>5</v>
      </c>
    </row>
    <row r="196" spans="1:3" hidden="1" x14ac:dyDescent="0.25">
      <c r="A196" s="153" t="s">
        <v>190</v>
      </c>
      <c r="B196" s="150">
        <v>11</v>
      </c>
      <c r="C196" s="150">
        <v>1</v>
      </c>
    </row>
    <row r="197" spans="1:3" hidden="1" x14ac:dyDescent="0.25">
      <c r="A197" s="153" t="s">
        <v>191</v>
      </c>
      <c r="B197" s="150">
        <v>17</v>
      </c>
      <c r="C197" s="150">
        <v>1</v>
      </c>
    </row>
    <row r="198" spans="1:3" hidden="1" x14ac:dyDescent="0.25">
      <c r="A198" s="153" t="s">
        <v>514</v>
      </c>
      <c r="B198" s="150">
        <v>5</v>
      </c>
      <c r="C198" s="150">
        <v>1</v>
      </c>
    </row>
    <row r="199" spans="1:3" hidden="1" x14ac:dyDescent="0.25">
      <c r="A199" s="153" t="s">
        <v>192</v>
      </c>
      <c r="B199" s="150">
        <v>32</v>
      </c>
      <c r="C199" s="150">
        <v>3</v>
      </c>
    </row>
    <row r="200" spans="1:3" hidden="1" x14ac:dyDescent="0.25">
      <c r="A200" s="153" t="s">
        <v>193</v>
      </c>
      <c r="B200" s="150">
        <v>102</v>
      </c>
      <c r="C200" s="150">
        <v>7</v>
      </c>
    </row>
    <row r="201" spans="1:3" hidden="1" x14ac:dyDescent="0.25">
      <c r="A201" s="153" t="s">
        <v>513</v>
      </c>
      <c r="B201" s="150">
        <v>5</v>
      </c>
      <c r="C201" s="150">
        <v>1</v>
      </c>
    </row>
    <row r="202" spans="1:3" hidden="1" x14ac:dyDescent="0.25">
      <c r="A202" s="153" t="s">
        <v>600</v>
      </c>
      <c r="B202" s="150">
        <v>33</v>
      </c>
      <c r="C202" s="150">
        <v>3</v>
      </c>
    </row>
    <row r="203" spans="1:3" hidden="1" x14ac:dyDescent="0.25">
      <c r="A203" s="153" t="s">
        <v>194</v>
      </c>
      <c r="B203" s="150">
        <v>13</v>
      </c>
      <c r="C203" s="150">
        <v>1</v>
      </c>
    </row>
    <row r="204" spans="1:3" hidden="1" x14ac:dyDescent="0.25">
      <c r="A204" s="153" t="s">
        <v>601</v>
      </c>
      <c r="B204" s="150">
        <v>17</v>
      </c>
      <c r="C204" s="150">
        <v>1</v>
      </c>
    </row>
    <row r="205" spans="1:3" hidden="1" x14ac:dyDescent="0.25">
      <c r="A205" s="153" t="s">
        <v>602</v>
      </c>
      <c r="B205" s="150">
        <v>2</v>
      </c>
      <c r="C205" s="150">
        <v>1</v>
      </c>
    </row>
    <row r="206" spans="1:3" hidden="1" x14ac:dyDescent="0.25">
      <c r="A206" s="153" t="s">
        <v>195</v>
      </c>
      <c r="B206" s="150">
        <v>20</v>
      </c>
      <c r="C206" s="150">
        <v>1</v>
      </c>
    </row>
    <row r="207" spans="1:3" hidden="1" x14ac:dyDescent="0.25">
      <c r="A207" s="153" t="s">
        <v>196</v>
      </c>
      <c r="B207" s="150">
        <v>14</v>
      </c>
      <c r="C207" s="150">
        <v>1</v>
      </c>
    </row>
    <row r="208" spans="1:3" hidden="1" x14ac:dyDescent="0.25">
      <c r="A208" s="153" t="s">
        <v>197</v>
      </c>
      <c r="B208" s="150">
        <v>147</v>
      </c>
      <c r="C208" s="150">
        <v>7</v>
      </c>
    </row>
    <row r="209" spans="1:3" hidden="1" x14ac:dyDescent="0.25">
      <c r="A209" s="153" t="s">
        <v>198</v>
      </c>
      <c r="B209" s="150">
        <v>75</v>
      </c>
      <c r="C209" s="150">
        <v>7</v>
      </c>
    </row>
    <row r="210" spans="1:3" hidden="1" x14ac:dyDescent="0.25">
      <c r="A210" s="153" t="s">
        <v>199</v>
      </c>
      <c r="B210" s="150">
        <v>8</v>
      </c>
      <c r="C210" s="150">
        <v>1</v>
      </c>
    </row>
    <row r="211" spans="1:3" hidden="1" x14ac:dyDescent="0.25">
      <c r="A211" s="153" t="s">
        <v>200</v>
      </c>
      <c r="B211" s="150">
        <v>11</v>
      </c>
      <c r="C211" s="150">
        <v>1</v>
      </c>
    </row>
    <row r="212" spans="1:3" hidden="1" x14ac:dyDescent="0.25">
      <c r="A212" s="153" t="s">
        <v>201</v>
      </c>
      <c r="B212" s="150">
        <v>24</v>
      </c>
      <c r="C212" s="150">
        <v>3</v>
      </c>
    </row>
    <row r="213" spans="1:3" hidden="1" x14ac:dyDescent="0.25">
      <c r="A213" s="153" t="s">
        <v>202</v>
      </c>
      <c r="B213" s="150">
        <v>91</v>
      </c>
      <c r="C213" s="150">
        <v>7</v>
      </c>
    </row>
    <row r="214" spans="1:3" hidden="1" x14ac:dyDescent="0.25">
      <c r="A214" s="153" t="s">
        <v>603</v>
      </c>
      <c r="B214" s="150">
        <v>7</v>
      </c>
      <c r="C214" s="150">
        <v>1</v>
      </c>
    </row>
    <row r="215" spans="1:3" hidden="1" x14ac:dyDescent="0.25">
      <c r="A215" s="153" t="s">
        <v>203</v>
      </c>
      <c r="B215" s="150">
        <v>4</v>
      </c>
      <c r="C215" s="150">
        <v>1</v>
      </c>
    </row>
    <row r="216" spans="1:3" hidden="1" x14ac:dyDescent="0.25">
      <c r="A216" s="153" t="s">
        <v>204</v>
      </c>
      <c r="B216" s="150">
        <v>23</v>
      </c>
      <c r="C216" s="150">
        <v>3</v>
      </c>
    </row>
    <row r="217" spans="1:3" hidden="1" x14ac:dyDescent="0.25">
      <c r="A217" s="153" t="s">
        <v>205</v>
      </c>
      <c r="B217" s="150">
        <v>20</v>
      </c>
      <c r="C217" s="150">
        <v>1</v>
      </c>
    </row>
    <row r="218" spans="1:3" hidden="1" x14ac:dyDescent="0.25">
      <c r="A218" s="153" t="s">
        <v>604</v>
      </c>
      <c r="B218" s="150">
        <v>9</v>
      </c>
      <c r="C218" s="150">
        <v>1</v>
      </c>
    </row>
    <row r="219" spans="1:3" hidden="1" x14ac:dyDescent="0.25">
      <c r="A219" s="153" t="s">
        <v>605</v>
      </c>
      <c r="B219" s="150">
        <v>3</v>
      </c>
      <c r="C219" s="150">
        <v>1</v>
      </c>
    </row>
    <row r="220" spans="1:3" hidden="1" x14ac:dyDescent="0.25">
      <c r="A220" s="153" t="s">
        <v>206</v>
      </c>
      <c r="B220" s="150">
        <v>26</v>
      </c>
      <c r="C220" s="150">
        <v>3</v>
      </c>
    </row>
    <row r="221" spans="1:3" hidden="1" x14ac:dyDescent="0.25">
      <c r="A221" s="153" t="s">
        <v>207</v>
      </c>
      <c r="B221" s="150">
        <v>34</v>
      </c>
      <c r="C221" s="150">
        <v>3</v>
      </c>
    </row>
    <row r="222" spans="1:3" hidden="1" x14ac:dyDescent="0.25">
      <c r="A222" s="153" t="s">
        <v>606</v>
      </c>
      <c r="B222" s="150">
        <v>5</v>
      </c>
      <c r="C222" s="150">
        <v>1</v>
      </c>
    </row>
    <row r="223" spans="1:3" hidden="1" x14ac:dyDescent="0.25">
      <c r="A223" s="153" t="s">
        <v>607</v>
      </c>
      <c r="B223" s="150">
        <v>15</v>
      </c>
      <c r="C223" s="150">
        <v>1</v>
      </c>
    </row>
    <row r="224" spans="1:3" hidden="1" x14ac:dyDescent="0.25">
      <c r="A224" s="153" t="s">
        <v>208</v>
      </c>
      <c r="B224" s="150">
        <v>20</v>
      </c>
      <c r="C224" s="150">
        <v>1</v>
      </c>
    </row>
    <row r="225" spans="1:3" hidden="1" x14ac:dyDescent="0.25">
      <c r="A225" s="153" t="s">
        <v>608</v>
      </c>
      <c r="B225" s="150">
        <v>2</v>
      </c>
      <c r="C225" s="150">
        <v>1</v>
      </c>
    </row>
    <row r="226" spans="1:3" hidden="1" x14ac:dyDescent="0.25">
      <c r="A226" s="153" t="s">
        <v>1066</v>
      </c>
      <c r="B226" s="150">
        <v>1</v>
      </c>
      <c r="C226" s="150">
        <v>1</v>
      </c>
    </row>
    <row r="227" spans="1:3" hidden="1" x14ac:dyDescent="0.25">
      <c r="A227" s="153" t="s">
        <v>209</v>
      </c>
      <c r="B227" s="150">
        <v>18</v>
      </c>
      <c r="C227" s="150">
        <v>1</v>
      </c>
    </row>
    <row r="228" spans="1:3" hidden="1" x14ac:dyDescent="0.25">
      <c r="A228" s="153" t="s">
        <v>210</v>
      </c>
      <c r="B228" s="150">
        <v>8</v>
      </c>
      <c r="C228" s="150">
        <v>1</v>
      </c>
    </row>
    <row r="229" spans="1:3" hidden="1" x14ac:dyDescent="0.25">
      <c r="A229" s="153" t="s">
        <v>211</v>
      </c>
      <c r="B229" s="150">
        <v>1</v>
      </c>
      <c r="C229" s="150">
        <v>1</v>
      </c>
    </row>
    <row r="230" spans="1:3" hidden="1" x14ac:dyDescent="0.25">
      <c r="A230" s="153" t="s">
        <v>1067</v>
      </c>
      <c r="B230" s="150">
        <v>2</v>
      </c>
      <c r="C230" s="150">
        <v>1</v>
      </c>
    </row>
    <row r="231" spans="1:3" hidden="1" x14ac:dyDescent="0.25">
      <c r="A231" s="153" t="s">
        <v>212</v>
      </c>
      <c r="B231" s="150">
        <v>7</v>
      </c>
      <c r="C231" s="150">
        <v>1</v>
      </c>
    </row>
    <row r="232" spans="1:3" hidden="1" x14ac:dyDescent="0.25">
      <c r="A232" s="153" t="s">
        <v>609</v>
      </c>
      <c r="B232" s="150">
        <v>17</v>
      </c>
      <c r="C232" s="150">
        <v>1</v>
      </c>
    </row>
    <row r="233" spans="1:3" hidden="1" x14ac:dyDescent="0.25">
      <c r="A233" s="153" t="s">
        <v>213</v>
      </c>
      <c r="B233" s="150">
        <v>2</v>
      </c>
      <c r="C233" s="150">
        <v>1</v>
      </c>
    </row>
    <row r="234" spans="1:3" hidden="1" x14ac:dyDescent="0.25">
      <c r="A234" s="153" t="s">
        <v>214</v>
      </c>
      <c r="B234" s="150">
        <v>11</v>
      </c>
      <c r="C234" s="150">
        <v>1</v>
      </c>
    </row>
    <row r="235" spans="1:3" hidden="1" x14ac:dyDescent="0.25">
      <c r="A235" s="153" t="s">
        <v>215</v>
      </c>
      <c r="B235" s="150">
        <v>3</v>
      </c>
      <c r="C235" s="150">
        <v>1</v>
      </c>
    </row>
    <row r="236" spans="1:3" hidden="1" x14ac:dyDescent="0.25">
      <c r="A236" s="153" t="s">
        <v>610</v>
      </c>
      <c r="B236" s="150">
        <v>8</v>
      </c>
      <c r="C236" s="150">
        <v>1</v>
      </c>
    </row>
    <row r="237" spans="1:3" hidden="1" x14ac:dyDescent="0.25">
      <c r="A237" s="153" t="s">
        <v>611</v>
      </c>
      <c r="B237" s="150">
        <v>5</v>
      </c>
      <c r="C237" s="150">
        <v>1</v>
      </c>
    </row>
    <row r="238" spans="1:3" hidden="1" x14ac:dyDescent="0.25">
      <c r="A238" s="153" t="s">
        <v>216</v>
      </c>
      <c r="B238" s="150">
        <v>1</v>
      </c>
      <c r="C238" s="150">
        <v>1</v>
      </c>
    </row>
    <row r="239" spans="1:3" hidden="1" x14ac:dyDescent="0.25">
      <c r="A239" s="153" t="s">
        <v>612</v>
      </c>
      <c r="B239" s="150">
        <v>16</v>
      </c>
      <c r="C239" s="150">
        <v>1</v>
      </c>
    </row>
    <row r="240" spans="1:3" hidden="1" x14ac:dyDescent="0.25">
      <c r="A240" s="153" t="s">
        <v>1068</v>
      </c>
      <c r="B240" s="150">
        <v>4</v>
      </c>
      <c r="C240" s="150">
        <v>1</v>
      </c>
    </row>
    <row r="241" spans="1:3" hidden="1" x14ac:dyDescent="0.25">
      <c r="A241" s="153" t="s">
        <v>217</v>
      </c>
      <c r="B241" s="150">
        <v>49</v>
      </c>
      <c r="C241" s="150">
        <v>5</v>
      </c>
    </row>
    <row r="242" spans="1:3" hidden="1" x14ac:dyDescent="0.25">
      <c r="A242" s="153" t="s">
        <v>218</v>
      </c>
      <c r="B242" s="150">
        <v>31</v>
      </c>
      <c r="C242" s="150">
        <v>3</v>
      </c>
    </row>
    <row r="243" spans="1:3" hidden="1" x14ac:dyDescent="0.25">
      <c r="A243" s="153" t="s">
        <v>613</v>
      </c>
      <c r="B243" s="150">
        <v>13</v>
      </c>
      <c r="C243" s="150">
        <v>1</v>
      </c>
    </row>
    <row r="244" spans="1:3" hidden="1" x14ac:dyDescent="0.25">
      <c r="A244" s="153" t="s">
        <v>219</v>
      </c>
      <c r="B244" s="150">
        <v>181</v>
      </c>
      <c r="C244" s="150">
        <v>7</v>
      </c>
    </row>
    <row r="245" spans="1:3" hidden="1" x14ac:dyDescent="0.25">
      <c r="A245" s="153" t="s">
        <v>614</v>
      </c>
      <c r="B245" s="150">
        <v>7</v>
      </c>
      <c r="C245" s="150">
        <v>1</v>
      </c>
    </row>
    <row r="246" spans="1:3" hidden="1" x14ac:dyDescent="0.25">
      <c r="A246" s="153" t="s">
        <v>49</v>
      </c>
      <c r="B246" s="150">
        <v>34</v>
      </c>
      <c r="C246" s="150">
        <v>3</v>
      </c>
    </row>
    <row r="247" spans="1:3" hidden="1" x14ac:dyDescent="0.25">
      <c r="A247" s="153" t="s">
        <v>220</v>
      </c>
      <c r="B247" s="150">
        <v>1</v>
      </c>
      <c r="C247" s="150">
        <v>1</v>
      </c>
    </row>
    <row r="248" spans="1:3" hidden="1" x14ac:dyDescent="0.25">
      <c r="A248" s="153" t="s">
        <v>1069</v>
      </c>
      <c r="B248" s="150">
        <v>1</v>
      </c>
      <c r="C248" s="150">
        <v>1</v>
      </c>
    </row>
    <row r="249" spans="1:3" hidden="1" x14ac:dyDescent="0.25">
      <c r="A249" s="153" t="s">
        <v>221</v>
      </c>
      <c r="B249" s="150">
        <v>12</v>
      </c>
      <c r="C249" s="150">
        <v>1</v>
      </c>
    </row>
    <row r="250" spans="1:3" hidden="1" x14ac:dyDescent="0.25">
      <c r="A250" s="153" t="s">
        <v>222</v>
      </c>
      <c r="B250" s="150">
        <v>164</v>
      </c>
      <c r="C250" s="150">
        <v>7</v>
      </c>
    </row>
    <row r="251" spans="1:3" hidden="1" x14ac:dyDescent="0.25">
      <c r="A251" s="153" t="s">
        <v>223</v>
      </c>
      <c r="B251" s="150">
        <v>1</v>
      </c>
      <c r="C251" s="150">
        <v>1</v>
      </c>
    </row>
    <row r="252" spans="1:3" hidden="1" x14ac:dyDescent="0.25">
      <c r="A252" s="153" t="s">
        <v>224</v>
      </c>
      <c r="B252" s="150">
        <v>3</v>
      </c>
      <c r="C252" s="150">
        <v>1</v>
      </c>
    </row>
    <row r="253" spans="1:3" hidden="1" x14ac:dyDescent="0.25">
      <c r="A253" s="153" t="s">
        <v>225</v>
      </c>
      <c r="B253" s="150">
        <v>26</v>
      </c>
      <c r="C253" s="150">
        <v>3</v>
      </c>
    </row>
    <row r="254" spans="1:3" hidden="1" x14ac:dyDescent="0.25">
      <c r="A254" s="153" t="s">
        <v>615</v>
      </c>
      <c r="B254" s="150">
        <v>60</v>
      </c>
      <c r="C254" s="150">
        <v>5</v>
      </c>
    </row>
    <row r="255" spans="1:3" hidden="1" x14ac:dyDescent="0.25">
      <c r="A255" s="153" t="s">
        <v>226</v>
      </c>
      <c r="B255" s="150">
        <v>45</v>
      </c>
      <c r="C255" s="150">
        <v>5</v>
      </c>
    </row>
    <row r="256" spans="1:3" hidden="1" x14ac:dyDescent="0.25">
      <c r="A256" s="153" t="s">
        <v>616</v>
      </c>
      <c r="B256" s="150">
        <v>66</v>
      </c>
      <c r="C256" s="150">
        <v>7</v>
      </c>
    </row>
    <row r="257" spans="1:3" hidden="1" x14ac:dyDescent="0.25">
      <c r="A257" s="153" t="s">
        <v>227</v>
      </c>
      <c r="B257" s="150">
        <v>37</v>
      </c>
      <c r="C257" s="150">
        <v>3</v>
      </c>
    </row>
    <row r="258" spans="1:3" hidden="1" x14ac:dyDescent="0.25">
      <c r="A258" s="153" t="s">
        <v>617</v>
      </c>
      <c r="B258" s="150">
        <v>23</v>
      </c>
      <c r="C258" s="150">
        <v>3</v>
      </c>
    </row>
    <row r="259" spans="1:3" hidden="1" x14ac:dyDescent="0.25">
      <c r="A259" s="153" t="s">
        <v>618</v>
      </c>
      <c r="B259" s="150">
        <v>1</v>
      </c>
      <c r="C259" s="150">
        <v>1</v>
      </c>
    </row>
    <row r="260" spans="1:3" x14ac:dyDescent="0.25">
      <c r="A260" s="153" t="s">
        <v>228</v>
      </c>
      <c r="B260" s="150">
        <v>43</v>
      </c>
      <c r="C260" s="150">
        <v>3</v>
      </c>
    </row>
    <row r="261" spans="1:3" hidden="1" x14ac:dyDescent="0.25">
      <c r="A261" s="153" t="s">
        <v>229</v>
      </c>
      <c r="B261" s="150">
        <v>1</v>
      </c>
      <c r="C261" s="150">
        <v>1</v>
      </c>
    </row>
    <row r="262" spans="1:3" hidden="1" x14ac:dyDescent="0.25">
      <c r="A262" s="153" t="s">
        <v>230</v>
      </c>
      <c r="B262" s="150">
        <v>4</v>
      </c>
      <c r="C262" s="150">
        <v>1</v>
      </c>
    </row>
    <row r="263" spans="1:3" hidden="1" x14ac:dyDescent="0.25">
      <c r="A263" s="153" t="s">
        <v>1070</v>
      </c>
      <c r="B263" s="150">
        <v>11</v>
      </c>
      <c r="C263" s="150">
        <v>1</v>
      </c>
    </row>
    <row r="264" spans="1:3" hidden="1" x14ac:dyDescent="0.25">
      <c r="A264" s="153" t="s">
        <v>231</v>
      </c>
      <c r="B264" s="150">
        <v>4</v>
      </c>
      <c r="C264" s="150">
        <v>1</v>
      </c>
    </row>
    <row r="265" spans="1:3" hidden="1" x14ac:dyDescent="0.25">
      <c r="A265" s="153" t="s">
        <v>232</v>
      </c>
      <c r="B265" s="150">
        <v>1</v>
      </c>
      <c r="C265" s="150">
        <v>1</v>
      </c>
    </row>
    <row r="266" spans="1:3" hidden="1" x14ac:dyDescent="0.25">
      <c r="A266" s="153" t="s">
        <v>619</v>
      </c>
      <c r="B266" s="150">
        <v>1</v>
      </c>
      <c r="C266" s="150">
        <v>1</v>
      </c>
    </row>
    <row r="267" spans="1:3" hidden="1" x14ac:dyDescent="0.25">
      <c r="A267" s="153" t="s">
        <v>620</v>
      </c>
      <c r="B267" s="150">
        <v>59</v>
      </c>
      <c r="C267" s="150">
        <v>5</v>
      </c>
    </row>
    <row r="268" spans="1:3" hidden="1" x14ac:dyDescent="0.25">
      <c r="A268" s="153" t="s">
        <v>621</v>
      </c>
      <c r="B268" s="150">
        <v>11</v>
      </c>
      <c r="C268" s="150">
        <v>1</v>
      </c>
    </row>
    <row r="269" spans="1:3" hidden="1" x14ac:dyDescent="0.25">
      <c r="A269" s="153" t="s">
        <v>622</v>
      </c>
      <c r="B269" s="150">
        <v>17</v>
      </c>
      <c r="C269" s="150">
        <v>1</v>
      </c>
    </row>
    <row r="270" spans="1:3" hidden="1" x14ac:dyDescent="0.25">
      <c r="A270" s="153" t="s">
        <v>623</v>
      </c>
      <c r="B270" s="150">
        <v>54</v>
      </c>
      <c r="C270" s="150">
        <v>5</v>
      </c>
    </row>
    <row r="271" spans="1:3" hidden="1" x14ac:dyDescent="0.25">
      <c r="A271" s="153" t="s">
        <v>512</v>
      </c>
      <c r="B271" s="150">
        <v>9</v>
      </c>
      <c r="C271" s="150">
        <v>1</v>
      </c>
    </row>
    <row r="272" spans="1:3" hidden="1" x14ac:dyDescent="0.25">
      <c r="A272" s="153" t="s">
        <v>233</v>
      </c>
      <c r="B272" s="150">
        <v>9</v>
      </c>
      <c r="C272" s="150">
        <v>1</v>
      </c>
    </row>
    <row r="273" spans="1:3" hidden="1" x14ac:dyDescent="0.25">
      <c r="A273" s="153" t="s">
        <v>624</v>
      </c>
      <c r="B273" s="150">
        <v>5</v>
      </c>
      <c r="C273" s="150">
        <v>1</v>
      </c>
    </row>
    <row r="274" spans="1:3" hidden="1" x14ac:dyDescent="0.25">
      <c r="A274" s="153" t="s">
        <v>625</v>
      </c>
      <c r="B274" s="150">
        <v>27</v>
      </c>
      <c r="C274" s="150">
        <v>3</v>
      </c>
    </row>
    <row r="275" spans="1:3" hidden="1" x14ac:dyDescent="0.25">
      <c r="A275" s="153" t="s">
        <v>234</v>
      </c>
      <c r="B275" s="150">
        <v>78</v>
      </c>
      <c r="C275" s="150">
        <v>7</v>
      </c>
    </row>
    <row r="276" spans="1:3" hidden="1" x14ac:dyDescent="0.25">
      <c r="A276" s="153" t="s">
        <v>511</v>
      </c>
      <c r="B276" s="150">
        <v>15</v>
      </c>
      <c r="C276" s="150">
        <v>1</v>
      </c>
    </row>
    <row r="277" spans="1:3" hidden="1" x14ac:dyDescent="0.25">
      <c r="A277" s="153" t="s">
        <v>235</v>
      </c>
      <c r="B277" s="150">
        <v>16</v>
      </c>
      <c r="C277" s="150">
        <v>1</v>
      </c>
    </row>
    <row r="278" spans="1:3" hidden="1" x14ac:dyDescent="0.25">
      <c r="A278" s="153" t="s">
        <v>47</v>
      </c>
      <c r="B278" s="150">
        <v>1</v>
      </c>
      <c r="C278" s="150">
        <v>1</v>
      </c>
    </row>
    <row r="279" spans="1:3" hidden="1" x14ac:dyDescent="0.25">
      <c r="A279" s="153" t="s">
        <v>626</v>
      </c>
      <c r="B279" s="150">
        <v>2</v>
      </c>
      <c r="C279" s="150">
        <v>1</v>
      </c>
    </row>
    <row r="280" spans="1:3" hidden="1" x14ac:dyDescent="0.25">
      <c r="A280" s="153" t="s">
        <v>236</v>
      </c>
      <c r="B280" s="150">
        <v>337</v>
      </c>
      <c r="C280" s="150">
        <v>7</v>
      </c>
    </row>
    <row r="281" spans="1:3" hidden="1" x14ac:dyDescent="0.25">
      <c r="A281" s="153" t="s">
        <v>237</v>
      </c>
      <c r="B281" s="150">
        <v>37</v>
      </c>
      <c r="C281" s="150">
        <v>3</v>
      </c>
    </row>
    <row r="282" spans="1:3" hidden="1" x14ac:dyDescent="0.25">
      <c r="A282" s="153" t="s">
        <v>627</v>
      </c>
      <c r="B282" s="150">
        <v>11</v>
      </c>
      <c r="C282" s="150">
        <v>1</v>
      </c>
    </row>
    <row r="283" spans="1:3" hidden="1" x14ac:dyDescent="0.25">
      <c r="A283" s="153" t="s">
        <v>238</v>
      </c>
      <c r="B283" s="150">
        <v>39</v>
      </c>
      <c r="C283" s="150">
        <v>3</v>
      </c>
    </row>
    <row r="284" spans="1:3" hidden="1" x14ac:dyDescent="0.25">
      <c r="A284" s="153" t="s">
        <v>239</v>
      </c>
      <c r="B284" s="150">
        <v>2</v>
      </c>
      <c r="C284" s="150">
        <v>1</v>
      </c>
    </row>
    <row r="285" spans="1:3" hidden="1" x14ac:dyDescent="0.25">
      <c r="A285" s="153" t="s">
        <v>628</v>
      </c>
      <c r="B285" s="150">
        <v>13</v>
      </c>
      <c r="C285" s="150">
        <v>1</v>
      </c>
    </row>
    <row r="286" spans="1:3" hidden="1" x14ac:dyDescent="0.25">
      <c r="A286" s="153" t="s">
        <v>240</v>
      </c>
      <c r="B286" s="150">
        <v>67</v>
      </c>
      <c r="C286" s="150">
        <v>7</v>
      </c>
    </row>
    <row r="287" spans="1:3" hidden="1" x14ac:dyDescent="0.25">
      <c r="A287" s="153" t="s">
        <v>1071</v>
      </c>
      <c r="B287" s="150">
        <v>3</v>
      </c>
      <c r="C287" s="150">
        <v>1</v>
      </c>
    </row>
    <row r="288" spans="1:3" hidden="1" x14ac:dyDescent="0.25">
      <c r="A288" s="153" t="s">
        <v>510</v>
      </c>
      <c r="B288" s="150">
        <v>48</v>
      </c>
      <c r="C288" s="150">
        <v>5</v>
      </c>
    </row>
    <row r="289" spans="1:3" hidden="1" x14ac:dyDescent="0.25">
      <c r="A289" s="153" t="s">
        <v>629</v>
      </c>
      <c r="B289" s="150">
        <v>4</v>
      </c>
      <c r="C289" s="150">
        <v>1</v>
      </c>
    </row>
    <row r="290" spans="1:3" hidden="1" x14ac:dyDescent="0.25">
      <c r="A290" s="153" t="s">
        <v>241</v>
      </c>
      <c r="B290" s="150">
        <v>254</v>
      </c>
      <c r="C290" s="150">
        <v>7</v>
      </c>
    </row>
    <row r="291" spans="1:3" hidden="1" x14ac:dyDescent="0.25">
      <c r="A291" s="153" t="s">
        <v>242</v>
      </c>
      <c r="B291" s="150">
        <v>146</v>
      </c>
      <c r="C291" s="150">
        <v>7</v>
      </c>
    </row>
    <row r="292" spans="1:3" hidden="1" x14ac:dyDescent="0.25">
      <c r="A292" s="153" t="s">
        <v>243</v>
      </c>
      <c r="B292" s="150">
        <v>8</v>
      </c>
      <c r="C292" s="150">
        <v>1</v>
      </c>
    </row>
    <row r="293" spans="1:3" hidden="1" x14ac:dyDescent="0.25">
      <c r="A293" s="153" t="s">
        <v>244</v>
      </c>
      <c r="B293" s="150">
        <v>5</v>
      </c>
      <c r="C293" s="150">
        <v>1</v>
      </c>
    </row>
    <row r="294" spans="1:3" hidden="1" x14ac:dyDescent="0.25">
      <c r="A294" s="153" t="s">
        <v>245</v>
      </c>
      <c r="B294" s="150">
        <v>25</v>
      </c>
      <c r="C294" s="150">
        <v>3</v>
      </c>
    </row>
    <row r="295" spans="1:3" hidden="1" x14ac:dyDescent="0.25">
      <c r="A295" s="153" t="s">
        <v>246</v>
      </c>
      <c r="B295" s="150">
        <v>2</v>
      </c>
      <c r="C295" s="150">
        <v>1</v>
      </c>
    </row>
    <row r="296" spans="1:3" hidden="1" x14ac:dyDescent="0.25">
      <c r="A296" s="153" t="s">
        <v>48</v>
      </c>
      <c r="B296" s="150">
        <v>52</v>
      </c>
      <c r="C296" s="150">
        <v>5</v>
      </c>
    </row>
    <row r="297" spans="1:3" hidden="1" x14ac:dyDescent="0.25">
      <c r="A297" s="153" t="s">
        <v>247</v>
      </c>
      <c r="B297" s="150">
        <v>4</v>
      </c>
      <c r="C297" s="150">
        <v>1</v>
      </c>
    </row>
    <row r="298" spans="1:3" hidden="1" x14ac:dyDescent="0.25">
      <c r="A298" s="153" t="s">
        <v>248</v>
      </c>
      <c r="B298" s="150">
        <v>1</v>
      </c>
      <c r="C298" s="150">
        <v>1</v>
      </c>
    </row>
    <row r="299" spans="1:3" hidden="1" x14ac:dyDescent="0.25">
      <c r="A299" s="153" t="s">
        <v>630</v>
      </c>
      <c r="B299" s="150">
        <v>6</v>
      </c>
      <c r="C299" s="150">
        <v>1</v>
      </c>
    </row>
    <row r="300" spans="1:3" hidden="1" x14ac:dyDescent="0.25">
      <c r="A300" s="153" t="s">
        <v>631</v>
      </c>
      <c r="B300" s="150">
        <v>1</v>
      </c>
      <c r="C300" s="150">
        <v>1</v>
      </c>
    </row>
    <row r="301" spans="1:3" hidden="1" x14ac:dyDescent="0.25">
      <c r="A301" s="153" t="s">
        <v>249</v>
      </c>
      <c r="B301" s="150">
        <v>2</v>
      </c>
      <c r="C301" s="150">
        <v>1</v>
      </c>
    </row>
    <row r="302" spans="1:3" hidden="1" x14ac:dyDescent="0.25">
      <c r="A302" s="153" t="s">
        <v>250</v>
      </c>
      <c r="B302" s="150">
        <v>32</v>
      </c>
      <c r="C302" s="150">
        <v>3</v>
      </c>
    </row>
    <row r="303" spans="1:3" hidden="1" x14ac:dyDescent="0.25">
      <c r="A303" s="153" t="s">
        <v>1072</v>
      </c>
      <c r="B303" s="150">
        <v>9</v>
      </c>
      <c r="C303" s="150">
        <v>1</v>
      </c>
    </row>
    <row r="304" spans="1:3" hidden="1" x14ac:dyDescent="0.25">
      <c r="A304" s="153" t="s">
        <v>251</v>
      </c>
      <c r="B304" s="150">
        <v>20</v>
      </c>
      <c r="C304" s="150">
        <v>1</v>
      </c>
    </row>
    <row r="305" spans="1:3" hidden="1" x14ac:dyDescent="0.25">
      <c r="A305" s="153" t="s">
        <v>252</v>
      </c>
      <c r="B305" s="150">
        <v>2</v>
      </c>
      <c r="C305" s="150">
        <v>1</v>
      </c>
    </row>
    <row r="306" spans="1:3" hidden="1" x14ac:dyDescent="0.25">
      <c r="A306" s="153" t="s">
        <v>632</v>
      </c>
      <c r="B306" s="150">
        <v>2</v>
      </c>
      <c r="C306" s="150">
        <v>1</v>
      </c>
    </row>
    <row r="307" spans="1:3" hidden="1" x14ac:dyDescent="0.25">
      <c r="A307" s="153" t="s">
        <v>633</v>
      </c>
      <c r="B307" s="150">
        <v>4</v>
      </c>
      <c r="C307" s="150">
        <v>1</v>
      </c>
    </row>
    <row r="308" spans="1:3" hidden="1" x14ac:dyDescent="0.25">
      <c r="A308" s="153" t="s">
        <v>1073</v>
      </c>
      <c r="B308" s="150">
        <v>1</v>
      </c>
      <c r="C308" s="150">
        <v>1</v>
      </c>
    </row>
    <row r="309" spans="1:3" hidden="1" x14ac:dyDescent="0.25">
      <c r="A309" s="153" t="s">
        <v>253</v>
      </c>
      <c r="B309" s="150">
        <v>50</v>
      </c>
      <c r="C309" s="150">
        <v>5</v>
      </c>
    </row>
    <row r="310" spans="1:3" hidden="1" x14ac:dyDescent="0.25">
      <c r="A310" s="153" t="s">
        <v>634</v>
      </c>
      <c r="B310" s="150">
        <v>65</v>
      </c>
      <c r="C310" s="150">
        <v>7</v>
      </c>
    </row>
    <row r="311" spans="1:3" hidden="1" x14ac:dyDescent="0.25">
      <c r="A311" s="153" t="s">
        <v>635</v>
      </c>
      <c r="B311" s="150">
        <v>1</v>
      </c>
      <c r="C311" s="150">
        <v>1</v>
      </c>
    </row>
    <row r="312" spans="1:3" hidden="1" x14ac:dyDescent="0.25">
      <c r="A312" s="153" t="s">
        <v>254</v>
      </c>
      <c r="B312" s="150">
        <v>24</v>
      </c>
      <c r="C312" s="150">
        <v>3</v>
      </c>
    </row>
    <row r="313" spans="1:3" hidden="1" x14ac:dyDescent="0.25">
      <c r="A313" s="153" t="s">
        <v>255</v>
      </c>
      <c r="B313" s="150">
        <v>40</v>
      </c>
      <c r="C313" s="150">
        <v>3</v>
      </c>
    </row>
    <row r="314" spans="1:3" hidden="1" x14ac:dyDescent="0.25">
      <c r="A314" s="153" t="s">
        <v>256</v>
      </c>
      <c r="B314" s="150">
        <v>2</v>
      </c>
      <c r="C314" s="150">
        <v>1</v>
      </c>
    </row>
    <row r="315" spans="1:3" hidden="1" x14ac:dyDescent="0.25">
      <c r="A315" s="153" t="s">
        <v>257</v>
      </c>
      <c r="B315" s="150">
        <v>85</v>
      </c>
      <c r="C315" s="150">
        <v>7</v>
      </c>
    </row>
    <row r="316" spans="1:3" hidden="1" x14ac:dyDescent="0.25">
      <c r="A316" s="153" t="s">
        <v>636</v>
      </c>
      <c r="B316" s="150">
        <v>8</v>
      </c>
      <c r="C316" s="150">
        <v>1</v>
      </c>
    </row>
    <row r="317" spans="1:3" hidden="1" x14ac:dyDescent="0.25">
      <c r="A317" s="153" t="s">
        <v>637</v>
      </c>
      <c r="B317" s="150">
        <v>1</v>
      </c>
      <c r="C317" s="150">
        <v>1</v>
      </c>
    </row>
    <row r="318" spans="1:3" hidden="1" x14ac:dyDescent="0.25">
      <c r="A318" s="153" t="s">
        <v>638</v>
      </c>
      <c r="B318" s="150">
        <v>10</v>
      </c>
      <c r="C318" s="150">
        <v>1</v>
      </c>
    </row>
    <row r="319" spans="1:3" hidden="1" x14ac:dyDescent="0.25">
      <c r="A319" s="153" t="s">
        <v>1074</v>
      </c>
      <c r="B319" s="150">
        <v>1</v>
      </c>
      <c r="C319" s="150">
        <v>1</v>
      </c>
    </row>
    <row r="320" spans="1:3" hidden="1" x14ac:dyDescent="0.25">
      <c r="A320" s="153" t="s">
        <v>1148</v>
      </c>
      <c r="B320" s="150">
        <v>2</v>
      </c>
      <c r="C320" s="150">
        <v>1</v>
      </c>
    </row>
    <row r="321" spans="1:3" hidden="1" x14ac:dyDescent="0.25">
      <c r="A321" s="153" t="s">
        <v>354</v>
      </c>
      <c r="B321" s="150">
        <v>17</v>
      </c>
      <c r="C321" s="150">
        <v>1</v>
      </c>
    </row>
    <row r="322" spans="1:3" hidden="1" x14ac:dyDescent="0.25">
      <c r="A322" s="153" t="s">
        <v>639</v>
      </c>
      <c r="B322" s="150">
        <v>63</v>
      </c>
      <c r="C322" s="150">
        <v>5</v>
      </c>
    </row>
    <row r="323" spans="1:3" hidden="1" x14ac:dyDescent="0.25">
      <c r="A323" s="153" t="s">
        <v>326</v>
      </c>
      <c r="B323" s="150">
        <v>41</v>
      </c>
      <c r="C323" s="150">
        <v>3</v>
      </c>
    </row>
    <row r="324" spans="1:3" hidden="1" x14ac:dyDescent="0.25">
      <c r="A324" s="153" t="s">
        <v>258</v>
      </c>
      <c r="B324" s="150">
        <v>1</v>
      </c>
      <c r="C324" s="150">
        <v>1</v>
      </c>
    </row>
    <row r="325" spans="1:3" hidden="1" x14ac:dyDescent="0.25">
      <c r="A325" s="153" t="s">
        <v>640</v>
      </c>
      <c r="B325" s="150">
        <v>29</v>
      </c>
      <c r="C325" s="150">
        <v>3</v>
      </c>
    </row>
    <row r="326" spans="1:3" hidden="1" x14ac:dyDescent="0.25">
      <c r="A326" s="153" t="s">
        <v>641</v>
      </c>
      <c r="B326" s="150">
        <v>46</v>
      </c>
      <c r="C326" s="150">
        <v>5</v>
      </c>
    </row>
    <row r="327" spans="1:3" hidden="1" x14ac:dyDescent="0.25">
      <c r="A327" s="153" t="s">
        <v>259</v>
      </c>
      <c r="B327" s="150">
        <v>26</v>
      </c>
      <c r="C327" s="150">
        <v>3</v>
      </c>
    </row>
    <row r="328" spans="1:3" hidden="1" x14ac:dyDescent="0.25">
      <c r="A328" s="153" t="s">
        <v>509</v>
      </c>
      <c r="B328" s="150">
        <v>37</v>
      </c>
      <c r="C328" s="150">
        <v>3</v>
      </c>
    </row>
    <row r="329" spans="1:3" hidden="1" x14ac:dyDescent="0.25">
      <c r="A329" s="153" t="s">
        <v>508</v>
      </c>
      <c r="B329" s="150">
        <v>11</v>
      </c>
      <c r="C329" s="150">
        <v>1</v>
      </c>
    </row>
    <row r="330" spans="1:3" hidden="1" x14ac:dyDescent="0.25">
      <c r="A330" s="153" t="s">
        <v>1075</v>
      </c>
      <c r="B330" s="150">
        <v>2</v>
      </c>
      <c r="C330" s="150">
        <v>1</v>
      </c>
    </row>
    <row r="331" spans="1:3" hidden="1" x14ac:dyDescent="0.25">
      <c r="A331" s="153" t="s">
        <v>642</v>
      </c>
      <c r="B331" s="150">
        <v>1</v>
      </c>
      <c r="C331" s="150">
        <v>1</v>
      </c>
    </row>
    <row r="332" spans="1:3" hidden="1" x14ac:dyDescent="0.25">
      <c r="A332" s="153" t="s">
        <v>1076</v>
      </c>
      <c r="B332" s="150">
        <v>3</v>
      </c>
      <c r="C332" s="150">
        <v>1</v>
      </c>
    </row>
    <row r="333" spans="1:3" hidden="1" x14ac:dyDescent="0.25">
      <c r="A333" s="153" t="s">
        <v>342</v>
      </c>
      <c r="B333" s="150">
        <v>3</v>
      </c>
      <c r="C333" s="150">
        <v>1</v>
      </c>
    </row>
    <row r="334" spans="1:3" hidden="1" x14ac:dyDescent="0.25">
      <c r="A334" s="153" t="s">
        <v>643</v>
      </c>
      <c r="B334" s="150">
        <v>3</v>
      </c>
      <c r="C334" s="150">
        <v>1</v>
      </c>
    </row>
    <row r="335" spans="1:3" hidden="1" x14ac:dyDescent="0.25">
      <c r="A335" s="153" t="s">
        <v>1077</v>
      </c>
      <c r="B335" s="150">
        <v>3</v>
      </c>
      <c r="C335" s="150">
        <v>1</v>
      </c>
    </row>
    <row r="336" spans="1:3" hidden="1" x14ac:dyDescent="0.25">
      <c r="A336" s="153" t="s">
        <v>507</v>
      </c>
      <c r="B336" s="150">
        <v>5</v>
      </c>
      <c r="C336" s="150">
        <v>1</v>
      </c>
    </row>
    <row r="337" spans="1:3" hidden="1" x14ac:dyDescent="0.25">
      <c r="A337" s="153" t="s">
        <v>644</v>
      </c>
      <c r="B337" s="150">
        <v>4</v>
      </c>
      <c r="C337" s="150">
        <v>1</v>
      </c>
    </row>
    <row r="338" spans="1:3" hidden="1" x14ac:dyDescent="0.25">
      <c r="A338" s="153" t="s">
        <v>260</v>
      </c>
      <c r="B338" s="150">
        <v>29</v>
      </c>
      <c r="C338" s="150">
        <v>3</v>
      </c>
    </row>
    <row r="339" spans="1:3" hidden="1" x14ac:dyDescent="0.25">
      <c r="A339" s="153" t="s">
        <v>645</v>
      </c>
      <c r="B339" s="150">
        <v>2</v>
      </c>
      <c r="C339" s="150">
        <v>1</v>
      </c>
    </row>
    <row r="340" spans="1:3" hidden="1" x14ac:dyDescent="0.25">
      <c r="A340" s="153" t="s">
        <v>646</v>
      </c>
      <c r="B340" s="150">
        <v>13</v>
      </c>
      <c r="C340" s="150">
        <v>1</v>
      </c>
    </row>
    <row r="341" spans="1:3" hidden="1" x14ac:dyDescent="0.25">
      <c r="A341" s="153" t="s">
        <v>1078</v>
      </c>
      <c r="B341" s="150">
        <v>1</v>
      </c>
      <c r="C341" s="150">
        <v>1</v>
      </c>
    </row>
    <row r="342" spans="1:3" hidden="1" x14ac:dyDescent="0.25">
      <c r="A342" s="153" t="s">
        <v>343</v>
      </c>
      <c r="B342" s="150">
        <v>40</v>
      </c>
      <c r="C342" s="150">
        <v>3</v>
      </c>
    </row>
    <row r="343" spans="1:3" hidden="1" x14ac:dyDescent="0.25">
      <c r="A343" s="153" t="s">
        <v>1079</v>
      </c>
      <c r="B343" s="150">
        <v>1</v>
      </c>
      <c r="C343" s="150">
        <v>1</v>
      </c>
    </row>
    <row r="344" spans="1:3" hidden="1" x14ac:dyDescent="0.25">
      <c r="A344" s="153" t="s">
        <v>1149</v>
      </c>
      <c r="B344" s="150">
        <v>2</v>
      </c>
      <c r="C344" s="150">
        <v>1</v>
      </c>
    </row>
    <row r="345" spans="1:3" hidden="1" x14ac:dyDescent="0.25">
      <c r="A345" s="153" t="s">
        <v>647</v>
      </c>
      <c r="B345" s="150">
        <v>7</v>
      </c>
      <c r="C345" s="150">
        <v>1</v>
      </c>
    </row>
    <row r="346" spans="1:3" hidden="1" x14ac:dyDescent="0.25">
      <c r="A346" s="153" t="s">
        <v>1080</v>
      </c>
      <c r="B346" s="150">
        <v>2</v>
      </c>
      <c r="C346" s="150">
        <v>1</v>
      </c>
    </row>
    <row r="347" spans="1:3" hidden="1" x14ac:dyDescent="0.25">
      <c r="A347" s="153" t="s">
        <v>261</v>
      </c>
      <c r="B347" s="150">
        <v>11</v>
      </c>
      <c r="C347" s="150">
        <v>1</v>
      </c>
    </row>
    <row r="348" spans="1:3" hidden="1" x14ac:dyDescent="0.25">
      <c r="A348" s="153" t="s">
        <v>1081</v>
      </c>
      <c r="B348" s="150">
        <v>3</v>
      </c>
      <c r="C348" s="150">
        <v>1</v>
      </c>
    </row>
    <row r="349" spans="1:3" hidden="1" x14ac:dyDescent="0.25">
      <c r="A349" s="153" t="s">
        <v>505</v>
      </c>
      <c r="B349" s="150">
        <v>8</v>
      </c>
      <c r="C349" s="150">
        <v>1</v>
      </c>
    </row>
    <row r="350" spans="1:3" hidden="1" x14ac:dyDescent="0.25">
      <c r="A350" s="153" t="s">
        <v>262</v>
      </c>
      <c r="B350" s="150">
        <v>33</v>
      </c>
      <c r="C350" s="150">
        <v>3</v>
      </c>
    </row>
    <row r="351" spans="1:3" hidden="1" x14ac:dyDescent="0.25">
      <c r="A351" s="153" t="s">
        <v>648</v>
      </c>
      <c r="B351" s="150">
        <v>1</v>
      </c>
      <c r="C351" s="150">
        <v>1</v>
      </c>
    </row>
    <row r="352" spans="1:3" hidden="1" x14ac:dyDescent="0.25">
      <c r="A352" s="153" t="s">
        <v>649</v>
      </c>
      <c r="B352" s="150">
        <v>3</v>
      </c>
      <c r="C352" s="150">
        <v>1</v>
      </c>
    </row>
    <row r="353" spans="1:3" hidden="1" x14ac:dyDescent="0.25">
      <c r="A353" s="153" t="s">
        <v>650</v>
      </c>
      <c r="B353" s="150">
        <v>5</v>
      </c>
      <c r="C353" s="150">
        <v>1</v>
      </c>
    </row>
    <row r="354" spans="1:3" hidden="1" x14ac:dyDescent="0.25">
      <c r="A354" s="153" t="s">
        <v>458</v>
      </c>
      <c r="B354" s="150">
        <v>4</v>
      </c>
      <c r="C354" s="150">
        <v>1</v>
      </c>
    </row>
    <row r="355" spans="1:3" hidden="1" x14ac:dyDescent="0.25">
      <c r="A355" s="153" t="s">
        <v>1082</v>
      </c>
      <c r="B355" s="150">
        <v>26</v>
      </c>
      <c r="C355" s="150">
        <v>3</v>
      </c>
    </row>
    <row r="356" spans="1:3" hidden="1" x14ac:dyDescent="0.25">
      <c r="A356" s="153" t="s">
        <v>651</v>
      </c>
      <c r="B356" s="150">
        <v>15</v>
      </c>
      <c r="C356" s="150">
        <v>1</v>
      </c>
    </row>
    <row r="357" spans="1:3" hidden="1" x14ac:dyDescent="0.25">
      <c r="A357" s="153" t="s">
        <v>652</v>
      </c>
      <c r="B357" s="150">
        <v>3</v>
      </c>
      <c r="C357" s="150">
        <v>1</v>
      </c>
    </row>
    <row r="358" spans="1:3" hidden="1" x14ac:dyDescent="0.25">
      <c r="A358" s="153" t="s">
        <v>356</v>
      </c>
      <c r="B358" s="150">
        <v>16</v>
      </c>
      <c r="C358" s="150">
        <v>1</v>
      </c>
    </row>
    <row r="359" spans="1:3" hidden="1" x14ac:dyDescent="0.25">
      <c r="A359" s="153" t="s">
        <v>1083</v>
      </c>
      <c r="B359" s="150">
        <v>3</v>
      </c>
      <c r="C359" s="150">
        <v>1</v>
      </c>
    </row>
    <row r="360" spans="1:3" hidden="1" x14ac:dyDescent="0.25">
      <c r="A360" s="153" t="s">
        <v>1084</v>
      </c>
      <c r="B360" s="150">
        <v>1</v>
      </c>
      <c r="C360" s="150">
        <v>1</v>
      </c>
    </row>
    <row r="361" spans="1:3" hidden="1" x14ac:dyDescent="0.25">
      <c r="A361" s="153" t="s">
        <v>653</v>
      </c>
      <c r="B361" s="150">
        <v>1</v>
      </c>
      <c r="C361" s="150">
        <v>1</v>
      </c>
    </row>
    <row r="362" spans="1:3" hidden="1" x14ac:dyDescent="0.25">
      <c r="A362" s="153" t="s">
        <v>1150</v>
      </c>
      <c r="B362" s="150">
        <v>2</v>
      </c>
      <c r="C362" s="150">
        <v>1</v>
      </c>
    </row>
    <row r="363" spans="1:3" hidden="1" x14ac:dyDescent="0.25">
      <c r="A363" s="153" t="s">
        <v>361</v>
      </c>
      <c r="B363" s="150">
        <v>2</v>
      </c>
      <c r="C363" s="150">
        <v>1</v>
      </c>
    </row>
    <row r="364" spans="1:3" hidden="1" x14ac:dyDescent="0.25">
      <c r="A364" s="153" t="s">
        <v>654</v>
      </c>
      <c r="B364" s="150">
        <v>25</v>
      </c>
      <c r="C364" s="150">
        <v>3</v>
      </c>
    </row>
    <row r="365" spans="1:3" hidden="1" x14ac:dyDescent="0.25">
      <c r="A365" s="153" t="s">
        <v>655</v>
      </c>
      <c r="B365" s="150">
        <v>3</v>
      </c>
      <c r="C365" s="150">
        <v>1</v>
      </c>
    </row>
    <row r="366" spans="1:3" hidden="1" x14ac:dyDescent="0.25">
      <c r="A366" s="153" t="s">
        <v>1085</v>
      </c>
      <c r="B366" s="150">
        <v>2</v>
      </c>
      <c r="C366" s="150">
        <v>1</v>
      </c>
    </row>
    <row r="367" spans="1:3" hidden="1" x14ac:dyDescent="0.25">
      <c r="A367" s="153" t="s">
        <v>656</v>
      </c>
      <c r="B367" s="150">
        <v>87</v>
      </c>
      <c r="C367" s="150">
        <v>7</v>
      </c>
    </row>
    <row r="368" spans="1:3" hidden="1" x14ac:dyDescent="0.25">
      <c r="A368" s="153" t="s">
        <v>657</v>
      </c>
      <c r="B368" s="150">
        <v>26</v>
      </c>
      <c r="C368" s="150">
        <v>3</v>
      </c>
    </row>
    <row r="369" spans="1:3" hidden="1" x14ac:dyDescent="0.25">
      <c r="A369" s="153" t="s">
        <v>263</v>
      </c>
      <c r="B369" s="150">
        <v>10</v>
      </c>
      <c r="C369" s="150">
        <v>1</v>
      </c>
    </row>
    <row r="370" spans="1:3" hidden="1" x14ac:dyDescent="0.25">
      <c r="A370" s="153" t="s">
        <v>658</v>
      </c>
      <c r="B370" s="150">
        <v>3</v>
      </c>
      <c r="C370" s="150">
        <v>1</v>
      </c>
    </row>
    <row r="371" spans="1:3" hidden="1" x14ac:dyDescent="0.25">
      <c r="A371" s="153" t="s">
        <v>659</v>
      </c>
      <c r="B371" s="150">
        <v>4</v>
      </c>
      <c r="C371" s="150">
        <v>1</v>
      </c>
    </row>
    <row r="372" spans="1:3" hidden="1" x14ac:dyDescent="0.25">
      <c r="A372" s="153" t="s">
        <v>355</v>
      </c>
      <c r="B372" s="150">
        <v>34</v>
      </c>
      <c r="C372" s="150">
        <v>3</v>
      </c>
    </row>
    <row r="373" spans="1:3" hidden="1" x14ac:dyDescent="0.25">
      <c r="A373" s="153" t="s">
        <v>660</v>
      </c>
      <c r="B373" s="150">
        <v>4</v>
      </c>
      <c r="C373" s="150">
        <v>1</v>
      </c>
    </row>
    <row r="374" spans="1:3" hidden="1" x14ac:dyDescent="0.25">
      <c r="A374" s="153" t="s">
        <v>1087</v>
      </c>
      <c r="B374" s="150">
        <v>12</v>
      </c>
      <c r="C374" s="150">
        <v>1</v>
      </c>
    </row>
    <row r="375" spans="1:3" hidden="1" x14ac:dyDescent="0.25">
      <c r="A375" s="153" t="s">
        <v>661</v>
      </c>
      <c r="B375" s="150">
        <v>1</v>
      </c>
      <c r="C375" s="150">
        <v>1</v>
      </c>
    </row>
    <row r="376" spans="1:3" hidden="1" x14ac:dyDescent="0.25">
      <c r="A376" s="153" t="s">
        <v>662</v>
      </c>
      <c r="B376" s="150">
        <v>39</v>
      </c>
      <c r="C376" s="150">
        <v>3</v>
      </c>
    </row>
    <row r="377" spans="1:3" hidden="1" x14ac:dyDescent="0.25">
      <c r="A377" s="153" t="s">
        <v>1088</v>
      </c>
      <c r="B377" s="150">
        <v>6</v>
      </c>
      <c r="C377" s="150">
        <v>1</v>
      </c>
    </row>
    <row r="378" spans="1:3" hidden="1" x14ac:dyDescent="0.25">
      <c r="A378" s="153" t="s">
        <v>264</v>
      </c>
      <c r="B378" s="150">
        <v>32</v>
      </c>
      <c r="C378" s="150">
        <v>3</v>
      </c>
    </row>
    <row r="379" spans="1:3" hidden="1" x14ac:dyDescent="0.25">
      <c r="A379" s="153" t="s">
        <v>1089</v>
      </c>
      <c r="B379" s="150">
        <v>2</v>
      </c>
      <c r="C379" s="150">
        <v>1</v>
      </c>
    </row>
    <row r="380" spans="1:3" hidden="1" x14ac:dyDescent="0.25">
      <c r="A380" s="153" t="s">
        <v>663</v>
      </c>
      <c r="B380" s="150">
        <v>70</v>
      </c>
      <c r="C380" s="150">
        <v>7</v>
      </c>
    </row>
    <row r="381" spans="1:3" hidden="1" x14ac:dyDescent="0.25">
      <c r="A381" s="153" t="s">
        <v>1090</v>
      </c>
      <c r="B381" s="150">
        <v>2</v>
      </c>
      <c r="C381" s="150">
        <v>1</v>
      </c>
    </row>
    <row r="382" spans="1:3" hidden="1" x14ac:dyDescent="0.25">
      <c r="A382" s="153" t="s">
        <v>1092</v>
      </c>
      <c r="B382" s="150">
        <v>1</v>
      </c>
      <c r="C382" s="150">
        <v>1</v>
      </c>
    </row>
    <row r="383" spans="1:3" hidden="1" x14ac:dyDescent="0.25">
      <c r="A383" s="153" t="s">
        <v>265</v>
      </c>
      <c r="B383" s="150">
        <v>29</v>
      </c>
      <c r="C383" s="150">
        <v>3</v>
      </c>
    </row>
    <row r="384" spans="1:3" hidden="1" x14ac:dyDescent="0.25">
      <c r="A384" s="153" t="s">
        <v>664</v>
      </c>
      <c r="B384" s="150">
        <v>7</v>
      </c>
      <c r="C384" s="150">
        <v>1</v>
      </c>
    </row>
    <row r="385" spans="1:3" hidden="1" x14ac:dyDescent="0.25">
      <c r="A385" s="153" t="s">
        <v>266</v>
      </c>
      <c r="B385" s="150">
        <v>404</v>
      </c>
      <c r="C385" s="150">
        <v>7</v>
      </c>
    </row>
    <row r="386" spans="1:3" hidden="1" x14ac:dyDescent="0.25">
      <c r="A386" s="153" t="s">
        <v>1093</v>
      </c>
      <c r="B386" s="150">
        <v>8</v>
      </c>
      <c r="C386" s="150">
        <v>1</v>
      </c>
    </row>
    <row r="387" spans="1:3" hidden="1" x14ac:dyDescent="0.25">
      <c r="A387" s="153" t="s">
        <v>267</v>
      </c>
      <c r="B387" s="150">
        <v>36</v>
      </c>
      <c r="C387" s="150">
        <v>3</v>
      </c>
    </row>
    <row r="388" spans="1:3" hidden="1" x14ac:dyDescent="0.25">
      <c r="A388" s="153" t="s">
        <v>1094</v>
      </c>
      <c r="B388" s="150">
        <v>4</v>
      </c>
      <c r="C388" s="150">
        <v>1</v>
      </c>
    </row>
    <row r="389" spans="1:3" hidden="1" x14ac:dyDescent="0.25">
      <c r="A389" s="153" t="s">
        <v>1151</v>
      </c>
      <c r="B389" s="150">
        <v>2</v>
      </c>
      <c r="C389" s="150">
        <v>1</v>
      </c>
    </row>
    <row r="390" spans="1:3" hidden="1" x14ac:dyDescent="0.25">
      <c r="A390" s="153" t="s">
        <v>1095</v>
      </c>
      <c r="B390" s="150">
        <v>5</v>
      </c>
      <c r="C390" s="150">
        <v>1</v>
      </c>
    </row>
    <row r="391" spans="1:3" hidden="1" x14ac:dyDescent="0.25">
      <c r="A391" s="153" t="s">
        <v>1096</v>
      </c>
      <c r="B391" s="150">
        <v>1</v>
      </c>
      <c r="C391" s="150">
        <v>1</v>
      </c>
    </row>
    <row r="392" spans="1:3" hidden="1" x14ac:dyDescent="0.25">
      <c r="A392" s="153" t="s">
        <v>665</v>
      </c>
      <c r="B392" s="150">
        <v>1</v>
      </c>
      <c r="C392" s="150">
        <v>1</v>
      </c>
    </row>
    <row r="393" spans="1:3" hidden="1" x14ac:dyDescent="0.25">
      <c r="A393" s="153" t="s">
        <v>666</v>
      </c>
      <c r="B393" s="150">
        <v>66</v>
      </c>
      <c r="C393" s="150">
        <v>7</v>
      </c>
    </row>
    <row r="394" spans="1:3" hidden="1" x14ac:dyDescent="0.25">
      <c r="A394" s="153" t="s">
        <v>914</v>
      </c>
      <c r="B394" s="150">
        <v>11</v>
      </c>
      <c r="C394" s="150">
        <v>1</v>
      </c>
    </row>
    <row r="395" spans="1:3" hidden="1" x14ac:dyDescent="0.25">
      <c r="A395" s="153" t="s">
        <v>667</v>
      </c>
      <c r="B395" s="150">
        <v>1</v>
      </c>
      <c r="C395" s="150">
        <v>1</v>
      </c>
    </row>
    <row r="396" spans="1:3" hidden="1" x14ac:dyDescent="0.25">
      <c r="A396" s="153" t="s">
        <v>1097</v>
      </c>
      <c r="B396" s="150">
        <v>6</v>
      </c>
      <c r="C396" s="150">
        <v>1</v>
      </c>
    </row>
    <row r="397" spans="1:3" hidden="1" x14ac:dyDescent="0.25">
      <c r="A397" s="153" t="s">
        <v>268</v>
      </c>
      <c r="B397" s="150">
        <v>17</v>
      </c>
      <c r="C397" s="150">
        <v>1</v>
      </c>
    </row>
    <row r="398" spans="1:3" hidden="1" x14ac:dyDescent="0.25">
      <c r="A398" s="153" t="s">
        <v>269</v>
      </c>
      <c r="B398" s="150">
        <v>51</v>
      </c>
      <c r="C398" s="150">
        <v>5</v>
      </c>
    </row>
    <row r="399" spans="1:3" hidden="1" x14ac:dyDescent="0.25">
      <c r="A399" s="153" t="s">
        <v>1152</v>
      </c>
      <c r="B399" s="150">
        <v>1</v>
      </c>
      <c r="C399" s="150">
        <v>1</v>
      </c>
    </row>
    <row r="400" spans="1:3" hidden="1" x14ac:dyDescent="0.25">
      <c r="A400" s="153" t="s">
        <v>1153</v>
      </c>
      <c r="B400" s="150">
        <v>6</v>
      </c>
      <c r="C400" s="150">
        <v>1</v>
      </c>
    </row>
    <row r="401" spans="1:3" hidden="1" x14ac:dyDescent="0.25">
      <c r="A401" s="153" t="s">
        <v>1154</v>
      </c>
      <c r="B401" s="150">
        <v>2</v>
      </c>
      <c r="C401" s="150">
        <v>1</v>
      </c>
    </row>
    <row r="402" spans="1:3" hidden="1" x14ac:dyDescent="0.25">
      <c r="A402" s="153" t="s">
        <v>270</v>
      </c>
      <c r="B402" s="150">
        <v>3</v>
      </c>
      <c r="C402" s="150">
        <v>1</v>
      </c>
    </row>
    <row r="403" spans="1:3" hidden="1" x14ac:dyDescent="0.25">
      <c r="A403" s="153" t="s">
        <v>271</v>
      </c>
      <c r="B403" s="150">
        <v>5</v>
      </c>
      <c r="C403" s="150">
        <v>1</v>
      </c>
    </row>
    <row r="404" spans="1:3" hidden="1" x14ac:dyDescent="0.25">
      <c r="A404" s="153" t="s">
        <v>1155</v>
      </c>
      <c r="B404" s="150">
        <v>3</v>
      </c>
      <c r="C404" s="150">
        <v>1</v>
      </c>
    </row>
    <row r="405" spans="1:3" hidden="1" x14ac:dyDescent="0.25">
      <c r="A405" s="153" t="s">
        <v>272</v>
      </c>
      <c r="B405" s="150">
        <v>9</v>
      </c>
      <c r="C405" s="150">
        <v>1</v>
      </c>
    </row>
    <row r="406" spans="1:3" hidden="1" x14ac:dyDescent="0.25">
      <c r="A406" s="153" t="s">
        <v>273</v>
      </c>
      <c r="B406" s="150">
        <v>1</v>
      </c>
      <c r="C406" s="150">
        <v>1</v>
      </c>
    </row>
    <row r="407" spans="1:3" hidden="1" x14ac:dyDescent="0.25">
      <c r="A407" s="153" t="s">
        <v>274</v>
      </c>
      <c r="B407" s="150">
        <v>6</v>
      </c>
      <c r="C407" s="150">
        <v>1</v>
      </c>
    </row>
    <row r="408" spans="1:3" hidden="1" x14ac:dyDescent="0.25">
      <c r="A408" s="153" t="s">
        <v>1156</v>
      </c>
      <c r="B408" s="150">
        <v>2</v>
      </c>
      <c r="C408" s="150">
        <v>1</v>
      </c>
    </row>
    <row r="409" spans="1:3" hidden="1" x14ac:dyDescent="0.25">
      <c r="A409" s="153" t="s">
        <v>275</v>
      </c>
      <c r="B409" s="150">
        <v>26</v>
      </c>
      <c r="C409" s="150">
        <v>3</v>
      </c>
    </row>
    <row r="410" spans="1:3" hidden="1" x14ac:dyDescent="0.25">
      <c r="A410" s="153" t="s">
        <v>344</v>
      </c>
      <c r="B410" s="150">
        <v>33</v>
      </c>
      <c r="C410" s="150">
        <v>3</v>
      </c>
    </row>
    <row r="411" spans="1:3" hidden="1" x14ac:dyDescent="0.25">
      <c r="A411" s="153" t="s">
        <v>1157</v>
      </c>
      <c r="B411" s="150">
        <v>4</v>
      </c>
      <c r="C411" s="150">
        <v>1</v>
      </c>
    </row>
    <row r="412" spans="1:3" hidden="1" x14ac:dyDescent="0.25">
      <c r="A412" s="153" t="s">
        <v>276</v>
      </c>
      <c r="B412" s="150">
        <v>33</v>
      </c>
      <c r="C412" s="150">
        <v>3</v>
      </c>
    </row>
    <row r="413" spans="1:3" hidden="1" x14ac:dyDescent="0.25">
      <c r="A413" s="153" t="s">
        <v>277</v>
      </c>
      <c r="B413" s="150">
        <v>32</v>
      </c>
      <c r="C413" s="150">
        <v>3</v>
      </c>
    </row>
    <row r="414" spans="1:3" hidden="1" x14ac:dyDescent="0.25">
      <c r="A414" s="153" t="s">
        <v>504</v>
      </c>
      <c r="B414" s="150">
        <v>2</v>
      </c>
      <c r="C414" s="150">
        <v>1</v>
      </c>
    </row>
    <row r="415" spans="1:3" hidden="1" x14ac:dyDescent="0.25">
      <c r="A415" s="153" t="s">
        <v>668</v>
      </c>
      <c r="B415" s="150">
        <v>1</v>
      </c>
      <c r="C415" s="150">
        <v>1</v>
      </c>
    </row>
    <row r="416" spans="1:3" hidden="1" x14ac:dyDescent="0.25">
      <c r="A416" s="153" t="s">
        <v>278</v>
      </c>
      <c r="B416" s="150">
        <v>5</v>
      </c>
      <c r="C416" s="150">
        <v>1</v>
      </c>
    </row>
    <row r="417" spans="1:3" hidden="1" x14ac:dyDescent="0.25">
      <c r="A417" s="153" t="s">
        <v>279</v>
      </c>
      <c r="B417" s="150">
        <v>22</v>
      </c>
      <c r="C417" s="150">
        <v>3</v>
      </c>
    </row>
    <row r="418" spans="1:3" hidden="1" x14ac:dyDescent="0.25">
      <c r="A418" s="153" t="s">
        <v>280</v>
      </c>
      <c r="B418" s="150">
        <v>16</v>
      </c>
      <c r="C418" s="150">
        <v>1</v>
      </c>
    </row>
    <row r="419" spans="1:3" hidden="1" x14ac:dyDescent="0.25">
      <c r="A419" s="153" t="s">
        <v>669</v>
      </c>
      <c r="B419" s="150">
        <v>21</v>
      </c>
      <c r="C419" s="150">
        <v>1</v>
      </c>
    </row>
    <row r="420" spans="1:3" hidden="1" x14ac:dyDescent="0.25">
      <c r="A420" s="153" t="s">
        <v>1098</v>
      </c>
      <c r="B420" s="150">
        <v>3</v>
      </c>
      <c r="C420" s="150">
        <v>1</v>
      </c>
    </row>
    <row r="421" spans="1:3" hidden="1" x14ac:dyDescent="0.25">
      <c r="A421" s="153" t="s">
        <v>1158</v>
      </c>
      <c r="B421" s="150">
        <v>1</v>
      </c>
      <c r="C421" s="150">
        <v>1</v>
      </c>
    </row>
    <row r="422" spans="1:3" hidden="1" x14ac:dyDescent="0.25">
      <c r="A422" s="153" t="s">
        <v>1159</v>
      </c>
      <c r="B422" s="150">
        <v>1</v>
      </c>
      <c r="C422" s="150">
        <v>1</v>
      </c>
    </row>
    <row r="423" spans="1:3" hidden="1" x14ac:dyDescent="0.25">
      <c r="A423" s="153" t="s">
        <v>281</v>
      </c>
      <c r="B423" s="150">
        <v>136</v>
      </c>
      <c r="C423" s="150">
        <v>7</v>
      </c>
    </row>
    <row r="424" spans="1:3" hidden="1" x14ac:dyDescent="0.25">
      <c r="A424" s="153" t="s">
        <v>1160</v>
      </c>
      <c r="B424" s="150">
        <v>1</v>
      </c>
      <c r="C424" s="150">
        <v>1</v>
      </c>
    </row>
    <row r="425" spans="1:3" hidden="1" x14ac:dyDescent="0.25">
      <c r="A425" s="153" t="s">
        <v>1099</v>
      </c>
      <c r="B425" s="150">
        <v>2</v>
      </c>
      <c r="C425" s="150">
        <v>1</v>
      </c>
    </row>
    <row r="426" spans="1:3" hidden="1" x14ac:dyDescent="0.25">
      <c r="A426" s="153" t="s">
        <v>282</v>
      </c>
      <c r="B426" s="150">
        <v>1</v>
      </c>
      <c r="C426" s="150">
        <v>1</v>
      </c>
    </row>
    <row r="427" spans="1:3" hidden="1" x14ac:dyDescent="0.25">
      <c r="A427" s="153" t="s">
        <v>1161</v>
      </c>
      <c r="B427" s="150">
        <v>1</v>
      </c>
      <c r="C427" s="150">
        <v>1</v>
      </c>
    </row>
    <row r="428" spans="1:3" hidden="1" x14ac:dyDescent="0.25">
      <c r="A428" s="153" t="s">
        <v>670</v>
      </c>
      <c r="B428" s="150">
        <v>11</v>
      </c>
      <c r="C428" s="150">
        <v>1</v>
      </c>
    </row>
    <row r="429" spans="1:3" hidden="1" x14ac:dyDescent="0.25">
      <c r="A429" s="153" t="s">
        <v>283</v>
      </c>
      <c r="B429" s="150">
        <v>20</v>
      </c>
      <c r="C429" s="150">
        <v>1</v>
      </c>
    </row>
    <row r="430" spans="1:3" hidden="1" x14ac:dyDescent="0.25">
      <c r="A430" s="153" t="s">
        <v>359</v>
      </c>
      <c r="B430" s="150">
        <v>7</v>
      </c>
      <c r="C430" s="150">
        <v>1</v>
      </c>
    </row>
    <row r="431" spans="1:3" hidden="1" x14ac:dyDescent="0.25">
      <c r="A431" s="153" t="s">
        <v>284</v>
      </c>
      <c r="B431" s="150">
        <v>85</v>
      </c>
      <c r="C431" s="150">
        <v>7</v>
      </c>
    </row>
    <row r="432" spans="1:3" hidden="1" x14ac:dyDescent="0.25">
      <c r="A432" s="153" t="s">
        <v>671</v>
      </c>
      <c r="B432" s="150">
        <v>5</v>
      </c>
      <c r="C432" s="150">
        <v>1</v>
      </c>
    </row>
    <row r="433" spans="1:3" hidden="1" x14ac:dyDescent="0.25">
      <c r="A433" s="153" t="s">
        <v>672</v>
      </c>
      <c r="B433" s="150">
        <v>19</v>
      </c>
      <c r="C433" s="150">
        <v>1</v>
      </c>
    </row>
    <row r="434" spans="1:3" hidden="1" x14ac:dyDescent="0.25">
      <c r="A434" s="153" t="s">
        <v>673</v>
      </c>
      <c r="B434" s="150">
        <v>9</v>
      </c>
      <c r="C434" s="150">
        <v>1</v>
      </c>
    </row>
    <row r="435" spans="1:3" hidden="1" x14ac:dyDescent="0.25">
      <c r="A435" s="153" t="s">
        <v>285</v>
      </c>
      <c r="B435" s="150">
        <v>52</v>
      </c>
      <c r="C435" s="150">
        <v>5</v>
      </c>
    </row>
    <row r="436" spans="1:3" hidden="1" x14ac:dyDescent="0.25">
      <c r="A436" s="153" t="s">
        <v>674</v>
      </c>
      <c r="B436" s="150">
        <v>3</v>
      </c>
      <c r="C436" s="150">
        <v>1</v>
      </c>
    </row>
    <row r="437" spans="1:3" hidden="1" x14ac:dyDescent="0.25">
      <c r="A437" s="153" t="s">
        <v>503</v>
      </c>
      <c r="B437" s="150">
        <v>8</v>
      </c>
      <c r="C437" s="150">
        <v>1</v>
      </c>
    </row>
    <row r="438" spans="1:3" hidden="1" x14ac:dyDescent="0.25">
      <c r="A438" s="153" t="s">
        <v>286</v>
      </c>
      <c r="B438" s="150">
        <v>2</v>
      </c>
      <c r="C438" s="150">
        <v>1</v>
      </c>
    </row>
    <row r="439" spans="1:3" hidden="1" x14ac:dyDescent="0.25">
      <c r="A439" s="153" t="s">
        <v>675</v>
      </c>
      <c r="B439" s="150">
        <v>6</v>
      </c>
      <c r="C439" s="150">
        <v>1</v>
      </c>
    </row>
    <row r="440" spans="1:3" hidden="1" x14ac:dyDescent="0.25">
      <c r="A440" s="153" t="s">
        <v>287</v>
      </c>
      <c r="B440" s="150">
        <v>5</v>
      </c>
      <c r="C440" s="150">
        <v>1</v>
      </c>
    </row>
    <row r="441" spans="1:3" hidden="1" x14ac:dyDescent="0.25">
      <c r="A441" s="153" t="s">
        <v>288</v>
      </c>
      <c r="B441" s="150">
        <v>5</v>
      </c>
      <c r="C441" s="150">
        <v>1</v>
      </c>
    </row>
    <row r="442" spans="1:3" hidden="1" x14ac:dyDescent="0.25">
      <c r="A442" s="153" t="s">
        <v>676</v>
      </c>
      <c r="B442" s="150">
        <v>112</v>
      </c>
      <c r="C442" s="150">
        <v>7</v>
      </c>
    </row>
    <row r="443" spans="1:3" hidden="1" x14ac:dyDescent="0.25">
      <c r="A443" s="153" t="s">
        <v>289</v>
      </c>
      <c r="B443" s="150">
        <v>29</v>
      </c>
      <c r="C443" s="150">
        <v>3</v>
      </c>
    </row>
    <row r="444" spans="1:3" hidden="1" x14ac:dyDescent="0.25">
      <c r="A444" s="153" t="s">
        <v>677</v>
      </c>
      <c r="B444" s="150">
        <v>4</v>
      </c>
      <c r="C444" s="150">
        <v>1</v>
      </c>
    </row>
    <row r="445" spans="1:3" hidden="1" x14ac:dyDescent="0.25">
      <c r="A445" s="153" t="s">
        <v>290</v>
      </c>
      <c r="B445" s="150">
        <v>16</v>
      </c>
      <c r="C445" s="150">
        <v>1</v>
      </c>
    </row>
    <row r="446" spans="1:3" hidden="1" x14ac:dyDescent="0.25">
      <c r="A446" s="153" t="s">
        <v>678</v>
      </c>
      <c r="B446" s="150">
        <v>1</v>
      </c>
      <c r="C446" s="150">
        <v>1</v>
      </c>
    </row>
    <row r="447" spans="1:3" hidden="1" x14ac:dyDescent="0.25">
      <c r="A447" s="153" t="s">
        <v>291</v>
      </c>
      <c r="B447" s="150">
        <v>7</v>
      </c>
      <c r="C447" s="150">
        <v>1</v>
      </c>
    </row>
    <row r="448" spans="1:3" hidden="1" x14ac:dyDescent="0.25">
      <c r="A448" s="153" t="s">
        <v>679</v>
      </c>
      <c r="B448" s="150">
        <v>1</v>
      </c>
      <c r="C448" s="150">
        <v>1</v>
      </c>
    </row>
    <row r="449" spans="1:3" hidden="1" x14ac:dyDescent="0.25">
      <c r="A449" s="153" t="s">
        <v>292</v>
      </c>
      <c r="B449" s="150">
        <v>3</v>
      </c>
      <c r="C449" s="150">
        <v>1</v>
      </c>
    </row>
    <row r="450" spans="1:3" hidden="1" x14ac:dyDescent="0.25">
      <c r="A450" s="153" t="s">
        <v>293</v>
      </c>
      <c r="B450" s="150">
        <v>27</v>
      </c>
      <c r="C450" s="150">
        <v>3</v>
      </c>
    </row>
    <row r="451" spans="1:3" hidden="1" x14ac:dyDescent="0.25">
      <c r="A451" s="153" t="s">
        <v>294</v>
      </c>
      <c r="B451" s="150">
        <v>1</v>
      </c>
      <c r="C451" s="150">
        <v>1</v>
      </c>
    </row>
    <row r="452" spans="1:3" hidden="1" x14ac:dyDescent="0.25">
      <c r="A452" s="153" t="s">
        <v>295</v>
      </c>
      <c r="B452" s="150">
        <v>89</v>
      </c>
      <c r="C452" s="150">
        <v>7</v>
      </c>
    </row>
    <row r="453" spans="1:3" hidden="1" x14ac:dyDescent="0.25">
      <c r="A453" s="153" t="s">
        <v>680</v>
      </c>
      <c r="B453" s="150">
        <v>37</v>
      </c>
      <c r="C453" s="150">
        <v>3</v>
      </c>
    </row>
    <row r="454" spans="1:3" hidden="1" x14ac:dyDescent="0.25">
      <c r="A454" s="153" t="s">
        <v>296</v>
      </c>
      <c r="B454" s="150">
        <v>1</v>
      </c>
      <c r="C454" s="150">
        <v>1</v>
      </c>
    </row>
    <row r="455" spans="1:3" hidden="1" x14ac:dyDescent="0.25">
      <c r="A455" s="153" t="s">
        <v>681</v>
      </c>
      <c r="B455" s="150">
        <v>5</v>
      </c>
      <c r="C455" s="150">
        <v>1</v>
      </c>
    </row>
    <row r="456" spans="1:3" hidden="1" x14ac:dyDescent="0.25">
      <c r="A456" s="153" t="s">
        <v>297</v>
      </c>
      <c r="B456" s="150">
        <v>69</v>
      </c>
      <c r="C456" s="150">
        <v>7</v>
      </c>
    </row>
    <row r="457" spans="1:3" hidden="1" x14ac:dyDescent="0.25">
      <c r="A457" s="153" t="s">
        <v>682</v>
      </c>
      <c r="B457" s="150">
        <v>35</v>
      </c>
      <c r="C457" s="150">
        <v>3</v>
      </c>
    </row>
    <row r="458" spans="1:3" hidden="1" x14ac:dyDescent="0.25">
      <c r="A458" s="153" t="s">
        <v>298</v>
      </c>
      <c r="B458" s="150">
        <v>27</v>
      </c>
      <c r="C458" s="150">
        <v>3</v>
      </c>
    </row>
    <row r="459" spans="1:3" hidden="1" x14ac:dyDescent="0.25">
      <c r="A459" s="153" t="s">
        <v>299</v>
      </c>
      <c r="B459" s="150">
        <v>5</v>
      </c>
      <c r="C459" s="150">
        <v>1</v>
      </c>
    </row>
    <row r="460" spans="1:3" hidden="1" x14ac:dyDescent="0.25">
      <c r="A460" s="153" t="s">
        <v>502</v>
      </c>
      <c r="B460" s="150">
        <v>19</v>
      </c>
      <c r="C460" s="150">
        <v>1</v>
      </c>
    </row>
    <row r="461" spans="1:3" hidden="1" x14ac:dyDescent="0.25">
      <c r="A461" s="153" t="s">
        <v>300</v>
      </c>
      <c r="B461" s="150">
        <v>45</v>
      </c>
      <c r="C461" s="150">
        <v>5</v>
      </c>
    </row>
    <row r="462" spans="1:3" hidden="1" x14ac:dyDescent="0.25">
      <c r="A462" s="153" t="s">
        <v>1100</v>
      </c>
      <c r="B462" s="150">
        <v>38</v>
      </c>
      <c r="C462" s="150">
        <v>3</v>
      </c>
    </row>
    <row r="463" spans="1:3" hidden="1" x14ac:dyDescent="0.25">
      <c r="A463" s="153" t="s">
        <v>683</v>
      </c>
      <c r="B463" s="150">
        <v>132</v>
      </c>
      <c r="C463" s="150">
        <v>7</v>
      </c>
    </row>
    <row r="464" spans="1:3" hidden="1" x14ac:dyDescent="0.25">
      <c r="A464" s="153" t="s">
        <v>301</v>
      </c>
      <c r="B464" s="150">
        <v>10</v>
      </c>
      <c r="C464" s="150">
        <v>1</v>
      </c>
    </row>
    <row r="465" spans="1:3" hidden="1" x14ac:dyDescent="0.25">
      <c r="A465" s="153" t="s">
        <v>302</v>
      </c>
      <c r="B465" s="150">
        <v>33</v>
      </c>
      <c r="C465" s="150">
        <v>3</v>
      </c>
    </row>
    <row r="466" spans="1:3" hidden="1" x14ac:dyDescent="0.25">
      <c r="A466" s="153" t="s">
        <v>303</v>
      </c>
      <c r="B466" s="150">
        <v>59</v>
      </c>
      <c r="C466" s="150">
        <v>5</v>
      </c>
    </row>
    <row r="467" spans="1:3" hidden="1" x14ac:dyDescent="0.25">
      <c r="A467" s="153" t="s">
        <v>304</v>
      </c>
      <c r="B467" s="150">
        <v>36</v>
      </c>
      <c r="C467" s="150">
        <v>3</v>
      </c>
    </row>
    <row r="468" spans="1:3" hidden="1" x14ac:dyDescent="0.25">
      <c r="A468" s="153" t="s">
        <v>305</v>
      </c>
      <c r="B468" s="150">
        <v>73</v>
      </c>
      <c r="C468" s="150">
        <v>7</v>
      </c>
    </row>
    <row r="469" spans="1:3" hidden="1" x14ac:dyDescent="0.25">
      <c r="A469" s="153" t="s">
        <v>684</v>
      </c>
      <c r="B469" s="150">
        <v>1</v>
      </c>
      <c r="C469" s="150">
        <v>1</v>
      </c>
    </row>
    <row r="470" spans="1:3" hidden="1" x14ac:dyDescent="0.25">
      <c r="A470" s="153" t="s">
        <v>685</v>
      </c>
      <c r="B470" s="150">
        <v>20</v>
      </c>
      <c r="C470" s="150">
        <v>1</v>
      </c>
    </row>
    <row r="471" spans="1:3" hidden="1" x14ac:dyDescent="0.25">
      <c r="A471" s="153" t="s">
        <v>306</v>
      </c>
      <c r="B471" s="150">
        <v>21</v>
      </c>
      <c r="C471" s="150">
        <v>1</v>
      </c>
    </row>
    <row r="472" spans="1:3" hidden="1" x14ac:dyDescent="0.25">
      <c r="A472" s="153" t="s">
        <v>1162</v>
      </c>
      <c r="B472" s="150">
        <v>1</v>
      </c>
      <c r="C472" s="150">
        <v>1</v>
      </c>
    </row>
    <row r="473" spans="1:3" hidden="1" x14ac:dyDescent="0.25">
      <c r="A473" s="153" t="s">
        <v>307</v>
      </c>
      <c r="B473" s="150">
        <v>36</v>
      </c>
      <c r="C473" s="150">
        <v>3</v>
      </c>
    </row>
    <row r="474" spans="1:3" hidden="1" x14ac:dyDescent="0.25">
      <c r="A474" s="153" t="s">
        <v>308</v>
      </c>
      <c r="B474" s="150">
        <v>31</v>
      </c>
      <c r="C474" s="150">
        <v>3</v>
      </c>
    </row>
    <row r="475" spans="1:3" hidden="1" x14ac:dyDescent="0.25">
      <c r="A475" s="153" t="s">
        <v>1101</v>
      </c>
      <c r="B475" s="150">
        <v>4</v>
      </c>
      <c r="C475" s="150">
        <v>1</v>
      </c>
    </row>
    <row r="476" spans="1:3" hidden="1" x14ac:dyDescent="0.25">
      <c r="A476" s="153" t="s">
        <v>364</v>
      </c>
      <c r="B476" s="150">
        <v>2</v>
      </c>
      <c r="C476" s="150">
        <v>1</v>
      </c>
    </row>
    <row r="477" spans="1:3" hidden="1" x14ac:dyDescent="0.25">
      <c r="A477" s="153" t="s">
        <v>686</v>
      </c>
      <c r="B477" s="150">
        <v>15</v>
      </c>
      <c r="C477" s="150">
        <v>1</v>
      </c>
    </row>
    <row r="478" spans="1:3" hidden="1" x14ac:dyDescent="0.25">
      <c r="A478" s="153" t="s">
        <v>687</v>
      </c>
      <c r="B478" s="150">
        <v>1</v>
      </c>
      <c r="C478" s="150">
        <v>1</v>
      </c>
    </row>
    <row r="479" spans="1:3" hidden="1" x14ac:dyDescent="0.25">
      <c r="A479" s="153" t="s">
        <v>309</v>
      </c>
      <c r="B479" s="150">
        <v>37</v>
      </c>
      <c r="C479" s="150">
        <v>3</v>
      </c>
    </row>
    <row r="480" spans="1:3" hidden="1" x14ac:dyDescent="0.25">
      <c r="A480" s="153" t="s">
        <v>310</v>
      </c>
      <c r="B480" s="150">
        <v>78</v>
      </c>
      <c r="C480" s="150">
        <v>7</v>
      </c>
    </row>
    <row r="481" spans="1:3" hidden="1" x14ac:dyDescent="0.25">
      <c r="A481" s="153" t="s">
        <v>311</v>
      </c>
      <c r="B481" s="150">
        <v>15</v>
      </c>
      <c r="C481" s="150">
        <v>1</v>
      </c>
    </row>
    <row r="482" spans="1:3" hidden="1" x14ac:dyDescent="0.25">
      <c r="A482" s="153" t="s">
        <v>312</v>
      </c>
      <c r="B482" s="150">
        <v>7</v>
      </c>
      <c r="C482" s="150">
        <v>1</v>
      </c>
    </row>
    <row r="483" spans="1:3" hidden="1" x14ac:dyDescent="0.25">
      <c r="A483" s="153" t="s">
        <v>313</v>
      </c>
      <c r="B483" s="150">
        <v>48</v>
      </c>
      <c r="C483" s="150">
        <v>5</v>
      </c>
    </row>
    <row r="484" spans="1:3" hidden="1" x14ac:dyDescent="0.25">
      <c r="A484" s="153" t="s">
        <v>688</v>
      </c>
      <c r="B484" s="150">
        <v>2</v>
      </c>
      <c r="C484" s="150">
        <v>1</v>
      </c>
    </row>
    <row r="485" spans="1:3" hidden="1" x14ac:dyDescent="0.25">
      <c r="A485" s="153" t="s">
        <v>689</v>
      </c>
      <c r="B485" s="150">
        <v>2</v>
      </c>
      <c r="C485" s="150">
        <v>1</v>
      </c>
    </row>
    <row r="486" spans="1:3" hidden="1" x14ac:dyDescent="0.25">
      <c r="A486" s="153" t="s">
        <v>459</v>
      </c>
      <c r="B486" s="150">
        <v>28</v>
      </c>
      <c r="C486" s="150">
        <v>3</v>
      </c>
    </row>
    <row r="487" spans="1:3" hidden="1" x14ac:dyDescent="0.25">
      <c r="A487" s="153" t="s">
        <v>314</v>
      </c>
      <c r="B487" s="150">
        <v>8</v>
      </c>
      <c r="C487" s="150">
        <v>1</v>
      </c>
    </row>
    <row r="488" spans="1:3" hidden="1" x14ac:dyDescent="0.25">
      <c r="A488" s="153" t="s">
        <v>315</v>
      </c>
      <c r="B488" s="150">
        <v>2</v>
      </c>
      <c r="C488" s="150">
        <v>1</v>
      </c>
    </row>
    <row r="489" spans="1:3" hidden="1" x14ac:dyDescent="0.25">
      <c r="A489" s="153" t="s">
        <v>690</v>
      </c>
      <c r="B489" s="150">
        <v>1</v>
      </c>
      <c r="C489" s="150">
        <v>1</v>
      </c>
    </row>
    <row r="490" spans="1:3" hidden="1" x14ac:dyDescent="0.25">
      <c r="A490" s="153" t="s">
        <v>691</v>
      </c>
      <c r="B490" s="150">
        <v>11</v>
      </c>
      <c r="C490" s="150">
        <v>1</v>
      </c>
    </row>
    <row r="491" spans="1:3" hidden="1" x14ac:dyDescent="0.25">
      <c r="A491" s="153" t="s">
        <v>692</v>
      </c>
      <c r="B491" s="150">
        <v>2</v>
      </c>
      <c r="C491" s="150">
        <v>1</v>
      </c>
    </row>
    <row r="492" spans="1:3" hidden="1" x14ac:dyDescent="0.25">
      <c r="A492" s="153" t="s">
        <v>693</v>
      </c>
      <c r="B492" s="150">
        <v>2</v>
      </c>
      <c r="C492" s="150">
        <v>1</v>
      </c>
    </row>
    <row r="493" spans="1:3" hidden="1" x14ac:dyDescent="0.25">
      <c r="A493" s="153" t="s">
        <v>1102</v>
      </c>
      <c r="B493" s="150">
        <v>1</v>
      </c>
      <c r="C493" s="150">
        <v>1</v>
      </c>
    </row>
    <row r="494" spans="1:3" hidden="1" x14ac:dyDescent="0.25">
      <c r="A494" s="153" t="s">
        <v>316</v>
      </c>
      <c r="B494" s="150">
        <v>52</v>
      </c>
      <c r="C494" s="150">
        <v>5</v>
      </c>
    </row>
    <row r="495" spans="1:3" hidden="1" x14ac:dyDescent="0.25">
      <c r="A495" s="153" t="s">
        <v>317</v>
      </c>
      <c r="B495" s="150">
        <v>154</v>
      </c>
      <c r="C495" s="150">
        <v>7</v>
      </c>
    </row>
    <row r="496" spans="1:3" hidden="1" x14ac:dyDescent="0.25">
      <c r="A496" s="153" t="s">
        <v>318</v>
      </c>
      <c r="B496" s="150">
        <v>75</v>
      </c>
      <c r="C496" s="150">
        <v>7</v>
      </c>
    </row>
    <row r="497" spans="1:3" hidden="1" x14ac:dyDescent="0.25">
      <c r="A497" s="153" t="s">
        <v>319</v>
      </c>
      <c r="B497" s="150">
        <v>37</v>
      </c>
      <c r="C497" s="150">
        <v>3</v>
      </c>
    </row>
    <row r="498" spans="1:3" hidden="1" x14ac:dyDescent="0.25">
      <c r="A498" s="153" t="s">
        <v>320</v>
      </c>
      <c r="B498" s="150">
        <v>15</v>
      </c>
      <c r="C498" s="150">
        <v>1</v>
      </c>
    </row>
    <row r="499" spans="1:3" hidden="1" x14ac:dyDescent="0.25">
      <c r="A499" s="153" t="s">
        <v>321</v>
      </c>
      <c r="B499" s="150">
        <v>2</v>
      </c>
      <c r="C499" s="150">
        <v>1</v>
      </c>
    </row>
    <row r="500" spans="1:3" hidden="1" x14ac:dyDescent="0.25">
      <c r="A500" s="153" t="s">
        <v>322</v>
      </c>
      <c r="B500" s="150">
        <v>39</v>
      </c>
      <c r="C500" s="150">
        <v>3</v>
      </c>
    </row>
    <row r="501" spans="1:3" hidden="1" x14ac:dyDescent="0.25">
      <c r="A501" s="153" t="s">
        <v>694</v>
      </c>
      <c r="B501" s="150">
        <v>8</v>
      </c>
      <c r="C501" s="150">
        <v>1</v>
      </c>
    </row>
    <row r="502" spans="1:3" hidden="1" x14ac:dyDescent="0.25">
      <c r="A502" s="153" t="s">
        <v>323</v>
      </c>
      <c r="B502" s="150">
        <v>53</v>
      </c>
      <c r="C502" s="150">
        <v>5</v>
      </c>
    </row>
    <row r="503" spans="1:3" hidden="1" x14ac:dyDescent="0.25">
      <c r="A503" s="153" t="s">
        <v>324</v>
      </c>
      <c r="B503" s="150">
        <v>1</v>
      </c>
      <c r="C503" s="150">
        <v>1</v>
      </c>
    </row>
    <row r="504" spans="1:3" hidden="1" x14ac:dyDescent="0.25">
      <c r="A504" s="153" t="s">
        <v>1103</v>
      </c>
      <c r="B504" s="150">
        <v>1</v>
      </c>
      <c r="C504" s="150">
        <v>1</v>
      </c>
    </row>
    <row r="505" spans="1:3" hidden="1" x14ac:dyDescent="0.25">
      <c r="A505" s="153" t="s">
        <v>695</v>
      </c>
      <c r="B505" s="150">
        <v>3</v>
      </c>
      <c r="C505" s="150">
        <v>1</v>
      </c>
    </row>
    <row r="506" spans="1:3" hidden="1" x14ac:dyDescent="0.25">
      <c r="A506" s="153" t="s">
        <v>696</v>
      </c>
      <c r="B506" s="150">
        <v>6</v>
      </c>
      <c r="C506" s="150">
        <v>1</v>
      </c>
    </row>
    <row r="507" spans="1:3" hidden="1" x14ac:dyDescent="0.25">
      <c r="A507" s="153" t="s">
        <v>697</v>
      </c>
      <c r="B507" s="150">
        <v>8</v>
      </c>
      <c r="C507" s="150">
        <v>1</v>
      </c>
    </row>
    <row r="508" spans="1:3" hidden="1" x14ac:dyDescent="0.25">
      <c r="A508" s="153" t="s">
        <v>698</v>
      </c>
      <c r="B508" s="150">
        <v>2</v>
      </c>
      <c r="C508" s="150">
        <v>1</v>
      </c>
    </row>
    <row r="509" spans="1:3" hidden="1" x14ac:dyDescent="0.25">
      <c r="A509" s="153" t="s">
        <v>44</v>
      </c>
      <c r="B509" s="150">
        <v>11766</v>
      </c>
      <c r="C509" s="150">
        <v>7</v>
      </c>
    </row>
  </sheetData>
  <autoFilter ref="A1:C509" xr:uid="{51FCBAE4-1E6D-42B1-B265-205034993D6B}">
    <filterColumn colId="0">
      <filters>
        <filter val="76460844-5"/>
      </filters>
    </filterColumn>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423D6-ECE2-4D76-95CD-CF67A3594BF1}">
  <sheetPr filterMode="1"/>
  <dimension ref="A1:AX396"/>
  <sheetViews>
    <sheetView topLeftCell="Z1" zoomScale="77" zoomScaleNormal="77" workbookViewId="0"/>
  </sheetViews>
  <sheetFormatPr baseColWidth="10" defaultColWidth="10.85546875" defaultRowHeight="24.95" customHeight="1" x14ac:dyDescent="0.25"/>
  <cols>
    <col min="1" max="1" width="10.85546875" style="91"/>
    <col min="2" max="3" width="22.85546875" style="91" customWidth="1"/>
    <col min="4" max="4" width="10.85546875" style="91" customWidth="1"/>
    <col min="5" max="5" width="23.7109375" style="92" customWidth="1"/>
    <col min="6" max="6" width="15" style="91" customWidth="1"/>
    <col min="7" max="9" width="16.42578125" style="92" customWidth="1"/>
    <col min="10" max="10" width="67.28515625" style="92" customWidth="1"/>
    <col min="11" max="11" width="14.85546875" style="92" customWidth="1"/>
    <col min="12" max="12" width="37.85546875" style="92" customWidth="1"/>
    <col min="13" max="13" width="13.140625" style="91" customWidth="1"/>
    <col min="14" max="14" width="9.140625" style="91" customWidth="1"/>
    <col min="15" max="15" width="18" style="93" customWidth="1"/>
    <col min="16" max="16" width="15.140625" style="92" customWidth="1"/>
    <col min="17" max="17" width="38.140625" style="92" customWidth="1"/>
    <col min="18" max="18" width="10.42578125" style="92" customWidth="1"/>
    <col min="19" max="19" width="10.5703125" style="92" customWidth="1"/>
    <col min="20" max="20" width="28.7109375" style="92" customWidth="1"/>
    <col min="21" max="21" width="8.5703125" style="91" customWidth="1"/>
    <col min="22" max="28" width="10.85546875" style="91" customWidth="1"/>
    <col min="29" max="29" width="26.5703125" style="92" customWidth="1"/>
    <col min="30" max="30" width="10.85546875" style="92" customWidth="1"/>
    <col min="31" max="31" width="25.85546875" style="91" customWidth="1"/>
    <col min="32" max="32" width="25.85546875" style="92" customWidth="1"/>
    <col min="33" max="33" width="26.85546875" style="91" customWidth="1"/>
    <col min="34" max="34" width="7.85546875" style="91" customWidth="1"/>
    <col min="35" max="35" width="10.85546875" style="95" customWidth="1"/>
    <col min="36" max="36" width="10.85546875" style="201" customWidth="1"/>
    <col min="37" max="39" width="10.85546875" style="95" customWidth="1"/>
    <col min="40" max="40" width="16.42578125" style="94" customWidth="1"/>
    <col min="41" max="41" width="10.85546875" style="94" customWidth="1"/>
    <col min="42" max="42" width="25.28515625" style="94" customWidth="1"/>
    <col min="43" max="43" width="18.7109375" style="94" customWidth="1"/>
    <col min="44" max="44" width="12.140625" style="94" customWidth="1"/>
    <col min="45" max="45" width="10.85546875" style="94" customWidth="1"/>
    <col min="46" max="46" width="15" style="94" customWidth="1"/>
    <col min="47" max="47" width="10.85546875" style="95"/>
    <col min="48" max="48" width="10.85546875" style="95" customWidth="1"/>
    <col min="49" max="16384" width="10.85546875" style="95"/>
  </cols>
  <sheetData>
    <row r="1" spans="1:50" s="170" customFormat="1" ht="71.45" customHeight="1" x14ac:dyDescent="0.25">
      <c r="A1" s="165" t="s">
        <v>369</v>
      </c>
      <c r="B1" s="166" t="s">
        <v>448</v>
      </c>
      <c r="C1" s="167" t="s">
        <v>0</v>
      </c>
      <c r="D1" s="168" t="s">
        <v>1141</v>
      </c>
      <c r="E1" s="168" t="s">
        <v>1458</v>
      </c>
      <c r="F1" s="168" t="s">
        <v>1459</v>
      </c>
      <c r="G1" s="166" t="s">
        <v>15</v>
      </c>
      <c r="H1" s="165" t="s">
        <v>328</v>
      </c>
      <c r="I1" s="169" t="s">
        <v>370</v>
      </c>
      <c r="J1" s="166" t="s">
        <v>371</v>
      </c>
      <c r="K1" s="167" t="s">
        <v>1460</v>
      </c>
      <c r="L1" s="167" t="s">
        <v>373</v>
      </c>
      <c r="M1" s="169" t="s">
        <v>52</v>
      </c>
      <c r="N1" s="170" t="s">
        <v>330</v>
      </c>
      <c r="O1" s="167" t="s">
        <v>374</v>
      </c>
      <c r="P1" s="169" t="s">
        <v>1</v>
      </c>
      <c r="Q1" s="166" t="s">
        <v>329</v>
      </c>
      <c r="R1" s="169" t="s">
        <v>375</v>
      </c>
      <c r="S1" s="167" t="s">
        <v>376</v>
      </c>
      <c r="T1" s="169" t="s">
        <v>338</v>
      </c>
      <c r="U1" s="170" t="s">
        <v>2</v>
      </c>
      <c r="V1" s="170" t="s">
        <v>377</v>
      </c>
      <c r="W1" s="170" t="s">
        <v>378</v>
      </c>
      <c r="X1" s="170" t="s">
        <v>379</v>
      </c>
      <c r="Y1" s="170" t="s">
        <v>3</v>
      </c>
      <c r="Z1" s="170" t="s">
        <v>331</v>
      </c>
      <c r="AA1" s="170" t="s">
        <v>380</v>
      </c>
      <c r="AB1" s="170" t="s">
        <v>332</v>
      </c>
      <c r="AC1" s="167" t="s">
        <v>333</v>
      </c>
      <c r="AD1" s="166" t="s">
        <v>982</v>
      </c>
      <c r="AE1" s="170" t="s">
        <v>334</v>
      </c>
      <c r="AF1" s="171" t="s">
        <v>335</v>
      </c>
      <c r="AG1" s="172" t="s">
        <v>927</v>
      </c>
      <c r="AH1" s="165" t="s">
        <v>2341</v>
      </c>
      <c r="AI1" s="170" t="s">
        <v>381</v>
      </c>
      <c r="AJ1" s="199" t="s">
        <v>2342</v>
      </c>
      <c r="AK1" s="165" t="s">
        <v>892</v>
      </c>
      <c r="AL1" s="173" t="s">
        <v>891</v>
      </c>
      <c r="AM1" s="165" t="s">
        <v>889</v>
      </c>
      <c r="AN1" s="165" t="s">
        <v>934</v>
      </c>
      <c r="AO1" s="165" t="s">
        <v>983</v>
      </c>
      <c r="AP1" s="165" t="s">
        <v>984</v>
      </c>
      <c r="AQ1" s="165" t="s">
        <v>933</v>
      </c>
      <c r="AR1" s="165" t="s">
        <v>1461</v>
      </c>
      <c r="AS1" s="165" t="s">
        <v>985</v>
      </c>
      <c r="AT1" s="165" t="s">
        <v>986</v>
      </c>
      <c r="AU1" s="165" t="s">
        <v>1462</v>
      </c>
      <c r="AV1" s="165" t="s">
        <v>1463</v>
      </c>
      <c r="AW1" s="165" t="s">
        <v>1464</v>
      </c>
      <c r="AX1" s="165" t="s">
        <v>1465</v>
      </c>
    </row>
    <row r="2" spans="1:50" s="179" customFormat="1" ht="24.95" hidden="1" customHeight="1" x14ac:dyDescent="0.25">
      <c r="A2" s="175">
        <v>14224</v>
      </c>
      <c r="B2" s="175" t="s">
        <v>80</v>
      </c>
      <c r="C2" s="175" t="s">
        <v>17</v>
      </c>
      <c r="D2" s="176">
        <v>1</v>
      </c>
      <c r="E2" s="176">
        <v>2025</v>
      </c>
      <c r="F2" s="176">
        <v>2025</v>
      </c>
      <c r="G2" s="175" t="s">
        <v>23</v>
      </c>
      <c r="H2" s="175" t="s">
        <v>80</v>
      </c>
      <c r="I2" s="175" t="s">
        <v>1016</v>
      </c>
      <c r="J2" s="177" t="s">
        <v>700</v>
      </c>
      <c r="K2" s="175" t="s">
        <v>701</v>
      </c>
      <c r="L2" s="175" t="s">
        <v>21</v>
      </c>
      <c r="M2" s="175" t="s">
        <v>21</v>
      </c>
      <c r="N2" s="175">
        <v>13</v>
      </c>
      <c r="O2" s="175" t="s">
        <v>382</v>
      </c>
      <c r="P2" s="175" t="s">
        <v>776</v>
      </c>
      <c r="Q2" s="175" t="s">
        <v>1201</v>
      </c>
      <c r="R2" s="175" t="s">
        <v>339</v>
      </c>
      <c r="S2" s="175" t="s">
        <v>22</v>
      </c>
      <c r="T2" s="175" t="s">
        <v>337</v>
      </c>
      <c r="U2" s="176">
        <v>17</v>
      </c>
      <c r="V2" s="176">
        <v>150</v>
      </c>
      <c r="W2" s="176" t="s">
        <v>21</v>
      </c>
      <c r="X2" s="179">
        <f t="shared" ref="X2:X33" si="0">(SUM(V2:W2))*1</f>
        <v>150</v>
      </c>
      <c r="Y2" s="176">
        <v>4</v>
      </c>
      <c r="Z2" s="176" t="s">
        <v>20</v>
      </c>
      <c r="AA2" s="176" t="s">
        <v>18</v>
      </c>
      <c r="AB2" s="185" t="s">
        <v>18</v>
      </c>
      <c r="AC2" s="186" t="s">
        <v>21</v>
      </c>
      <c r="AD2" s="181" t="s">
        <v>1790</v>
      </c>
      <c r="AE2" s="179" t="s">
        <v>18</v>
      </c>
      <c r="AF2" s="191"/>
      <c r="AG2" s="174" t="s">
        <v>990</v>
      </c>
      <c r="AH2" s="179">
        <v>38</v>
      </c>
      <c r="AI2" s="179">
        <f>VLOOKUP(K2,[1]TRAMO!$A:$B,2,0)</f>
        <v>2</v>
      </c>
      <c r="AJ2" s="200">
        <f t="shared" ref="AJ2:AJ65" si="1">+(U2*X2)</f>
        <v>2550</v>
      </c>
      <c r="AK2" s="183">
        <f t="shared" ref="AK2:AK65" si="2">IF(AI2=1,5074,IF(AI2=2,6372,IF(AI2=3,7434,"ERROR")))</f>
        <v>6372</v>
      </c>
      <c r="AL2" s="179">
        <f>+(X2/Y2)</f>
        <v>37.5</v>
      </c>
      <c r="AM2" s="183">
        <v>0</v>
      </c>
      <c r="AN2" s="183">
        <f>IF(Z2="SI",4000*U2*AH2,0)</f>
        <v>2584000</v>
      </c>
      <c r="AO2" s="183">
        <f t="shared" ref="AO2:AO65" si="3">IF(AA2="SI",5000*AH2*U2,0)</f>
        <v>0</v>
      </c>
      <c r="AP2" s="183">
        <f t="shared" ref="AP2:AP65" si="4">IF(AB2="SI",270000*U2,0)</f>
        <v>0</v>
      </c>
      <c r="AQ2" s="183">
        <f t="shared" ref="AQ2:AQ65" si="5">+(AK2*X2*U2)</f>
        <v>16248600</v>
      </c>
      <c r="AR2" s="183"/>
      <c r="AS2" s="183">
        <f t="shared" ref="AS2:AS65" si="6">+(AM2*U2)</f>
        <v>0</v>
      </c>
      <c r="AT2" s="183">
        <f t="shared" ref="AT2:AT65" si="7">+(AN2+AO2+AP2+AQ2+AS2)</f>
        <v>18832600</v>
      </c>
      <c r="AU2" s="175" t="s">
        <v>1791</v>
      </c>
      <c r="AV2" s="175" t="s">
        <v>1792</v>
      </c>
      <c r="AW2" s="175" t="s">
        <v>1793</v>
      </c>
      <c r="AX2" s="175" t="s">
        <v>1041</v>
      </c>
    </row>
    <row r="3" spans="1:50" s="179" customFormat="1" ht="24.95" hidden="1" customHeight="1" x14ac:dyDescent="0.25">
      <c r="A3" s="184">
        <v>14569</v>
      </c>
      <c r="B3" s="184" t="s">
        <v>82</v>
      </c>
      <c r="C3" s="184" t="s">
        <v>25</v>
      </c>
      <c r="D3" s="179">
        <v>1</v>
      </c>
      <c r="E3" s="179">
        <v>2025</v>
      </c>
      <c r="F3" s="179">
        <v>2025</v>
      </c>
      <c r="G3" s="177" t="s">
        <v>1484</v>
      </c>
      <c r="H3" s="184" t="s">
        <v>82</v>
      </c>
      <c r="I3" s="184" t="s">
        <v>101</v>
      </c>
      <c r="J3" s="177" t="s">
        <v>745</v>
      </c>
      <c r="K3" s="110" t="s">
        <v>744</v>
      </c>
      <c r="L3" s="184" t="s">
        <v>1485</v>
      </c>
      <c r="M3" s="184" t="s">
        <v>1486</v>
      </c>
      <c r="N3" s="179">
        <v>13</v>
      </c>
      <c r="O3" s="184" t="s">
        <v>382</v>
      </c>
      <c r="P3" s="184" t="s">
        <v>724</v>
      </c>
      <c r="Q3" s="184" t="s">
        <v>1487</v>
      </c>
      <c r="R3" s="184" t="s">
        <v>339</v>
      </c>
      <c r="S3" s="184" t="s">
        <v>22</v>
      </c>
      <c r="T3" s="184" t="s">
        <v>347</v>
      </c>
      <c r="U3" s="185">
        <v>18</v>
      </c>
      <c r="V3" s="185">
        <v>260</v>
      </c>
      <c r="W3" s="185">
        <v>16</v>
      </c>
      <c r="X3" s="179">
        <f t="shared" si="0"/>
        <v>276</v>
      </c>
      <c r="Y3" s="185">
        <v>5</v>
      </c>
      <c r="Z3" s="185" t="s">
        <v>20</v>
      </c>
      <c r="AA3" s="185" t="s">
        <v>20</v>
      </c>
      <c r="AB3" s="179" t="s">
        <v>18</v>
      </c>
      <c r="AC3" s="186"/>
      <c r="AD3" s="181" t="s">
        <v>1488</v>
      </c>
      <c r="AE3" s="179" t="s">
        <v>20</v>
      </c>
      <c r="AF3" s="186" t="s">
        <v>995</v>
      </c>
      <c r="AG3" s="174" t="s">
        <v>990</v>
      </c>
      <c r="AH3" s="179">
        <v>56</v>
      </c>
      <c r="AI3" s="179">
        <v>3</v>
      </c>
      <c r="AJ3" s="200">
        <f t="shared" si="1"/>
        <v>4968</v>
      </c>
      <c r="AK3" s="183">
        <f t="shared" si="2"/>
        <v>7434</v>
      </c>
      <c r="AL3" s="179">
        <f t="shared" ref="AL3:AL66" si="8">+(X3/Y3)</f>
        <v>55.2</v>
      </c>
      <c r="AM3" s="183">
        <v>350000</v>
      </c>
      <c r="AN3" s="183">
        <f t="shared" ref="AN3:AN66" si="9">IF(Z3="SI",4000*U3*AH3,0)</f>
        <v>4032000</v>
      </c>
      <c r="AO3" s="183">
        <f t="shared" si="3"/>
        <v>5040000</v>
      </c>
      <c r="AP3" s="183">
        <f t="shared" si="4"/>
        <v>0</v>
      </c>
      <c r="AQ3" s="183">
        <f t="shared" si="5"/>
        <v>36932112</v>
      </c>
      <c r="AR3" s="183"/>
      <c r="AS3" s="183">
        <f t="shared" si="6"/>
        <v>6300000</v>
      </c>
      <c r="AT3" s="183">
        <f t="shared" si="7"/>
        <v>52304112</v>
      </c>
    </row>
    <row r="4" spans="1:50" s="179" customFormat="1" ht="24.95" hidden="1" customHeight="1" x14ac:dyDescent="0.25">
      <c r="A4" s="184">
        <v>14570</v>
      </c>
      <c r="B4" s="184" t="s">
        <v>82</v>
      </c>
      <c r="C4" s="184" t="s">
        <v>25</v>
      </c>
      <c r="D4" s="179">
        <v>1</v>
      </c>
      <c r="E4" s="179">
        <v>2025</v>
      </c>
      <c r="F4" s="179">
        <v>2025</v>
      </c>
      <c r="G4" s="177" t="s">
        <v>1484</v>
      </c>
      <c r="H4" s="184" t="s">
        <v>82</v>
      </c>
      <c r="I4" s="184" t="s">
        <v>101</v>
      </c>
      <c r="J4" s="177" t="s">
        <v>745</v>
      </c>
      <c r="K4" s="110" t="s">
        <v>744</v>
      </c>
      <c r="L4" s="184" t="s">
        <v>1485</v>
      </c>
      <c r="M4" s="184" t="s">
        <v>1486</v>
      </c>
      <c r="N4" s="179">
        <v>10</v>
      </c>
      <c r="O4" s="184" t="s">
        <v>706</v>
      </c>
      <c r="P4" s="184" t="s">
        <v>754</v>
      </c>
      <c r="Q4" s="184" t="s">
        <v>1487</v>
      </c>
      <c r="R4" s="184" t="s">
        <v>339</v>
      </c>
      <c r="S4" s="184" t="s">
        <v>22</v>
      </c>
      <c r="T4" s="184" t="s">
        <v>347</v>
      </c>
      <c r="U4" s="185">
        <v>20</v>
      </c>
      <c r="V4" s="185">
        <v>260</v>
      </c>
      <c r="W4" s="185">
        <v>16</v>
      </c>
      <c r="X4" s="179">
        <f t="shared" si="0"/>
        <v>276</v>
      </c>
      <c r="Y4" s="185">
        <v>5</v>
      </c>
      <c r="Z4" s="185" t="s">
        <v>20</v>
      </c>
      <c r="AA4" s="185" t="s">
        <v>20</v>
      </c>
      <c r="AB4" s="179" t="s">
        <v>18</v>
      </c>
      <c r="AC4" s="186" t="s">
        <v>21</v>
      </c>
      <c r="AD4" s="181" t="s">
        <v>1489</v>
      </c>
      <c r="AE4" s="179" t="s">
        <v>20</v>
      </c>
      <c r="AF4" s="186" t="s">
        <v>995</v>
      </c>
      <c r="AG4" s="174" t="s">
        <v>990</v>
      </c>
      <c r="AH4" s="179">
        <v>56</v>
      </c>
      <c r="AI4" s="179">
        <v>3</v>
      </c>
      <c r="AJ4" s="200">
        <f t="shared" si="1"/>
        <v>5520</v>
      </c>
      <c r="AK4" s="183">
        <f t="shared" si="2"/>
        <v>7434</v>
      </c>
      <c r="AL4" s="179">
        <f t="shared" si="8"/>
        <v>55.2</v>
      </c>
      <c r="AM4" s="183">
        <v>350000</v>
      </c>
      <c r="AN4" s="183">
        <f t="shared" si="9"/>
        <v>4480000</v>
      </c>
      <c r="AO4" s="183">
        <f t="shared" si="3"/>
        <v>5600000</v>
      </c>
      <c r="AP4" s="183">
        <f t="shared" si="4"/>
        <v>0</v>
      </c>
      <c r="AQ4" s="183">
        <f t="shared" si="5"/>
        <v>41035680</v>
      </c>
      <c r="AR4" s="183"/>
      <c r="AS4" s="183">
        <f t="shared" si="6"/>
        <v>7000000</v>
      </c>
      <c r="AT4" s="183">
        <f t="shared" si="7"/>
        <v>58115680</v>
      </c>
    </row>
    <row r="5" spans="1:50" s="179" customFormat="1" ht="24.95" hidden="1" customHeight="1" x14ac:dyDescent="0.25">
      <c r="A5" s="184">
        <v>14571</v>
      </c>
      <c r="B5" s="184" t="s">
        <v>82</v>
      </c>
      <c r="C5" s="184" t="s">
        <v>25</v>
      </c>
      <c r="D5" s="179">
        <v>1</v>
      </c>
      <c r="E5" s="179">
        <v>2025</v>
      </c>
      <c r="F5" s="179">
        <v>2025</v>
      </c>
      <c r="G5" s="177" t="s">
        <v>1484</v>
      </c>
      <c r="H5" s="184" t="s">
        <v>82</v>
      </c>
      <c r="I5" s="184" t="s">
        <v>101</v>
      </c>
      <c r="J5" s="177" t="s">
        <v>745</v>
      </c>
      <c r="K5" s="110" t="s">
        <v>744</v>
      </c>
      <c r="L5" s="184" t="s">
        <v>1485</v>
      </c>
      <c r="M5" s="184" t="s">
        <v>1486</v>
      </c>
      <c r="N5" s="179">
        <v>8</v>
      </c>
      <c r="O5" s="184" t="s">
        <v>709</v>
      </c>
      <c r="P5" s="184" t="s">
        <v>710</v>
      </c>
      <c r="Q5" s="184" t="s">
        <v>1487</v>
      </c>
      <c r="R5" s="184" t="s">
        <v>339</v>
      </c>
      <c r="S5" s="184" t="s">
        <v>22</v>
      </c>
      <c r="T5" s="184" t="s">
        <v>347</v>
      </c>
      <c r="U5" s="185">
        <v>20</v>
      </c>
      <c r="V5" s="185">
        <v>260</v>
      </c>
      <c r="W5" s="185">
        <v>16</v>
      </c>
      <c r="X5" s="179">
        <f t="shared" si="0"/>
        <v>276</v>
      </c>
      <c r="Y5" s="185">
        <v>5</v>
      </c>
      <c r="Z5" s="185" t="s">
        <v>20</v>
      </c>
      <c r="AA5" s="185" t="s">
        <v>20</v>
      </c>
      <c r="AB5" s="179" t="s">
        <v>18</v>
      </c>
      <c r="AC5" s="186" t="s">
        <v>21</v>
      </c>
      <c r="AD5" s="181" t="s">
        <v>1490</v>
      </c>
      <c r="AE5" s="179" t="s">
        <v>20</v>
      </c>
      <c r="AF5" s="186" t="s">
        <v>995</v>
      </c>
      <c r="AG5" s="174" t="s">
        <v>990</v>
      </c>
      <c r="AH5" s="179">
        <v>56</v>
      </c>
      <c r="AI5" s="179">
        <v>3</v>
      </c>
      <c r="AJ5" s="200">
        <f t="shared" si="1"/>
        <v>5520</v>
      </c>
      <c r="AK5" s="183">
        <f t="shared" si="2"/>
        <v>7434</v>
      </c>
      <c r="AL5" s="179">
        <f t="shared" si="8"/>
        <v>55.2</v>
      </c>
      <c r="AM5" s="183">
        <v>350000</v>
      </c>
      <c r="AN5" s="183">
        <f t="shared" si="9"/>
        <v>4480000</v>
      </c>
      <c r="AO5" s="183">
        <f t="shared" si="3"/>
        <v>5600000</v>
      </c>
      <c r="AP5" s="183">
        <f t="shared" si="4"/>
        <v>0</v>
      </c>
      <c r="AQ5" s="183">
        <f t="shared" si="5"/>
        <v>41035680</v>
      </c>
      <c r="AR5" s="183"/>
      <c r="AS5" s="183">
        <f t="shared" si="6"/>
        <v>7000000</v>
      </c>
      <c r="AT5" s="183">
        <f t="shared" si="7"/>
        <v>58115680</v>
      </c>
    </row>
    <row r="6" spans="1:50" s="179" customFormat="1" ht="24.95" hidden="1" customHeight="1" x14ac:dyDescent="0.25">
      <c r="A6" s="184">
        <v>14572</v>
      </c>
      <c r="B6" s="184" t="s">
        <v>82</v>
      </c>
      <c r="C6" s="184" t="s">
        <v>25</v>
      </c>
      <c r="D6" s="179">
        <v>1</v>
      </c>
      <c r="E6" s="179">
        <v>2025</v>
      </c>
      <c r="F6" s="179">
        <v>2025</v>
      </c>
      <c r="G6" s="177" t="s">
        <v>1484</v>
      </c>
      <c r="H6" s="184" t="s">
        <v>82</v>
      </c>
      <c r="I6" s="184" t="s">
        <v>101</v>
      </c>
      <c r="J6" s="177" t="s">
        <v>1643</v>
      </c>
      <c r="K6" s="184" t="s">
        <v>1644</v>
      </c>
      <c r="L6" s="184" t="s">
        <v>1485</v>
      </c>
      <c r="M6" s="184" t="s">
        <v>1486</v>
      </c>
      <c r="N6" s="179">
        <v>10</v>
      </c>
      <c r="O6" s="184" t="s">
        <v>706</v>
      </c>
      <c r="P6" s="184" t="s">
        <v>774</v>
      </c>
      <c r="Q6" s="184" t="s">
        <v>1487</v>
      </c>
      <c r="R6" s="184" t="s">
        <v>339</v>
      </c>
      <c r="S6" s="184" t="s">
        <v>22</v>
      </c>
      <c r="T6" s="184" t="s">
        <v>347</v>
      </c>
      <c r="U6" s="185">
        <v>20</v>
      </c>
      <c r="V6" s="185">
        <v>160</v>
      </c>
      <c r="W6" s="185">
        <v>16</v>
      </c>
      <c r="X6" s="179">
        <f t="shared" si="0"/>
        <v>176</v>
      </c>
      <c r="Y6" s="185">
        <v>5</v>
      </c>
      <c r="Z6" s="185" t="s">
        <v>20</v>
      </c>
      <c r="AA6" s="185" t="s">
        <v>20</v>
      </c>
      <c r="AB6" s="179" t="s">
        <v>18</v>
      </c>
      <c r="AC6" s="186" t="s">
        <v>21</v>
      </c>
      <c r="AD6" s="181" t="s">
        <v>1645</v>
      </c>
      <c r="AE6" s="179" t="s">
        <v>18</v>
      </c>
      <c r="AF6" s="181"/>
      <c r="AG6" s="174" t="s">
        <v>990</v>
      </c>
      <c r="AH6" s="179">
        <v>36</v>
      </c>
      <c r="AI6" s="179">
        <v>3</v>
      </c>
      <c r="AJ6" s="200">
        <f t="shared" si="1"/>
        <v>3520</v>
      </c>
      <c r="AK6" s="183">
        <f t="shared" si="2"/>
        <v>7434</v>
      </c>
      <c r="AL6" s="179">
        <f t="shared" si="8"/>
        <v>35.200000000000003</v>
      </c>
      <c r="AM6" s="183">
        <v>0</v>
      </c>
      <c r="AN6" s="183">
        <f t="shared" si="9"/>
        <v>2880000</v>
      </c>
      <c r="AO6" s="183">
        <f t="shared" si="3"/>
        <v>3600000</v>
      </c>
      <c r="AP6" s="183">
        <f t="shared" si="4"/>
        <v>0</v>
      </c>
      <c r="AQ6" s="183">
        <f t="shared" si="5"/>
        <v>26167680</v>
      </c>
      <c r="AR6" s="183"/>
      <c r="AS6" s="183">
        <f t="shared" si="6"/>
        <v>0</v>
      </c>
      <c r="AT6" s="183">
        <f t="shared" si="7"/>
        <v>32647680</v>
      </c>
    </row>
    <row r="7" spans="1:50" s="179" customFormat="1" ht="24.95" hidden="1" customHeight="1" x14ac:dyDescent="0.25">
      <c r="A7" s="184">
        <v>14574</v>
      </c>
      <c r="B7" s="184" t="s">
        <v>82</v>
      </c>
      <c r="C7" s="184" t="s">
        <v>25</v>
      </c>
      <c r="D7" s="179">
        <v>1</v>
      </c>
      <c r="E7" s="179">
        <v>2025</v>
      </c>
      <c r="F7" s="179">
        <v>2025</v>
      </c>
      <c r="G7" s="177" t="s">
        <v>1484</v>
      </c>
      <c r="H7" s="184" t="s">
        <v>82</v>
      </c>
      <c r="I7" s="184" t="s">
        <v>101</v>
      </c>
      <c r="J7" s="177" t="s">
        <v>1646</v>
      </c>
      <c r="K7" s="184" t="s">
        <v>1647</v>
      </c>
      <c r="L7" s="184" t="s">
        <v>1485</v>
      </c>
      <c r="M7" s="184" t="s">
        <v>1486</v>
      </c>
      <c r="N7" s="179">
        <v>10</v>
      </c>
      <c r="O7" s="184" t="s">
        <v>706</v>
      </c>
      <c r="P7" s="184" t="s">
        <v>707</v>
      </c>
      <c r="Q7" s="184" t="s">
        <v>1487</v>
      </c>
      <c r="R7" s="184" t="s">
        <v>339</v>
      </c>
      <c r="S7" s="184" t="s">
        <v>22</v>
      </c>
      <c r="T7" s="184" t="s">
        <v>347</v>
      </c>
      <c r="U7" s="185">
        <v>20</v>
      </c>
      <c r="V7" s="185">
        <v>190</v>
      </c>
      <c r="W7" s="185">
        <v>16</v>
      </c>
      <c r="X7" s="179">
        <f t="shared" si="0"/>
        <v>206</v>
      </c>
      <c r="Y7" s="185">
        <v>5</v>
      </c>
      <c r="Z7" s="185" t="s">
        <v>20</v>
      </c>
      <c r="AA7" s="185" t="s">
        <v>20</v>
      </c>
      <c r="AB7" s="179" t="s">
        <v>18</v>
      </c>
      <c r="AC7" s="186" t="s">
        <v>21</v>
      </c>
      <c r="AD7" s="181" t="s">
        <v>1648</v>
      </c>
      <c r="AE7" s="179" t="s">
        <v>18</v>
      </c>
      <c r="AF7" s="181"/>
      <c r="AG7" s="174" t="s">
        <v>990</v>
      </c>
      <c r="AH7" s="179">
        <v>42</v>
      </c>
      <c r="AI7" s="179">
        <v>3</v>
      </c>
      <c r="AJ7" s="200">
        <f t="shared" si="1"/>
        <v>4120</v>
      </c>
      <c r="AK7" s="183">
        <f t="shared" si="2"/>
        <v>7434</v>
      </c>
      <c r="AL7" s="179">
        <f t="shared" si="8"/>
        <v>41.2</v>
      </c>
      <c r="AM7" s="183">
        <v>0</v>
      </c>
      <c r="AN7" s="183">
        <f t="shared" si="9"/>
        <v>3360000</v>
      </c>
      <c r="AO7" s="183">
        <f t="shared" si="3"/>
        <v>4200000</v>
      </c>
      <c r="AP7" s="183">
        <f t="shared" si="4"/>
        <v>0</v>
      </c>
      <c r="AQ7" s="183">
        <f t="shared" si="5"/>
        <v>30628080</v>
      </c>
      <c r="AR7" s="183"/>
      <c r="AS7" s="183">
        <f t="shared" si="6"/>
        <v>0</v>
      </c>
      <c r="AT7" s="183">
        <f t="shared" si="7"/>
        <v>38188080</v>
      </c>
    </row>
    <row r="8" spans="1:50" s="179" customFormat="1" ht="24.95" hidden="1" customHeight="1" x14ac:dyDescent="0.25">
      <c r="A8" s="184">
        <v>14575</v>
      </c>
      <c r="B8" s="184" t="s">
        <v>82</v>
      </c>
      <c r="C8" s="184" t="s">
        <v>25</v>
      </c>
      <c r="D8" s="179">
        <v>1</v>
      </c>
      <c r="E8" s="179">
        <v>2025</v>
      </c>
      <c r="F8" s="179">
        <v>2025</v>
      </c>
      <c r="G8" s="177" t="s">
        <v>1484</v>
      </c>
      <c r="H8" s="184" t="s">
        <v>82</v>
      </c>
      <c r="I8" s="184" t="s">
        <v>101</v>
      </c>
      <c r="J8" s="177" t="s">
        <v>1649</v>
      </c>
      <c r="K8" s="184" t="s">
        <v>1650</v>
      </c>
      <c r="L8" s="184" t="s">
        <v>1485</v>
      </c>
      <c r="M8" s="184" t="s">
        <v>1486</v>
      </c>
      <c r="N8" s="179">
        <v>8</v>
      </c>
      <c r="O8" s="184" t="s">
        <v>709</v>
      </c>
      <c r="P8" s="184" t="s">
        <v>735</v>
      </c>
      <c r="Q8" s="184" t="s">
        <v>1487</v>
      </c>
      <c r="R8" s="184" t="s">
        <v>339</v>
      </c>
      <c r="S8" s="184" t="s">
        <v>22</v>
      </c>
      <c r="T8" s="184" t="s">
        <v>347</v>
      </c>
      <c r="U8" s="185">
        <v>20</v>
      </c>
      <c r="V8" s="185">
        <v>96</v>
      </c>
      <c r="W8" s="185">
        <v>16</v>
      </c>
      <c r="X8" s="179">
        <f t="shared" si="0"/>
        <v>112</v>
      </c>
      <c r="Y8" s="185">
        <v>5</v>
      </c>
      <c r="Z8" s="185" t="s">
        <v>20</v>
      </c>
      <c r="AA8" s="185" t="s">
        <v>20</v>
      </c>
      <c r="AB8" s="179" t="s">
        <v>18</v>
      </c>
      <c r="AC8" s="186" t="s">
        <v>21</v>
      </c>
      <c r="AD8" s="181" t="s">
        <v>1651</v>
      </c>
      <c r="AE8" s="179" t="s">
        <v>18</v>
      </c>
      <c r="AF8" s="181"/>
      <c r="AG8" s="174" t="s">
        <v>990</v>
      </c>
      <c r="AH8" s="179">
        <v>23</v>
      </c>
      <c r="AI8" s="179">
        <v>3</v>
      </c>
      <c r="AJ8" s="200">
        <f t="shared" si="1"/>
        <v>2240</v>
      </c>
      <c r="AK8" s="183">
        <f t="shared" si="2"/>
        <v>7434</v>
      </c>
      <c r="AL8" s="179">
        <f t="shared" si="8"/>
        <v>22.4</v>
      </c>
      <c r="AM8" s="183">
        <v>0</v>
      </c>
      <c r="AN8" s="183">
        <f t="shared" si="9"/>
        <v>1840000</v>
      </c>
      <c r="AO8" s="183">
        <f t="shared" si="3"/>
        <v>2300000</v>
      </c>
      <c r="AP8" s="183">
        <f t="shared" si="4"/>
        <v>0</v>
      </c>
      <c r="AQ8" s="183">
        <f t="shared" si="5"/>
        <v>16652160</v>
      </c>
      <c r="AR8" s="183"/>
      <c r="AS8" s="183">
        <f t="shared" si="6"/>
        <v>0</v>
      </c>
      <c r="AT8" s="183">
        <f t="shared" si="7"/>
        <v>20792160</v>
      </c>
    </row>
    <row r="9" spans="1:50" s="179" customFormat="1" ht="24.95" hidden="1" customHeight="1" x14ac:dyDescent="0.25">
      <c r="A9" s="184">
        <v>14576</v>
      </c>
      <c r="B9" s="184" t="s">
        <v>82</v>
      </c>
      <c r="C9" s="184" t="s">
        <v>25</v>
      </c>
      <c r="D9" s="179">
        <v>1</v>
      </c>
      <c r="E9" s="179">
        <v>2025</v>
      </c>
      <c r="F9" s="179">
        <v>2025</v>
      </c>
      <c r="G9" s="177" t="s">
        <v>1484</v>
      </c>
      <c r="H9" s="184" t="s">
        <v>82</v>
      </c>
      <c r="I9" s="184" t="s">
        <v>101</v>
      </c>
      <c r="J9" s="177" t="s">
        <v>1649</v>
      </c>
      <c r="K9" s="184" t="s">
        <v>1650</v>
      </c>
      <c r="L9" s="184" t="s">
        <v>1485</v>
      </c>
      <c r="M9" s="184" t="s">
        <v>1486</v>
      </c>
      <c r="N9" s="179">
        <v>13</v>
      </c>
      <c r="O9" s="184" t="s">
        <v>382</v>
      </c>
      <c r="P9" s="184" t="s">
        <v>1652</v>
      </c>
      <c r="Q9" s="184" t="s">
        <v>1487</v>
      </c>
      <c r="R9" s="184" t="s">
        <v>339</v>
      </c>
      <c r="S9" s="184" t="s">
        <v>22</v>
      </c>
      <c r="T9" s="184" t="s">
        <v>347</v>
      </c>
      <c r="U9" s="185">
        <v>20</v>
      </c>
      <c r="V9" s="185">
        <v>96</v>
      </c>
      <c r="W9" s="185">
        <v>16</v>
      </c>
      <c r="X9" s="179">
        <f t="shared" si="0"/>
        <v>112</v>
      </c>
      <c r="Y9" s="185">
        <v>5</v>
      </c>
      <c r="Z9" s="185" t="s">
        <v>20</v>
      </c>
      <c r="AA9" s="185" t="s">
        <v>20</v>
      </c>
      <c r="AB9" s="179" t="s">
        <v>18</v>
      </c>
      <c r="AC9" s="186" t="s">
        <v>21</v>
      </c>
      <c r="AD9" s="181" t="s">
        <v>1653</v>
      </c>
      <c r="AE9" s="179" t="s">
        <v>18</v>
      </c>
      <c r="AF9" s="181"/>
      <c r="AG9" s="174" t="s">
        <v>990</v>
      </c>
      <c r="AH9" s="179">
        <v>23</v>
      </c>
      <c r="AI9" s="179">
        <v>3</v>
      </c>
      <c r="AJ9" s="200">
        <f t="shared" si="1"/>
        <v>2240</v>
      </c>
      <c r="AK9" s="183">
        <f t="shared" si="2"/>
        <v>7434</v>
      </c>
      <c r="AL9" s="179">
        <f t="shared" si="8"/>
        <v>22.4</v>
      </c>
      <c r="AM9" s="183">
        <v>0</v>
      </c>
      <c r="AN9" s="183">
        <f t="shared" si="9"/>
        <v>1840000</v>
      </c>
      <c r="AO9" s="183">
        <f t="shared" si="3"/>
        <v>2300000</v>
      </c>
      <c r="AP9" s="183">
        <f t="shared" si="4"/>
        <v>0</v>
      </c>
      <c r="AQ9" s="183">
        <f t="shared" si="5"/>
        <v>16652160</v>
      </c>
      <c r="AR9" s="183"/>
      <c r="AS9" s="183">
        <f t="shared" si="6"/>
        <v>0</v>
      </c>
      <c r="AT9" s="183">
        <f t="shared" si="7"/>
        <v>20792160</v>
      </c>
    </row>
    <row r="10" spans="1:50" s="179" customFormat="1" ht="24.95" hidden="1" customHeight="1" x14ac:dyDescent="0.25">
      <c r="A10" s="184">
        <v>14577</v>
      </c>
      <c r="B10" s="184" t="s">
        <v>82</v>
      </c>
      <c r="C10" s="184" t="s">
        <v>25</v>
      </c>
      <c r="D10" s="179">
        <v>1</v>
      </c>
      <c r="E10" s="179">
        <v>2025</v>
      </c>
      <c r="F10" s="179">
        <v>2025</v>
      </c>
      <c r="G10" s="177" t="s">
        <v>1484</v>
      </c>
      <c r="H10" s="184" t="s">
        <v>82</v>
      </c>
      <c r="I10" s="184" t="s">
        <v>101</v>
      </c>
      <c r="J10" s="177" t="s">
        <v>1654</v>
      </c>
      <c r="K10" s="184" t="s">
        <v>1655</v>
      </c>
      <c r="L10" s="184" t="s">
        <v>1485</v>
      </c>
      <c r="M10" s="184" t="s">
        <v>1486</v>
      </c>
      <c r="N10" s="179">
        <v>6</v>
      </c>
      <c r="O10" s="184" t="s">
        <v>796</v>
      </c>
      <c r="P10" s="184" t="s">
        <v>818</v>
      </c>
      <c r="Q10" s="184" t="s">
        <v>1487</v>
      </c>
      <c r="R10" s="184" t="s">
        <v>339</v>
      </c>
      <c r="S10" s="184" t="s">
        <v>22</v>
      </c>
      <c r="T10" s="184" t="s">
        <v>347</v>
      </c>
      <c r="U10" s="185">
        <v>20</v>
      </c>
      <c r="V10" s="185">
        <v>184</v>
      </c>
      <c r="W10" s="185">
        <v>16</v>
      </c>
      <c r="X10" s="179">
        <f t="shared" si="0"/>
        <v>200</v>
      </c>
      <c r="Y10" s="185">
        <v>5</v>
      </c>
      <c r="Z10" s="185" t="s">
        <v>20</v>
      </c>
      <c r="AA10" s="185" t="s">
        <v>20</v>
      </c>
      <c r="AB10" s="179" t="s">
        <v>18</v>
      </c>
      <c r="AC10" s="186" t="s">
        <v>21</v>
      </c>
      <c r="AD10" s="181" t="s">
        <v>1656</v>
      </c>
      <c r="AE10" s="179" t="s">
        <v>18</v>
      </c>
      <c r="AF10" s="181"/>
      <c r="AG10" s="174" t="s">
        <v>990</v>
      </c>
      <c r="AH10" s="179">
        <v>40</v>
      </c>
      <c r="AI10" s="179">
        <v>2</v>
      </c>
      <c r="AJ10" s="200">
        <f t="shared" si="1"/>
        <v>4000</v>
      </c>
      <c r="AK10" s="183">
        <f t="shared" si="2"/>
        <v>6372</v>
      </c>
      <c r="AL10" s="179">
        <f t="shared" si="8"/>
        <v>40</v>
      </c>
      <c r="AM10" s="183">
        <v>0</v>
      </c>
      <c r="AN10" s="183">
        <f t="shared" si="9"/>
        <v>3200000</v>
      </c>
      <c r="AO10" s="183">
        <f t="shared" si="3"/>
        <v>4000000</v>
      </c>
      <c r="AP10" s="183">
        <f t="shared" si="4"/>
        <v>0</v>
      </c>
      <c r="AQ10" s="183">
        <f t="shared" si="5"/>
        <v>25488000</v>
      </c>
      <c r="AR10" s="183"/>
      <c r="AS10" s="183">
        <f t="shared" si="6"/>
        <v>0</v>
      </c>
      <c r="AT10" s="183">
        <f t="shared" si="7"/>
        <v>32688000</v>
      </c>
    </row>
    <row r="11" spans="1:50" s="179" customFormat="1" ht="24.95" hidden="1" customHeight="1" x14ac:dyDescent="0.25">
      <c r="A11" s="184">
        <v>14578</v>
      </c>
      <c r="B11" s="184" t="s">
        <v>82</v>
      </c>
      <c r="C11" s="184" t="s">
        <v>25</v>
      </c>
      <c r="D11" s="179">
        <v>1</v>
      </c>
      <c r="E11" s="179">
        <v>2025</v>
      </c>
      <c r="F11" s="179">
        <v>2025</v>
      </c>
      <c r="G11" s="177" t="s">
        <v>1484</v>
      </c>
      <c r="H11" s="184" t="s">
        <v>82</v>
      </c>
      <c r="I11" s="184" t="s">
        <v>101</v>
      </c>
      <c r="J11" s="177" t="s">
        <v>1654</v>
      </c>
      <c r="K11" s="184" t="s">
        <v>1655</v>
      </c>
      <c r="L11" s="184" t="s">
        <v>1485</v>
      </c>
      <c r="M11" s="184" t="s">
        <v>1486</v>
      </c>
      <c r="N11" s="179">
        <v>13</v>
      </c>
      <c r="O11" s="184" t="s">
        <v>382</v>
      </c>
      <c r="P11" s="184" t="s">
        <v>714</v>
      </c>
      <c r="Q11" s="184" t="s">
        <v>1487</v>
      </c>
      <c r="R11" s="184" t="s">
        <v>339</v>
      </c>
      <c r="S11" s="184" t="s">
        <v>22</v>
      </c>
      <c r="T11" s="184" t="s">
        <v>347</v>
      </c>
      <c r="U11" s="185">
        <v>20</v>
      </c>
      <c r="V11" s="185">
        <v>184</v>
      </c>
      <c r="W11" s="185">
        <v>16</v>
      </c>
      <c r="X11" s="179">
        <f t="shared" si="0"/>
        <v>200</v>
      </c>
      <c r="Y11" s="185">
        <v>5</v>
      </c>
      <c r="Z11" s="185" t="s">
        <v>20</v>
      </c>
      <c r="AA11" s="185" t="s">
        <v>20</v>
      </c>
      <c r="AB11" s="179" t="s">
        <v>18</v>
      </c>
      <c r="AC11" s="186" t="s">
        <v>21</v>
      </c>
      <c r="AD11" s="181" t="s">
        <v>1657</v>
      </c>
      <c r="AE11" s="179" t="s">
        <v>18</v>
      </c>
      <c r="AF11" s="181"/>
      <c r="AG11" s="174" t="s">
        <v>990</v>
      </c>
      <c r="AH11" s="179">
        <v>40</v>
      </c>
      <c r="AI11" s="179">
        <v>2</v>
      </c>
      <c r="AJ11" s="200">
        <f t="shared" si="1"/>
        <v>4000</v>
      </c>
      <c r="AK11" s="183">
        <f t="shared" si="2"/>
        <v>6372</v>
      </c>
      <c r="AL11" s="179">
        <f t="shared" si="8"/>
        <v>40</v>
      </c>
      <c r="AM11" s="183">
        <v>0</v>
      </c>
      <c r="AN11" s="183">
        <f t="shared" si="9"/>
        <v>3200000</v>
      </c>
      <c r="AO11" s="183">
        <f t="shared" si="3"/>
        <v>4000000</v>
      </c>
      <c r="AP11" s="183">
        <f t="shared" si="4"/>
        <v>0</v>
      </c>
      <c r="AQ11" s="183">
        <f t="shared" si="5"/>
        <v>25488000</v>
      </c>
      <c r="AR11" s="183"/>
      <c r="AS11" s="183">
        <f t="shared" si="6"/>
        <v>0</v>
      </c>
      <c r="AT11" s="183">
        <f t="shared" si="7"/>
        <v>32688000</v>
      </c>
    </row>
    <row r="12" spans="1:50" s="179" customFormat="1" ht="24.95" hidden="1" customHeight="1" x14ac:dyDescent="0.25">
      <c r="A12" s="184">
        <v>14579</v>
      </c>
      <c r="B12" s="184" t="s">
        <v>82</v>
      </c>
      <c r="C12" s="184" t="s">
        <v>25</v>
      </c>
      <c r="D12" s="179">
        <v>1</v>
      </c>
      <c r="E12" s="179">
        <v>2025</v>
      </c>
      <c r="F12" s="179">
        <v>2025</v>
      </c>
      <c r="G12" s="177" t="s">
        <v>1484</v>
      </c>
      <c r="H12" s="184" t="s">
        <v>82</v>
      </c>
      <c r="I12" s="184" t="s">
        <v>101</v>
      </c>
      <c r="J12" s="177" t="s">
        <v>1654</v>
      </c>
      <c r="K12" s="184" t="s">
        <v>1655</v>
      </c>
      <c r="L12" s="184" t="s">
        <v>1485</v>
      </c>
      <c r="M12" s="184" t="s">
        <v>1486</v>
      </c>
      <c r="N12" s="179">
        <v>13</v>
      </c>
      <c r="O12" s="184" t="s">
        <v>382</v>
      </c>
      <c r="P12" s="184" t="s">
        <v>730</v>
      </c>
      <c r="Q12" s="184" t="s">
        <v>1487</v>
      </c>
      <c r="R12" s="184" t="s">
        <v>339</v>
      </c>
      <c r="S12" s="184" t="s">
        <v>22</v>
      </c>
      <c r="T12" s="184" t="s">
        <v>347</v>
      </c>
      <c r="U12" s="185">
        <v>20</v>
      </c>
      <c r="V12" s="185">
        <v>184</v>
      </c>
      <c r="W12" s="185">
        <v>16</v>
      </c>
      <c r="X12" s="179">
        <f t="shared" si="0"/>
        <v>200</v>
      </c>
      <c r="Y12" s="185">
        <v>5</v>
      </c>
      <c r="Z12" s="185" t="s">
        <v>20</v>
      </c>
      <c r="AA12" s="185" t="s">
        <v>20</v>
      </c>
      <c r="AB12" s="179" t="s">
        <v>18</v>
      </c>
      <c r="AC12" s="186" t="s">
        <v>21</v>
      </c>
      <c r="AD12" s="181" t="s">
        <v>1658</v>
      </c>
      <c r="AE12" s="179" t="s">
        <v>18</v>
      </c>
      <c r="AF12" s="181"/>
      <c r="AG12" s="174" t="s">
        <v>990</v>
      </c>
      <c r="AH12" s="179">
        <v>40</v>
      </c>
      <c r="AI12" s="179">
        <v>2</v>
      </c>
      <c r="AJ12" s="200">
        <f t="shared" si="1"/>
        <v>4000</v>
      </c>
      <c r="AK12" s="183">
        <f t="shared" si="2"/>
        <v>6372</v>
      </c>
      <c r="AL12" s="179">
        <f t="shared" si="8"/>
        <v>40</v>
      </c>
      <c r="AM12" s="183">
        <v>0</v>
      </c>
      <c r="AN12" s="183">
        <f t="shared" si="9"/>
        <v>3200000</v>
      </c>
      <c r="AO12" s="183">
        <f t="shared" si="3"/>
        <v>4000000</v>
      </c>
      <c r="AP12" s="183">
        <f t="shared" si="4"/>
        <v>0</v>
      </c>
      <c r="AQ12" s="183">
        <f t="shared" si="5"/>
        <v>25488000</v>
      </c>
      <c r="AR12" s="183"/>
      <c r="AS12" s="183">
        <f t="shared" si="6"/>
        <v>0</v>
      </c>
      <c r="AT12" s="183">
        <f t="shared" si="7"/>
        <v>32688000</v>
      </c>
    </row>
    <row r="13" spans="1:50" s="179" customFormat="1" ht="24.95" hidden="1" customHeight="1" x14ac:dyDescent="0.25">
      <c r="A13" s="184">
        <v>14580</v>
      </c>
      <c r="B13" s="184" t="s">
        <v>82</v>
      </c>
      <c r="C13" s="184" t="s">
        <v>25</v>
      </c>
      <c r="D13" s="179">
        <v>1</v>
      </c>
      <c r="E13" s="179">
        <v>2025</v>
      </c>
      <c r="F13" s="179">
        <v>2025</v>
      </c>
      <c r="G13" s="177" t="s">
        <v>1484</v>
      </c>
      <c r="H13" s="184" t="s">
        <v>82</v>
      </c>
      <c r="I13" s="184" t="s">
        <v>101</v>
      </c>
      <c r="J13" s="177" t="s">
        <v>770</v>
      </c>
      <c r="K13" s="184" t="s">
        <v>769</v>
      </c>
      <c r="L13" s="184" t="s">
        <v>1485</v>
      </c>
      <c r="M13" s="184" t="s">
        <v>1486</v>
      </c>
      <c r="N13" s="179">
        <v>8</v>
      </c>
      <c r="O13" s="184" t="s">
        <v>709</v>
      </c>
      <c r="P13" s="184" t="s">
        <v>710</v>
      </c>
      <c r="Q13" s="184" t="s">
        <v>1487</v>
      </c>
      <c r="R13" s="184" t="s">
        <v>339</v>
      </c>
      <c r="S13" s="184" t="s">
        <v>22</v>
      </c>
      <c r="T13" s="184" t="s">
        <v>347</v>
      </c>
      <c r="U13" s="185">
        <v>20</v>
      </c>
      <c r="V13" s="185">
        <v>240</v>
      </c>
      <c r="W13" s="185">
        <v>16</v>
      </c>
      <c r="X13" s="179">
        <f t="shared" si="0"/>
        <v>256</v>
      </c>
      <c r="Y13" s="185">
        <v>5</v>
      </c>
      <c r="Z13" s="185" t="s">
        <v>20</v>
      </c>
      <c r="AA13" s="185" t="s">
        <v>20</v>
      </c>
      <c r="AB13" s="179" t="s">
        <v>18</v>
      </c>
      <c r="AC13" s="186" t="s">
        <v>21</v>
      </c>
      <c r="AD13" s="181" t="s">
        <v>1659</v>
      </c>
      <c r="AE13" s="179" t="s">
        <v>18</v>
      </c>
      <c r="AF13" s="181"/>
      <c r="AG13" s="174" t="s">
        <v>990</v>
      </c>
      <c r="AH13" s="179">
        <v>52</v>
      </c>
      <c r="AI13" s="179">
        <v>2</v>
      </c>
      <c r="AJ13" s="200">
        <f t="shared" si="1"/>
        <v>5120</v>
      </c>
      <c r="AK13" s="183">
        <f t="shared" si="2"/>
        <v>6372</v>
      </c>
      <c r="AL13" s="179">
        <f t="shared" si="8"/>
        <v>51.2</v>
      </c>
      <c r="AM13" s="183">
        <v>0</v>
      </c>
      <c r="AN13" s="183">
        <f t="shared" si="9"/>
        <v>4160000</v>
      </c>
      <c r="AO13" s="183">
        <f t="shared" si="3"/>
        <v>5200000</v>
      </c>
      <c r="AP13" s="183">
        <f t="shared" si="4"/>
        <v>0</v>
      </c>
      <c r="AQ13" s="183">
        <f t="shared" si="5"/>
        <v>32624640</v>
      </c>
      <c r="AR13" s="183"/>
      <c r="AS13" s="183">
        <f t="shared" si="6"/>
        <v>0</v>
      </c>
      <c r="AT13" s="183">
        <f t="shared" si="7"/>
        <v>41984640</v>
      </c>
    </row>
    <row r="14" spans="1:50" s="179" customFormat="1" ht="24.95" hidden="1" customHeight="1" x14ac:dyDescent="0.25">
      <c r="A14" s="184">
        <v>14581</v>
      </c>
      <c r="B14" s="184" t="s">
        <v>82</v>
      </c>
      <c r="C14" s="184" t="s">
        <v>25</v>
      </c>
      <c r="D14" s="179">
        <v>1</v>
      </c>
      <c r="E14" s="179">
        <v>2025</v>
      </c>
      <c r="F14" s="179">
        <v>2025</v>
      </c>
      <c r="G14" s="177" t="s">
        <v>1484</v>
      </c>
      <c r="H14" s="184" t="s">
        <v>82</v>
      </c>
      <c r="I14" s="184" t="s">
        <v>101</v>
      </c>
      <c r="J14" s="177" t="s">
        <v>770</v>
      </c>
      <c r="K14" s="184" t="s">
        <v>769</v>
      </c>
      <c r="L14" s="184" t="s">
        <v>1485</v>
      </c>
      <c r="M14" s="184" t="s">
        <v>1486</v>
      </c>
      <c r="N14" s="179">
        <v>13</v>
      </c>
      <c r="O14" s="184" t="s">
        <v>382</v>
      </c>
      <c r="P14" s="184" t="s">
        <v>724</v>
      </c>
      <c r="Q14" s="184" t="s">
        <v>1487</v>
      </c>
      <c r="R14" s="184" t="s">
        <v>339</v>
      </c>
      <c r="S14" s="184" t="s">
        <v>22</v>
      </c>
      <c r="T14" s="184" t="s">
        <v>347</v>
      </c>
      <c r="U14" s="185">
        <v>19</v>
      </c>
      <c r="V14" s="185">
        <v>240</v>
      </c>
      <c r="W14" s="185">
        <v>16</v>
      </c>
      <c r="X14" s="179">
        <f t="shared" si="0"/>
        <v>256</v>
      </c>
      <c r="Y14" s="185">
        <v>5</v>
      </c>
      <c r="Z14" s="185" t="s">
        <v>20</v>
      </c>
      <c r="AA14" s="185" t="s">
        <v>20</v>
      </c>
      <c r="AB14" s="179" t="s">
        <v>18</v>
      </c>
      <c r="AC14" s="186" t="s">
        <v>21</v>
      </c>
      <c r="AD14" s="181" t="s">
        <v>1660</v>
      </c>
      <c r="AE14" s="179" t="s">
        <v>18</v>
      </c>
      <c r="AF14" s="181"/>
      <c r="AG14" s="174" t="s">
        <v>990</v>
      </c>
      <c r="AH14" s="179">
        <v>52</v>
      </c>
      <c r="AI14" s="179">
        <v>2</v>
      </c>
      <c r="AJ14" s="200">
        <f t="shared" si="1"/>
        <v>4864</v>
      </c>
      <c r="AK14" s="183">
        <f t="shared" si="2"/>
        <v>6372</v>
      </c>
      <c r="AL14" s="179">
        <f t="shared" si="8"/>
        <v>51.2</v>
      </c>
      <c r="AM14" s="183">
        <v>0</v>
      </c>
      <c r="AN14" s="183">
        <f t="shared" si="9"/>
        <v>3952000</v>
      </c>
      <c r="AO14" s="183">
        <f t="shared" si="3"/>
        <v>4940000</v>
      </c>
      <c r="AP14" s="183">
        <f t="shared" si="4"/>
        <v>0</v>
      </c>
      <c r="AQ14" s="183">
        <f t="shared" si="5"/>
        <v>30993408</v>
      </c>
      <c r="AR14" s="183"/>
      <c r="AS14" s="183">
        <f t="shared" si="6"/>
        <v>0</v>
      </c>
      <c r="AT14" s="183">
        <f t="shared" si="7"/>
        <v>39885408</v>
      </c>
    </row>
    <row r="15" spans="1:50" s="179" customFormat="1" ht="24.95" hidden="1" customHeight="1" x14ac:dyDescent="0.25">
      <c r="A15" s="184">
        <v>14582</v>
      </c>
      <c r="B15" s="184" t="s">
        <v>82</v>
      </c>
      <c r="C15" s="184" t="s">
        <v>25</v>
      </c>
      <c r="D15" s="179">
        <v>1</v>
      </c>
      <c r="E15" s="179">
        <v>2025</v>
      </c>
      <c r="F15" s="179">
        <v>2025</v>
      </c>
      <c r="G15" s="177" t="s">
        <v>1484</v>
      </c>
      <c r="H15" s="184" t="s">
        <v>82</v>
      </c>
      <c r="I15" s="184" t="s">
        <v>101</v>
      </c>
      <c r="J15" s="177" t="s">
        <v>770</v>
      </c>
      <c r="K15" s="184" t="s">
        <v>769</v>
      </c>
      <c r="L15" s="184" t="s">
        <v>1485</v>
      </c>
      <c r="M15" s="184" t="s">
        <v>1486</v>
      </c>
      <c r="N15" s="179">
        <v>13</v>
      </c>
      <c r="O15" s="184" t="s">
        <v>382</v>
      </c>
      <c r="P15" s="184" t="s">
        <v>714</v>
      </c>
      <c r="Q15" s="184" t="s">
        <v>1487</v>
      </c>
      <c r="R15" s="184" t="s">
        <v>339</v>
      </c>
      <c r="S15" s="184" t="s">
        <v>22</v>
      </c>
      <c r="T15" s="184" t="s">
        <v>347</v>
      </c>
      <c r="U15" s="185">
        <v>19</v>
      </c>
      <c r="V15" s="185">
        <v>240</v>
      </c>
      <c r="W15" s="185">
        <v>16</v>
      </c>
      <c r="X15" s="179">
        <f t="shared" si="0"/>
        <v>256</v>
      </c>
      <c r="Y15" s="185">
        <v>5</v>
      </c>
      <c r="Z15" s="185" t="s">
        <v>20</v>
      </c>
      <c r="AA15" s="185" t="s">
        <v>20</v>
      </c>
      <c r="AB15" s="179" t="s">
        <v>18</v>
      </c>
      <c r="AC15" s="186" t="s">
        <v>21</v>
      </c>
      <c r="AD15" s="181" t="s">
        <v>1661</v>
      </c>
      <c r="AE15" s="179" t="s">
        <v>18</v>
      </c>
      <c r="AF15" s="181"/>
      <c r="AG15" s="174" t="s">
        <v>990</v>
      </c>
      <c r="AH15" s="179">
        <v>52</v>
      </c>
      <c r="AI15" s="179">
        <v>2</v>
      </c>
      <c r="AJ15" s="200">
        <f t="shared" si="1"/>
        <v>4864</v>
      </c>
      <c r="AK15" s="183">
        <f t="shared" si="2"/>
        <v>6372</v>
      </c>
      <c r="AL15" s="179">
        <f t="shared" si="8"/>
        <v>51.2</v>
      </c>
      <c r="AM15" s="183">
        <v>0</v>
      </c>
      <c r="AN15" s="183">
        <f t="shared" si="9"/>
        <v>3952000</v>
      </c>
      <c r="AO15" s="183">
        <f t="shared" si="3"/>
        <v>4940000</v>
      </c>
      <c r="AP15" s="183">
        <f t="shared" si="4"/>
        <v>0</v>
      </c>
      <c r="AQ15" s="183">
        <f t="shared" si="5"/>
        <v>30993408</v>
      </c>
      <c r="AR15" s="183"/>
      <c r="AS15" s="183">
        <f t="shared" si="6"/>
        <v>0</v>
      </c>
      <c r="AT15" s="183">
        <f t="shared" si="7"/>
        <v>39885408</v>
      </c>
    </row>
    <row r="16" spans="1:50" s="179" customFormat="1" ht="24.95" hidden="1" customHeight="1" x14ac:dyDescent="0.25">
      <c r="A16" s="184">
        <v>14583</v>
      </c>
      <c r="B16" s="184" t="s">
        <v>82</v>
      </c>
      <c r="C16" s="184" t="s">
        <v>25</v>
      </c>
      <c r="D16" s="179">
        <v>1</v>
      </c>
      <c r="E16" s="179">
        <v>2025</v>
      </c>
      <c r="F16" s="179">
        <v>2025</v>
      </c>
      <c r="G16" s="177" t="s">
        <v>1484</v>
      </c>
      <c r="H16" s="184" t="s">
        <v>82</v>
      </c>
      <c r="I16" s="184" t="s">
        <v>101</v>
      </c>
      <c r="J16" s="177" t="s">
        <v>770</v>
      </c>
      <c r="K16" s="184" t="s">
        <v>769</v>
      </c>
      <c r="L16" s="184" t="s">
        <v>1485</v>
      </c>
      <c r="M16" s="184" t="s">
        <v>1486</v>
      </c>
      <c r="N16" s="179">
        <v>13</v>
      </c>
      <c r="O16" s="184" t="s">
        <v>382</v>
      </c>
      <c r="P16" s="184" t="s">
        <v>1652</v>
      </c>
      <c r="Q16" s="184" t="s">
        <v>1487</v>
      </c>
      <c r="R16" s="184" t="s">
        <v>339</v>
      </c>
      <c r="S16" s="184" t="s">
        <v>22</v>
      </c>
      <c r="T16" s="184" t="s">
        <v>347</v>
      </c>
      <c r="U16" s="185">
        <v>19</v>
      </c>
      <c r="V16" s="185">
        <v>240</v>
      </c>
      <c r="W16" s="185">
        <v>16</v>
      </c>
      <c r="X16" s="179">
        <f t="shared" si="0"/>
        <v>256</v>
      </c>
      <c r="Y16" s="185">
        <v>5</v>
      </c>
      <c r="Z16" s="185" t="s">
        <v>20</v>
      </c>
      <c r="AA16" s="185" t="s">
        <v>20</v>
      </c>
      <c r="AB16" s="179" t="s">
        <v>18</v>
      </c>
      <c r="AC16" s="186" t="s">
        <v>21</v>
      </c>
      <c r="AD16" s="181" t="s">
        <v>1662</v>
      </c>
      <c r="AE16" s="179" t="s">
        <v>18</v>
      </c>
      <c r="AF16" s="181"/>
      <c r="AG16" s="174" t="s">
        <v>990</v>
      </c>
      <c r="AH16" s="179">
        <v>52</v>
      </c>
      <c r="AI16" s="179">
        <v>2</v>
      </c>
      <c r="AJ16" s="200">
        <f t="shared" si="1"/>
        <v>4864</v>
      </c>
      <c r="AK16" s="183">
        <f t="shared" si="2"/>
        <v>6372</v>
      </c>
      <c r="AL16" s="179">
        <f t="shared" si="8"/>
        <v>51.2</v>
      </c>
      <c r="AM16" s="183">
        <v>0</v>
      </c>
      <c r="AN16" s="183">
        <f t="shared" si="9"/>
        <v>3952000</v>
      </c>
      <c r="AO16" s="183">
        <f t="shared" si="3"/>
        <v>4940000</v>
      </c>
      <c r="AP16" s="183">
        <f t="shared" si="4"/>
        <v>0</v>
      </c>
      <c r="AQ16" s="183">
        <f t="shared" si="5"/>
        <v>30993408</v>
      </c>
      <c r="AR16" s="183"/>
      <c r="AS16" s="183">
        <f t="shared" si="6"/>
        <v>0</v>
      </c>
      <c r="AT16" s="183">
        <f t="shared" si="7"/>
        <v>39885408</v>
      </c>
    </row>
    <row r="17" spans="1:50" s="179" customFormat="1" ht="24.95" hidden="1" customHeight="1" x14ac:dyDescent="0.25">
      <c r="A17" s="175">
        <v>14219</v>
      </c>
      <c r="B17" s="175" t="s">
        <v>82</v>
      </c>
      <c r="C17" s="175" t="s">
        <v>1018</v>
      </c>
      <c r="D17" s="176">
        <v>1</v>
      </c>
      <c r="E17" s="176">
        <v>2025</v>
      </c>
      <c r="F17" s="176">
        <v>2025</v>
      </c>
      <c r="G17" s="175" t="s">
        <v>23</v>
      </c>
      <c r="H17" s="175" t="s">
        <v>82</v>
      </c>
      <c r="I17" s="175" t="s">
        <v>101</v>
      </c>
      <c r="J17" s="177" t="s">
        <v>718</v>
      </c>
      <c r="K17" s="175" t="s">
        <v>719</v>
      </c>
      <c r="L17" s="175" t="s">
        <v>875</v>
      </c>
      <c r="M17" s="175" t="s">
        <v>874</v>
      </c>
      <c r="N17" s="175">
        <v>13</v>
      </c>
      <c r="O17" s="175" t="s">
        <v>382</v>
      </c>
      <c r="P17" s="175" t="s">
        <v>714</v>
      </c>
      <c r="Q17" s="175" t="s">
        <v>1201</v>
      </c>
      <c r="R17" s="175" t="s">
        <v>339</v>
      </c>
      <c r="S17" s="175" t="s">
        <v>22</v>
      </c>
      <c r="T17" s="175" t="s">
        <v>347</v>
      </c>
      <c r="U17" s="176">
        <v>19</v>
      </c>
      <c r="V17" s="176">
        <v>90</v>
      </c>
      <c r="W17" s="176">
        <v>8</v>
      </c>
      <c r="X17" s="179">
        <f t="shared" si="0"/>
        <v>98</v>
      </c>
      <c r="Y17" s="176">
        <v>4</v>
      </c>
      <c r="Z17" s="176" t="s">
        <v>20</v>
      </c>
      <c r="AA17" s="176" t="s">
        <v>18</v>
      </c>
      <c r="AB17" s="185" t="s">
        <v>18</v>
      </c>
      <c r="AC17" s="186" t="s">
        <v>21</v>
      </c>
      <c r="AD17" s="181" t="s">
        <v>1784</v>
      </c>
      <c r="AE17" s="179" t="s">
        <v>18</v>
      </c>
      <c r="AF17" s="191"/>
      <c r="AG17" s="174" t="s">
        <v>990</v>
      </c>
      <c r="AH17" s="179">
        <v>25</v>
      </c>
      <c r="AI17" s="179">
        <f>VLOOKUP(K17,[1]TRAMO!$A:$B,2,0)</f>
        <v>2</v>
      </c>
      <c r="AJ17" s="200">
        <f t="shared" si="1"/>
        <v>1862</v>
      </c>
      <c r="AK17" s="183">
        <f t="shared" si="2"/>
        <v>6372</v>
      </c>
      <c r="AL17" s="179">
        <f t="shared" si="8"/>
        <v>24.5</v>
      </c>
      <c r="AM17" s="183">
        <v>0</v>
      </c>
      <c r="AN17" s="183">
        <f t="shared" si="9"/>
        <v>1900000</v>
      </c>
      <c r="AO17" s="183">
        <f t="shared" si="3"/>
        <v>0</v>
      </c>
      <c r="AP17" s="183">
        <f t="shared" si="4"/>
        <v>0</v>
      </c>
      <c r="AQ17" s="183">
        <f t="shared" si="5"/>
        <v>11864664</v>
      </c>
      <c r="AR17" s="183"/>
      <c r="AS17" s="183">
        <f t="shared" si="6"/>
        <v>0</v>
      </c>
      <c r="AT17" s="183">
        <f t="shared" si="7"/>
        <v>13764664</v>
      </c>
      <c r="AU17" s="175" t="s">
        <v>21</v>
      </c>
      <c r="AV17" s="175" t="s">
        <v>1785</v>
      </c>
      <c r="AW17" s="175" t="s">
        <v>1786</v>
      </c>
      <c r="AX17" s="175" t="s">
        <v>1021</v>
      </c>
    </row>
    <row r="18" spans="1:50" s="179" customFormat="1" ht="24.95" hidden="1" customHeight="1" x14ac:dyDescent="0.25">
      <c r="A18" s="175">
        <v>14220</v>
      </c>
      <c r="B18" s="175" t="s">
        <v>82</v>
      </c>
      <c r="C18" s="175" t="s">
        <v>1018</v>
      </c>
      <c r="D18" s="176">
        <v>1</v>
      </c>
      <c r="E18" s="176">
        <v>2025</v>
      </c>
      <c r="F18" s="176">
        <v>2025</v>
      </c>
      <c r="G18" s="175" t="s">
        <v>23</v>
      </c>
      <c r="H18" s="175" t="s">
        <v>82</v>
      </c>
      <c r="I18" s="175" t="s">
        <v>101</v>
      </c>
      <c r="J18" s="177" t="s">
        <v>815</v>
      </c>
      <c r="K18" s="175" t="s">
        <v>814</v>
      </c>
      <c r="L18" s="175" t="s">
        <v>875</v>
      </c>
      <c r="M18" s="175" t="s">
        <v>874</v>
      </c>
      <c r="N18" s="175">
        <v>10</v>
      </c>
      <c r="O18" s="175" t="s">
        <v>706</v>
      </c>
      <c r="P18" s="175" t="s">
        <v>707</v>
      </c>
      <c r="Q18" s="175" t="s">
        <v>1201</v>
      </c>
      <c r="R18" s="175" t="s">
        <v>339</v>
      </c>
      <c r="S18" s="175" t="s">
        <v>22</v>
      </c>
      <c r="T18" s="175" t="s">
        <v>337</v>
      </c>
      <c r="U18" s="176">
        <v>16</v>
      </c>
      <c r="V18" s="176">
        <v>130</v>
      </c>
      <c r="W18" s="176">
        <v>8</v>
      </c>
      <c r="X18" s="179">
        <f t="shared" si="0"/>
        <v>138</v>
      </c>
      <c r="Y18" s="176">
        <v>4</v>
      </c>
      <c r="Z18" s="176" t="s">
        <v>20</v>
      </c>
      <c r="AA18" s="176" t="s">
        <v>18</v>
      </c>
      <c r="AB18" s="185" t="s">
        <v>18</v>
      </c>
      <c r="AC18" s="186" t="s">
        <v>21</v>
      </c>
      <c r="AD18" s="181" t="s">
        <v>1874</v>
      </c>
      <c r="AE18" s="179" t="s">
        <v>18</v>
      </c>
      <c r="AF18" s="191"/>
      <c r="AG18" s="174" t="s">
        <v>990</v>
      </c>
      <c r="AH18" s="179">
        <v>35</v>
      </c>
      <c r="AI18" s="179">
        <f>VLOOKUP(K18,[1]TRAMO!$A:$B,2,0)</f>
        <v>2</v>
      </c>
      <c r="AJ18" s="200">
        <f t="shared" si="1"/>
        <v>2208</v>
      </c>
      <c r="AK18" s="183">
        <f t="shared" si="2"/>
        <v>6372</v>
      </c>
      <c r="AL18" s="179">
        <f t="shared" si="8"/>
        <v>34.5</v>
      </c>
      <c r="AM18" s="183">
        <v>0</v>
      </c>
      <c r="AN18" s="183">
        <f t="shared" si="9"/>
        <v>2240000</v>
      </c>
      <c r="AO18" s="183">
        <f t="shared" si="3"/>
        <v>0</v>
      </c>
      <c r="AP18" s="183">
        <f t="shared" si="4"/>
        <v>0</v>
      </c>
      <c r="AQ18" s="183">
        <f t="shared" si="5"/>
        <v>14069376</v>
      </c>
      <c r="AR18" s="183"/>
      <c r="AS18" s="183">
        <f t="shared" si="6"/>
        <v>0</v>
      </c>
      <c r="AT18" s="183">
        <f t="shared" si="7"/>
        <v>16309376</v>
      </c>
      <c r="AU18" s="175" t="s">
        <v>1875</v>
      </c>
      <c r="AV18" s="175" t="s">
        <v>1876</v>
      </c>
      <c r="AW18" s="175" t="s">
        <v>1877</v>
      </c>
      <c r="AX18" s="175" t="s">
        <v>1019</v>
      </c>
    </row>
    <row r="19" spans="1:50" s="179" customFormat="1" ht="24.95" hidden="1" customHeight="1" x14ac:dyDescent="0.25">
      <c r="A19" s="175">
        <v>14221</v>
      </c>
      <c r="B19" s="175" t="s">
        <v>82</v>
      </c>
      <c r="C19" s="175" t="s">
        <v>1018</v>
      </c>
      <c r="D19" s="176">
        <v>1</v>
      </c>
      <c r="E19" s="176">
        <v>2025</v>
      </c>
      <c r="F19" s="176">
        <v>2025</v>
      </c>
      <c r="G19" s="175" t="s">
        <v>23</v>
      </c>
      <c r="H19" s="175" t="s">
        <v>82</v>
      </c>
      <c r="I19" s="175" t="s">
        <v>101</v>
      </c>
      <c r="J19" s="177" t="s">
        <v>386</v>
      </c>
      <c r="K19" s="175" t="s">
        <v>387</v>
      </c>
      <c r="L19" s="175" t="s">
        <v>875</v>
      </c>
      <c r="M19" s="175" t="s">
        <v>874</v>
      </c>
      <c r="N19" s="175">
        <v>13</v>
      </c>
      <c r="O19" s="175" t="s">
        <v>382</v>
      </c>
      <c r="P19" s="175" t="s">
        <v>720</v>
      </c>
      <c r="Q19" s="175" t="s">
        <v>1201</v>
      </c>
      <c r="R19" s="175" t="s">
        <v>339</v>
      </c>
      <c r="S19" s="175" t="s">
        <v>22</v>
      </c>
      <c r="T19" s="175" t="s">
        <v>337</v>
      </c>
      <c r="U19" s="176">
        <v>14</v>
      </c>
      <c r="V19" s="176">
        <v>150</v>
      </c>
      <c r="W19" s="176">
        <v>8</v>
      </c>
      <c r="X19" s="179">
        <f t="shared" si="0"/>
        <v>158</v>
      </c>
      <c r="Y19" s="176">
        <v>4</v>
      </c>
      <c r="Z19" s="176" t="s">
        <v>20</v>
      </c>
      <c r="AA19" s="176" t="s">
        <v>18</v>
      </c>
      <c r="AB19" s="185" t="s">
        <v>18</v>
      </c>
      <c r="AC19" s="186" t="s">
        <v>21</v>
      </c>
      <c r="AD19" s="181" t="s">
        <v>1878</v>
      </c>
      <c r="AE19" s="179" t="s">
        <v>18</v>
      </c>
      <c r="AF19" s="191"/>
      <c r="AG19" s="174" t="s">
        <v>990</v>
      </c>
      <c r="AH19" s="179">
        <v>40</v>
      </c>
      <c r="AI19" s="179">
        <f>VLOOKUP(K19,[1]TRAMO!$A:$B,2,0)</f>
        <v>2</v>
      </c>
      <c r="AJ19" s="200">
        <f t="shared" si="1"/>
        <v>2212</v>
      </c>
      <c r="AK19" s="183">
        <f t="shared" si="2"/>
        <v>6372</v>
      </c>
      <c r="AL19" s="179">
        <f t="shared" si="8"/>
        <v>39.5</v>
      </c>
      <c r="AM19" s="183">
        <v>0</v>
      </c>
      <c r="AN19" s="183">
        <f t="shared" si="9"/>
        <v>2240000</v>
      </c>
      <c r="AO19" s="183">
        <f t="shared" si="3"/>
        <v>0</v>
      </c>
      <c r="AP19" s="183">
        <f t="shared" si="4"/>
        <v>0</v>
      </c>
      <c r="AQ19" s="183">
        <f t="shared" si="5"/>
        <v>14094864</v>
      </c>
      <c r="AR19" s="183"/>
      <c r="AS19" s="183">
        <f t="shared" si="6"/>
        <v>0</v>
      </c>
      <c r="AT19" s="183">
        <f t="shared" si="7"/>
        <v>16334864</v>
      </c>
      <c r="AU19" s="175" t="s">
        <v>1875</v>
      </c>
      <c r="AV19" s="175" t="s">
        <v>1876</v>
      </c>
      <c r="AW19" s="175" t="s">
        <v>1879</v>
      </c>
      <c r="AX19" s="175" t="s">
        <v>1020</v>
      </c>
    </row>
    <row r="20" spans="1:50" s="179" customFormat="1" ht="24.95" hidden="1" customHeight="1" x14ac:dyDescent="0.25">
      <c r="A20" s="175">
        <v>14367</v>
      </c>
      <c r="B20" s="175" t="s">
        <v>83</v>
      </c>
      <c r="C20" s="175" t="s">
        <v>1022</v>
      </c>
      <c r="D20" s="176">
        <v>1</v>
      </c>
      <c r="E20" s="176">
        <v>2025</v>
      </c>
      <c r="F20" s="176">
        <v>2025</v>
      </c>
      <c r="G20" s="175" t="s">
        <v>23</v>
      </c>
      <c r="H20" s="175" t="s">
        <v>83</v>
      </c>
      <c r="I20" s="175" t="s">
        <v>102</v>
      </c>
      <c r="J20" s="177" t="s">
        <v>741</v>
      </c>
      <c r="K20" s="175" t="s">
        <v>357</v>
      </c>
      <c r="L20" s="175" t="s">
        <v>21</v>
      </c>
      <c r="M20" s="175" t="s">
        <v>21</v>
      </c>
      <c r="N20" s="175">
        <v>13</v>
      </c>
      <c r="O20" s="175" t="s">
        <v>382</v>
      </c>
      <c r="P20" s="175" t="s">
        <v>714</v>
      </c>
      <c r="Q20" s="175" t="s">
        <v>1201</v>
      </c>
      <c r="R20" s="175" t="s">
        <v>339</v>
      </c>
      <c r="S20" s="175" t="s">
        <v>22</v>
      </c>
      <c r="T20" s="175" t="s">
        <v>337</v>
      </c>
      <c r="U20" s="176">
        <v>20</v>
      </c>
      <c r="V20" s="176">
        <v>90</v>
      </c>
      <c r="W20" s="176" t="s">
        <v>21</v>
      </c>
      <c r="X20" s="179">
        <f t="shared" si="0"/>
        <v>90</v>
      </c>
      <c r="Y20" s="176">
        <v>4</v>
      </c>
      <c r="Z20" s="176" t="s">
        <v>20</v>
      </c>
      <c r="AA20" s="176" t="s">
        <v>18</v>
      </c>
      <c r="AB20" s="185" t="s">
        <v>18</v>
      </c>
      <c r="AC20" s="186" t="s">
        <v>21</v>
      </c>
      <c r="AD20" s="181" t="s">
        <v>1534</v>
      </c>
      <c r="AE20" s="179" t="s">
        <v>20</v>
      </c>
      <c r="AF20" s="181" t="s">
        <v>1532</v>
      </c>
      <c r="AG20" s="174" t="s">
        <v>990</v>
      </c>
      <c r="AH20" s="179">
        <v>23</v>
      </c>
      <c r="AI20" s="179">
        <f>VLOOKUP(K20,[1]TRAMO!$A:$B,2,0)</f>
        <v>1</v>
      </c>
      <c r="AJ20" s="200">
        <f t="shared" si="1"/>
        <v>1800</v>
      </c>
      <c r="AK20" s="183">
        <f t="shared" si="2"/>
        <v>5074</v>
      </c>
      <c r="AL20" s="179">
        <f t="shared" si="8"/>
        <v>22.5</v>
      </c>
      <c r="AM20" s="183">
        <v>20000</v>
      </c>
      <c r="AN20" s="183">
        <f t="shared" si="9"/>
        <v>1840000</v>
      </c>
      <c r="AO20" s="183">
        <f t="shared" si="3"/>
        <v>0</v>
      </c>
      <c r="AP20" s="183">
        <f t="shared" si="4"/>
        <v>0</v>
      </c>
      <c r="AQ20" s="183">
        <f t="shared" si="5"/>
        <v>9133200</v>
      </c>
      <c r="AR20" s="183"/>
      <c r="AS20" s="183">
        <f t="shared" si="6"/>
        <v>400000</v>
      </c>
      <c r="AT20" s="183">
        <f t="shared" si="7"/>
        <v>11373200</v>
      </c>
      <c r="AU20" s="175" t="s">
        <v>1535</v>
      </c>
      <c r="AV20" s="175" t="s">
        <v>1536</v>
      </c>
      <c r="AW20" s="175" t="s">
        <v>1537</v>
      </c>
      <c r="AX20" s="175" t="s">
        <v>1538</v>
      </c>
    </row>
    <row r="21" spans="1:50" s="179" customFormat="1" ht="24.95" hidden="1" customHeight="1" x14ac:dyDescent="0.25">
      <c r="A21" s="175">
        <v>14514</v>
      </c>
      <c r="B21" s="175" t="s">
        <v>83</v>
      </c>
      <c r="C21" s="175" t="s">
        <v>1022</v>
      </c>
      <c r="D21" s="176">
        <v>1</v>
      </c>
      <c r="E21" s="176">
        <v>2025</v>
      </c>
      <c r="F21" s="176">
        <v>2025</v>
      </c>
      <c r="G21" s="175" t="s">
        <v>23</v>
      </c>
      <c r="H21" s="175" t="s">
        <v>83</v>
      </c>
      <c r="I21" s="175" t="s">
        <v>102</v>
      </c>
      <c r="J21" s="177" t="s">
        <v>741</v>
      </c>
      <c r="K21" s="175" t="s">
        <v>357</v>
      </c>
      <c r="L21" s="175" t="s">
        <v>21</v>
      </c>
      <c r="M21" s="175" t="s">
        <v>21</v>
      </c>
      <c r="N21" s="175">
        <v>13</v>
      </c>
      <c r="O21" s="175" t="s">
        <v>382</v>
      </c>
      <c r="P21" s="175" t="s">
        <v>748</v>
      </c>
      <c r="Q21" s="175" t="s">
        <v>1201</v>
      </c>
      <c r="R21" s="175" t="s">
        <v>339</v>
      </c>
      <c r="S21" s="175" t="s">
        <v>22</v>
      </c>
      <c r="T21" s="175" t="s">
        <v>337</v>
      </c>
      <c r="U21" s="176">
        <v>20</v>
      </c>
      <c r="V21" s="176">
        <v>90</v>
      </c>
      <c r="W21" s="176" t="s">
        <v>21</v>
      </c>
      <c r="X21" s="179">
        <f t="shared" si="0"/>
        <v>90</v>
      </c>
      <c r="Y21" s="176">
        <v>4</v>
      </c>
      <c r="Z21" s="176" t="s">
        <v>20</v>
      </c>
      <c r="AA21" s="176" t="s">
        <v>18</v>
      </c>
      <c r="AB21" s="185" t="s">
        <v>18</v>
      </c>
      <c r="AC21" s="186" t="s">
        <v>21</v>
      </c>
      <c r="AD21" s="181" t="s">
        <v>1543</v>
      </c>
      <c r="AE21" s="179" t="s">
        <v>20</v>
      </c>
      <c r="AF21" s="181" t="s">
        <v>1532</v>
      </c>
      <c r="AG21" s="174" t="s">
        <v>990</v>
      </c>
      <c r="AH21" s="179">
        <v>23</v>
      </c>
      <c r="AI21" s="179">
        <f>VLOOKUP(K21,[1]TRAMO!$A:$B,2,0)</f>
        <v>1</v>
      </c>
      <c r="AJ21" s="200">
        <f t="shared" si="1"/>
        <v>1800</v>
      </c>
      <c r="AK21" s="183">
        <f t="shared" si="2"/>
        <v>5074</v>
      </c>
      <c r="AL21" s="179">
        <f t="shared" si="8"/>
        <v>22.5</v>
      </c>
      <c r="AM21" s="183">
        <v>20000</v>
      </c>
      <c r="AN21" s="183">
        <f t="shared" si="9"/>
        <v>1840000</v>
      </c>
      <c r="AO21" s="183">
        <f t="shared" si="3"/>
        <v>0</v>
      </c>
      <c r="AP21" s="183">
        <f t="shared" si="4"/>
        <v>0</v>
      </c>
      <c r="AQ21" s="183">
        <f t="shared" si="5"/>
        <v>9133200</v>
      </c>
      <c r="AR21" s="183"/>
      <c r="AS21" s="183">
        <f t="shared" si="6"/>
        <v>400000</v>
      </c>
      <c r="AT21" s="183">
        <f t="shared" si="7"/>
        <v>11373200</v>
      </c>
      <c r="AU21" s="175" t="s">
        <v>1535</v>
      </c>
      <c r="AV21" s="175" t="s">
        <v>1536</v>
      </c>
      <c r="AW21" s="175" t="s">
        <v>1544</v>
      </c>
      <c r="AX21" s="175" t="s">
        <v>1545</v>
      </c>
    </row>
    <row r="22" spans="1:50" s="179" customFormat="1" ht="24.95" hidden="1" customHeight="1" x14ac:dyDescent="0.25">
      <c r="A22" s="175">
        <v>14373</v>
      </c>
      <c r="B22" s="175" t="s">
        <v>83</v>
      </c>
      <c r="C22" s="175" t="s">
        <v>1022</v>
      </c>
      <c r="D22" s="176">
        <v>1</v>
      </c>
      <c r="E22" s="176">
        <v>2025</v>
      </c>
      <c r="F22" s="176">
        <v>2025</v>
      </c>
      <c r="G22" s="175" t="s">
        <v>23</v>
      </c>
      <c r="H22" s="175" t="s">
        <v>83</v>
      </c>
      <c r="I22" s="175" t="s">
        <v>102</v>
      </c>
      <c r="J22" s="177" t="s">
        <v>766</v>
      </c>
      <c r="K22" s="175" t="s">
        <v>765</v>
      </c>
      <c r="L22" s="175" t="s">
        <v>21</v>
      </c>
      <c r="M22" s="175" t="s">
        <v>21</v>
      </c>
      <c r="N22" s="175">
        <v>13</v>
      </c>
      <c r="O22" s="175" t="s">
        <v>382</v>
      </c>
      <c r="P22" s="175" t="s">
        <v>714</v>
      </c>
      <c r="Q22" s="175" t="s">
        <v>1201</v>
      </c>
      <c r="R22" s="175" t="s">
        <v>339</v>
      </c>
      <c r="S22" s="175" t="s">
        <v>22</v>
      </c>
      <c r="T22" s="175" t="s">
        <v>337</v>
      </c>
      <c r="U22" s="176">
        <v>20</v>
      </c>
      <c r="V22" s="176">
        <v>152</v>
      </c>
      <c r="W22" s="176" t="s">
        <v>21</v>
      </c>
      <c r="X22" s="179">
        <f t="shared" si="0"/>
        <v>152</v>
      </c>
      <c r="Y22" s="176">
        <v>5</v>
      </c>
      <c r="Z22" s="176" t="s">
        <v>20</v>
      </c>
      <c r="AA22" s="176" t="s">
        <v>18</v>
      </c>
      <c r="AB22" s="185" t="s">
        <v>18</v>
      </c>
      <c r="AC22" s="186" t="s">
        <v>21</v>
      </c>
      <c r="AD22" s="181" t="s">
        <v>1551</v>
      </c>
      <c r="AE22" s="179" t="s">
        <v>20</v>
      </c>
      <c r="AF22" s="181" t="s">
        <v>1028</v>
      </c>
      <c r="AG22" s="174" t="s">
        <v>990</v>
      </c>
      <c r="AH22" s="179">
        <v>31</v>
      </c>
      <c r="AI22" s="179">
        <f>VLOOKUP(K22,[1]TRAMO!$A:$B,2,0)</f>
        <v>1</v>
      </c>
      <c r="AJ22" s="200">
        <f t="shared" si="1"/>
        <v>3040</v>
      </c>
      <c r="AK22" s="183">
        <f t="shared" si="2"/>
        <v>5074</v>
      </c>
      <c r="AL22" s="179">
        <f t="shared" si="8"/>
        <v>30.4</v>
      </c>
      <c r="AM22" s="183">
        <v>20000</v>
      </c>
      <c r="AN22" s="183">
        <f t="shared" si="9"/>
        <v>2480000</v>
      </c>
      <c r="AO22" s="183">
        <f t="shared" si="3"/>
        <v>0</v>
      </c>
      <c r="AP22" s="183">
        <f t="shared" si="4"/>
        <v>0</v>
      </c>
      <c r="AQ22" s="183">
        <f t="shared" si="5"/>
        <v>15424960</v>
      </c>
      <c r="AR22" s="183"/>
      <c r="AS22" s="183">
        <f t="shared" si="6"/>
        <v>400000</v>
      </c>
      <c r="AT22" s="183">
        <f t="shared" si="7"/>
        <v>18304960</v>
      </c>
      <c r="AU22" s="175" t="s">
        <v>1535</v>
      </c>
      <c r="AV22" s="175" t="s">
        <v>1536</v>
      </c>
      <c r="AW22" s="175" t="s">
        <v>1537</v>
      </c>
      <c r="AX22" s="175" t="s">
        <v>1538</v>
      </c>
    </row>
    <row r="23" spans="1:50" s="179" customFormat="1" ht="24.95" hidden="1" customHeight="1" x14ac:dyDescent="0.25">
      <c r="A23" s="175">
        <v>14517</v>
      </c>
      <c r="B23" s="175" t="s">
        <v>83</v>
      </c>
      <c r="C23" s="175" t="s">
        <v>1022</v>
      </c>
      <c r="D23" s="176">
        <v>1</v>
      </c>
      <c r="E23" s="176">
        <v>2025</v>
      </c>
      <c r="F23" s="176">
        <v>2025</v>
      </c>
      <c r="G23" s="175" t="s">
        <v>23</v>
      </c>
      <c r="H23" s="175" t="s">
        <v>83</v>
      </c>
      <c r="I23" s="175" t="s">
        <v>102</v>
      </c>
      <c r="J23" s="177" t="s">
        <v>1552</v>
      </c>
      <c r="K23" s="175" t="s">
        <v>1553</v>
      </c>
      <c r="L23" s="175" t="s">
        <v>21</v>
      </c>
      <c r="M23" s="175" t="s">
        <v>21</v>
      </c>
      <c r="N23" s="175">
        <v>10</v>
      </c>
      <c r="O23" s="175" t="s">
        <v>706</v>
      </c>
      <c r="P23" s="175" t="s">
        <v>707</v>
      </c>
      <c r="Q23" s="175" t="s">
        <v>1201</v>
      </c>
      <c r="R23" s="175" t="s">
        <v>339</v>
      </c>
      <c r="S23" s="175" t="s">
        <v>22</v>
      </c>
      <c r="T23" s="175" t="s">
        <v>337</v>
      </c>
      <c r="U23" s="176">
        <v>15</v>
      </c>
      <c r="V23" s="176">
        <v>176</v>
      </c>
      <c r="W23" s="176" t="s">
        <v>21</v>
      </c>
      <c r="X23" s="179">
        <f t="shared" si="0"/>
        <v>176</v>
      </c>
      <c r="Y23" s="176">
        <v>5</v>
      </c>
      <c r="Z23" s="176" t="s">
        <v>20</v>
      </c>
      <c r="AA23" s="176" t="s">
        <v>18</v>
      </c>
      <c r="AB23" s="185" t="s">
        <v>18</v>
      </c>
      <c r="AC23" s="186" t="s">
        <v>21</v>
      </c>
      <c r="AD23" s="181" t="s">
        <v>1554</v>
      </c>
      <c r="AE23" s="179" t="s">
        <v>20</v>
      </c>
      <c r="AF23" s="181" t="s">
        <v>1555</v>
      </c>
      <c r="AG23" s="174" t="s">
        <v>990</v>
      </c>
      <c r="AH23" s="179">
        <v>36</v>
      </c>
      <c r="AI23" s="179">
        <f>VLOOKUP(K23,[1]TRAMO!$A:$B,2,0)</f>
        <v>3</v>
      </c>
      <c r="AJ23" s="200">
        <f t="shared" si="1"/>
        <v>2640</v>
      </c>
      <c r="AK23" s="183">
        <f t="shared" si="2"/>
        <v>7434</v>
      </c>
      <c r="AL23" s="179">
        <f t="shared" si="8"/>
        <v>35.200000000000003</v>
      </c>
      <c r="AM23" s="183">
        <v>60000</v>
      </c>
      <c r="AN23" s="183">
        <f t="shared" si="9"/>
        <v>2160000</v>
      </c>
      <c r="AO23" s="183">
        <f t="shared" si="3"/>
        <v>0</v>
      </c>
      <c r="AP23" s="183">
        <f t="shared" si="4"/>
        <v>0</v>
      </c>
      <c r="AQ23" s="183">
        <f t="shared" si="5"/>
        <v>19625760</v>
      </c>
      <c r="AR23" s="183"/>
      <c r="AS23" s="183">
        <f t="shared" si="6"/>
        <v>900000</v>
      </c>
      <c r="AT23" s="183">
        <f t="shared" si="7"/>
        <v>22685760</v>
      </c>
      <c r="AU23" s="175" t="s">
        <v>1535</v>
      </c>
      <c r="AV23" s="175" t="s">
        <v>1536</v>
      </c>
      <c r="AW23" s="175" t="s">
        <v>1556</v>
      </c>
      <c r="AX23" s="175" t="s">
        <v>1557</v>
      </c>
    </row>
    <row r="24" spans="1:50" s="179" customFormat="1" ht="24.95" hidden="1" customHeight="1" x14ac:dyDescent="0.25">
      <c r="A24" s="175">
        <v>14515</v>
      </c>
      <c r="B24" s="175" t="s">
        <v>83</v>
      </c>
      <c r="C24" s="175" t="s">
        <v>1022</v>
      </c>
      <c r="D24" s="176">
        <v>1</v>
      </c>
      <c r="E24" s="176">
        <v>2025</v>
      </c>
      <c r="F24" s="176">
        <v>2025</v>
      </c>
      <c r="G24" s="175" t="s">
        <v>23</v>
      </c>
      <c r="H24" s="175" t="s">
        <v>83</v>
      </c>
      <c r="I24" s="175" t="s">
        <v>102</v>
      </c>
      <c r="J24" s="177" t="s">
        <v>391</v>
      </c>
      <c r="K24" s="175" t="s">
        <v>987</v>
      </c>
      <c r="L24" s="175" t="s">
        <v>21</v>
      </c>
      <c r="M24" s="175" t="s">
        <v>21</v>
      </c>
      <c r="N24" s="175">
        <v>10</v>
      </c>
      <c r="O24" s="175" t="s">
        <v>706</v>
      </c>
      <c r="P24" s="175" t="s">
        <v>707</v>
      </c>
      <c r="Q24" s="175" t="s">
        <v>1201</v>
      </c>
      <c r="R24" s="175" t="s">
        <v>339</v>
      </c>
      <c r="S24" s="175" t="s">
        <v>22</v>
      </c>
      <c r="T24" s="175" t="s">
        <v>337</v>
      </c>
      <c r="U24" s="176">
        <v>15</v>
      </c>
      <c r="V24" s="176">
        <v>24</v>
      </c>
      <c r="W24" s="176" t="s">
        <v>21</v>
      </c>
      <c r="X24" s="179">
        <f t="shared" si="0"/>
        <v>24</v>
      </c>
      <c r="Y24" s="176">
        <v>4</v>
      </c>
      <c r="Z24" s="176" t="s">
        <v>20</v>
      </c>
      <c r="AA24" s="176" t="s">
        <v>18</v>
      </c>
      <c r="AB24" s="185" t="s">
        <v>18</v>
      </c>
      <c r="AC24" s="186" t="s">
        <v>21</v>
      </c>
      <c r="AD24" s="181" t="s">
        <v>1592</v>
      </c>
      <c r="AE24" s="179" t="s">
        <v>20</v>
      </c>
      <c r="AF24" s="181" t="s">
        <v>988</v>
      </c>
      <c r="AG24" s="174" t="s">
        <v>990</v>
      </c>
      <c r="AH24" s="179">
        <v>16</v>
      </c>
      <c r="AI24" s="179">
        <f>VLOOKUP(K24,[1]TRAMO!$A:$B,2,0)</f>
        <v>2</v>
      </c>
      <c r="AJ24" s="200">
        <f t="shared" si="1"/>
        <v>360</v>
      </c>
      <c r="AK24" s="183">
        <f t="shared" si="2"/>
        <v>6372</v>
      </c>
      <c r="AL24" s="179">
        <f t="shared" si="8"/>
        <v>6</v>
      </c>
      <c r="AM24" s="183">
        <v>60000</v>
      </c>
      <c r="AN24" s="183">
        <f t="shared" si="9"/>
        <v>960000</v>
      </c>
      <c r="AO24" s="183">
        <f t="shared" si="3"/>
        <v>0</v>
      </c>
      <c r="AP24" s="183">
        <f t="shared" si="4"/>
        <v>0</v>
      </c>
      <c r="AQ24" s="183">
        <f t="shared" si="5"/>
        <v>2293920</v>
      </c>
      <c r="AR24" s="183"/>
      <c r="AS24" s="183">
        <f t="shared" si="6"/>
        <v>900000</v>
      </c>
      <c r="AT24" s="183">
        <f t="shared" si="7"/>
        <v>4153920</v>
      </c>
      <c r="AU24" s="175" t="s">
        <v>1535</v>
      </c>
      <c r="AV24" s="175" t="s">
        <v>1536</v>
      </c>
      <c r="AW24" s="175" t="s">
        <v>1556</v>
      </c>
      <c r="AX24" s="175" t="s">
        <v>1557</v>
      </c>
    </row>
    <row r="25" spans="1:50" s="179" customFormat="1" ht="24.95" hidden="1" customHeight="1" x14ac:dyDescent="0.25">
      <c r="A25" s="175">
        <v>14518</v>
      </c>
      <c r="B25" s="175" t="s">
        <v>83</v>
      </c>
      <c r="C25" s="175" t="s">
        <v>1022</v>
      </c>
      <c r="D25" s="176">
        <v>1</v>
      </c>
      <c r="E25" s="176">
        <v>2025</v>
      </c>
      <c r="F25" s="176">
        <v>2025</v>
      </c>
      <c r="G25" s="175" t="s">
        <v>23</v>
      </c>
      <c r="H25" s="175" t="s">
        <v>83</v>
      </c>
      <c r="I25" s="175" t="s">
        <v>102</v>
      </c>
      <c r="J25" s="177" t="s">
        <v>391</v>
      </c>
      <c r="K25" s="175" t="s">
        <v>987</v>
      </c>
      <c r="L25" s="175" t="s">
        <v>21</v>
      </c>
      <c r="M25" s="175" t="s">
        <v>21</v>
      </c>
      <c r="N25" s="175">
        <v>8</v>
      </c>
      <c r="O25" s="175" t="s">
        <v>709</v>
      </c>
      <c r="P25" s="175" t="s">
        <v>710</v>
      </c>
      <c r="Q25" s="175" t="s">
        <v>1201</v>
      </c>
      <c r="R25" s="175" t="s">
        <v>339</v>
      </c>
      <c r="S25" s="175" t="s">
        <v>22</v>
      </c>
      <c r="T25" s="175" t="s">
        <v>337</v>
      </c>
      <c r="U25" s="176">
        <v>15</v>
      </c>
      <c r="V25" s="176">
        <v>24</v>
      </c>
      <c r="W25" s="176" t="s">
        <v>21</v>
      </c>
      <c r="X25" s="179">
        <f t="shared" si="0"/>
        <v>24</v>
      </c>
      <c r="Y25" s="176">
        <v>4</v>
      </c>
      <c r="Z25" s="176" t="s">
        <v>20</v>
      </c>
      <c r="AA25" s="176" t="s">
        <v>18</v>
      </c>
      <c r="AB25" s="185" t="s">
        <v>18</v>
      </c>
      <c r="AC25" s="186" t="s">
        <v>21</v>
      </c>
      <c r="AD25" s="181" t="s">
        <v>1593</v>
      </c>
      <c r="AE25" s="179" t="s">
        <v>20</v>
      </c>
      <c r="AF25" s="181" t="s">
        <v>988</v>
      </c>
      <c r="AG25" s="174" t="s">
        <v>990</v>
      </c>
      <c r="AH25" s="179">
        <v>16</v>
      </c>
      <c r="AI25" s="179">
        <f>VLOOKUP(K25,[1]TRAMO!$A:$B,2,0)</f>
        <v>2</v>
      </c>
      <c r="AJ25" s="200">
        <f t="shared" si="1"/>
        <v>360</v>
      </c>
      <c r="AK25" s="183">
        <f t="shared" si="2"/>
        <v>6372</v>
      </c>
      <c r="AL25" s="179">
        <f t="shared" si="8"/>
        <v>6</v>
      </c>
      <c r="AM25" s="183">
        <v>60000</v>
      </c>
      <c r="AN25" s="183">
        <f t="shared" si="9"/>
        <v>960000</v>
      </c>
      <c r="AO25" s="183">
        <f t="shared" si="3"/>
        <v>0</v>
      </c>
      <c r="AP25" s="183">
        <f t="shared" si="4"/>
        <v>0</v>
      </c>
      <c r="AQ25" s="183">
        <f t="shared" si="5"/>
        <v>2293920</v>
      </c>
      <c r="AR25" s="183"/>
      <c r="AS25" s="183">
        <f t="shared" si="6"/>
        <v>900000</v>
      </c>
      <c r="AT25" s="183">
        <f t="shared" si="7"/>
        <v>4153920</v>
      </c>
      <c r="AU25" s="175" t="s">
        <v>1535</v>
      </c>
      <c r="AV25" s="175" t="s">
        <v>1536</v>
      </c>
      <c r="AW25" s="175" t="s">
        <v>1594</v>
      </c>
      <c r="AX25" s="175" t="s">
        <v>1595</v>
      </c>
    </row>
    <row r="26" spans="1:50" s="179" customFormat="1" ht="24.95" hidden="1" customHeight="1" x14ac:dyDescent="0.25">
      <c r="A26" s="175">
        <v>14516</v>
      </c>
      <c r="B26" s="175" t="s">
        <v>83</v>
      </c>
      <c r="C26" s="175" t="s">
        <v>1022</v>
      </c>
      <c r="D26" s="176">
        <v>1</v>
      </c>
      <c r="E26" s="176">
        <v>2025</v>
      </c>
      <c r="F26" s="176">
        <v>2025</v>
      </c>
      <c r="G26" s="175" t="s">
        <v>23</v>
      </c>
      <c r="H26" s="175" t="s">
        <v>83</v>
      </c>
      <c r="I26" s="175" t="s">
        <v>102</v>
      </c>
      <c r="J26" s="177" t="s">
        <v>740</v>
      </c>
      <c r="K26" s="175" t="s">
        <v>739</v>
      </c>
      <c r="L26" s="175" t="s">
        <v>21</v>
      </c>
      <c r="M26" s="175" t="s">
        <v>21</v>
      </c>
      <c r="N26" s="175">
        <v>10</v>
      </c>
      <c r="O26" s="175" t="s">
        <v>706</v>
      </c>
      <c r="P26" s="175" t="s">
        <v>707</v>
      </c>
      <c r="Q26" s="175" t="s">
        <v>1201</v>
      </c>
      <c r="R26" s="175" t="s">
        <v>339</v>
      </c>
      <c r="S26" s="175" t="s">
        <v>22</v>
      </c>
      <c r="T26" s="175" t="s">
        <v>337</v>
      </c>
      <c r="U26" s="176">
        <v>15</v>
      </c>
      <c r="V26" s="176">
        <v>160</v>
      </c>
      <c r="W26" s="176" t="s">
        <v>21</v>
      </c>
      <c r="X26" s="179">
        <f t="shared" si="0"/>
        <v>160</v>
      </c>
      <c r="Y26" s="176">
        <v>5</v>
      </c>
      <c r="Z26" s="176" t="s">
        <v>20</v>
      </c>
      <c r="AA26" s="176" t="s">
        <v>18</v>
      </c>
      <c r="AB26" s="185" t="s">
        <v>18</v>
      </c>
      <c r="AC26" s="186" t="s">
        <v>21</v>
      </c>
      <c r="AD26" s="181" t="s">
        <v>1624</v>
      </c>
      <c r="AE26" s="179" t="s">
        <v>20</v>
      </c>
      <c r="AF26" s="181" t="s">
        <v>1613</v>
      </c>
      <c r="AG26" s="174" t="s">
        <v>990</v>
      </c>
      <c r="AH26" s="179">
        <v>32</v>
      </c>
      <c r="AI26" s="179">
        <f>VLOOKUP(K26,[1]TRAMO!$A:$B,2,0)</f>
        <v>3</v>
      </c>
      <c r="AJ26" s="200">
        <f t="shared" si="1"/>
        <v>2400</v>
      </c>
      <c r="AK26" s="183">
        <f t="shared" si="2"/>
        <v>7434</v>
      </c>
      <c r="AL26" s="179">
        <f t="shared" si="8"/>
        <v>32</v>
      </c>
      <c r="AM26" s="183">
        <v>60000</v>
      </c>
      <c r="AN26" s="183">
        <f t="shared" si="9"/>
        <v>1920000</v>
      </c>
      <c r="AO26" s="183">
        <f t="shared" si="3"/>
        <v>0</v>
      </c>
      <c r="AP26" s="183">
        <f t="shared" si="4"/>
        <v>0</v>
      </c>
      <c r="AQ26" s="183">
        <f t="shared" si="5"/>
        <v>17841600</v>
      </c>
      <c r="AR26" s="183"/>
      <c r="AS26" s="183">
        <f t="shared" si="6"/>
        <v>900000</v>
      </c>
      <c r="AT26" s="183">
        <f t="shared" si="7"/>
        <v>20661600</v>
      </c>
      <c r="AU26" s="175" t="s">
        <v>1535</v>
      </c>
      <c r="AV26" s="175" t="s">
        <v>1536</v>
      </c>
      <c r="AW26" s="175" t="s">
        <v>1556</v>
      </c>
      <c r="AX26" s="175" t="s">
        <v>1557</v>
      </c>
    </row>
    <row r="27" spans="1:50" s="179" customFormat="1" ht="24.95" hidden="1" customHeight="1" x14ac:dyDescent="0.25">
      <c r="A27" s="175">
        <v>14520</v>
      </c>
      <c r="B27" s="175" t="s">
        <v>83</v>
      </c>
      <c r="C27" s="175" t="s">
        <v>1022</v>
      </c>
      <c r="D27" s="176">
        <v>1</v>
      </c>
      <c r="E27" s="176">
        <v>2025</v>
      </c>
      <c r="F27" s="176">
        <v>2025</v>
      </c>
      <c r="G27" s="175" t="s">
        <v>23</v>
      </c>
      <c r="H27" s="175" t="s">
        <v>83</v>
      </c>
      <c r="I27" s="175" t="s">
        <v>102</v>
      </c>
      <c r="J27" s="177" t="s">
        <v>740</v>
      </c>
      <c r="K27" s="175" t="s">
        <v>739</v>
      </c>
      <c r="L27" s="175" t="s">
        <v>21</v>
      </c>
      <c r="M27" s="175" t="s">
        <v>21</v>
      </c>
      <c r="N27" s="175">
        <v>8</v>
      </c>
      <c r="O27" s="175" t="s">
        <v>709</v>
      </c>
      <c r="P27" s="175" t="s">
        <v>710</v>
      </c>
      <c r="Q27" s="175" t="s">
        <v>1201</v>
      </c>
      <c r="R27" s="175" t="s">
        <v>339</v>
      </c>
      <c r="S27" s="175" t="s">
        <v>22</v>
      </c>
      <c r="T27" s="175" t="s">
        <v>337</v>
      </c>
      <c r="U27" s="176">
        <v>15</v>
      </c>
      <c r="V27" s="176">
        <v>160</v>
      </c>
      <c r="W27" s="176" t="s">
        <v>21</v>
      </c>
      <c r="X27" s="179">
        <f t="shared" si="0"/>
        <v>160</v>
      </c>
      <c r="Y27" s="176">
        <v>5</v>
      </c>
      <c r="Z27" s="176" t="s">
        <v>20</v>
      </c>
      <c r="AA27" s="176" t="s">
        <v>18</v>
      </c>
      <c r="AB27" s="185" t="s">
        <v>18</v>
      </c>
      <c r="AC27" s="186" t="s">
        <v>21</v>
      </c>
      <c r="AD27" s="181" t="s">
        <v>1625</v>
      </c>
      <c r="AE27" s="179" t="s">
        <v>20</v>
      </c>
      <c r="AF27" s="181" t="s">
        <v>1613</v>
      </c>
      <c r="AG27" s="174" t="s">
        <v>990</v>
      </c>
      <c r="AH27" s="179">
        <v>32</v>
      </c>
      <c r="AI27" s="179">
        <f>VLOOKUP(K27,[1]TRAMO!$A:$B,2,0)</f>
        <v>3</v>
      </c>
      <c r="AJ27" s="200">
        <f t="shared" si="1"/>
        <v>2400</v>
      </c>
      <c r="AK27" s="183">
        <f t="shared" si="2"/>
        <v>7434</v>
      </c>
      <c r="AL27" s="179">
        <f t="shared" si="8"/>
        <v>32</v>
      </c>
      <c r="AM27" s="183">
        <v>60000</v>
      </c>
      <c r="AN27" s="183">
        <f t="shared" si="9"/>
        <v>1920000</v>
      </c>
      <c r="AO27" s="183">
        <f t="shared" si="3"/>
        <v>0</v>
      </c>
      <c r="AP27" s="183">
        <f t="shared" si="4"/>
        <v>0</v>
      </c>
      <c r="AQ27" s="183">
        <f t="shared" si="5"/>
        <v>17841600</v>
      </c>
      <c r="AR27" s="183"/>
      <c r="AS27" s="183">
        <f t="shared" si="6"/>
        <v>900000</v>
      </c>
      <c r="AT27" s="183">
        <f t="shared" si="7"/>
        <v>20661600</v>
      </c>
      <c r="AU27" s="175" t="s">
        <v>1535</v>
      </c>
      <c r="AV27" s="175" t="s">
        <v>1536</v>
      </c>
      <c r="AW27" s="175" t="s">
        <v>1594</v>
      </c>
      <c r="AX27" s="175" t="s">
        <v>1595</v>
      </c>
    </row>
    <row r="28" spans="1:50" s="179" customFormat="1" ht="24.95" hidden="1" customHeight="1" x14ac:dyDescent="0.25">
      <c r="A28" s="175">
        <v>14379</v>
      </c>
      <c r="B28" s="175" t="s">
        <v>83</v>
      </c>
      <c r="C28" s="175" t="s">
        <v>1022</v>
      </c>
      <c r="D28" s="176">
        <v>1</v>
      </c>
      <c r="E28" s="176">
        <v>2025</v>
      </c>
      <c r="F28" s="176">
        <v>2025</v>
      </c>
      <c r="G28" s="175" t="s">
        <v>23</v>
      </c>
      <c r="H28" s="175" t="s">
        <v>83</v>
      </c>
      <c r="I28" s="175" t="s">
        <v>102</v>
      </c>
      <c r="J28" s="177" t="s">
        <v>811</v>
      </c>
      <c r="K28" s="175" t="s">
        <v>749</v>
      </c>
      <c r="L28" s="175" t="s">
        <v>21</v>
      </c>
      <c r="M28" s="175" t="s">
        <v>21</v>
      </c>
      <c r="N28" s="175">
        <v>13</v>
      </c>
      <c r="O28" s="175" t="s">
        <v>382</v>
      </c>
      <c r="P28" s="175" t="s">
        <v>714</v>
      </c>
      <c r="Q28" s="175" t="s">
        <v>1201</v>
      </c>
      <c r="R28" s="175" t="s">
        <v>339</v>
      </c>
      <c r="S28" s="175" t="s">
        <v>19</v>
      </c>
      <c r="T28" s="175" t="s">
        <v>337</v>
      </c>
      <c r="U28" s="176">
        <v>20</v>
      </c>
      <c r="V28" s="176">
        <v>70</v>
      </c>
      <c r="W28" s="176" t="s">
        <v>21</v>
      </c>
      <c r="X28" s="179">
        <f t="shared" si="0"/>
        <v>70</v>
      </c>
      <c r="Y28" s="176">
        <v>5</v>
      </c>
      <c r="Z28" s="176" t="s">
        <v>20</v>
      </c>
      <c r="AA28" s="176" t="s">
        <v>18</v>
      </c>
      <c r="AB28" s="185" t="s">
        <v>18</v>
      </c>
      <c r="AC28" s="186" t="s">
        <v>21</v>
      </c>
      <c r="AD28" s="181" t="s">
        <v>1678</v>
      </c>
      <c r="AE28" s="179" t="s">
        <v>18</v>
      </c>
      <c r="AF28" s="191"/>
      <c r="AG28" s="174" t="s">
        <v>990</v>
      </c>
      <c r="AH28" s="179">
        <v>14</v>
      </c>
      <c r="AI28" s="179">
        <f>VLOOKUP(K28,[1]TRAMO!$A:$B,2,0)</f>
        <v>1</v>
      </c>
      <c r="AJ28" s="200">
        <f t="shared" si="1"/>
        <v>1400</v>
      </c>
      <c r="AK28" s="183">
        <f t="shared" si="2"/>
        <v>5074</v>
      </c>
      <c r="AL28" s="179">
        <f t="shared" si="8"/>
        <v>14</v>
      </c>
      <c r="AM28" s="183">
        <v>0</v>
      </c>
      <c r="AN28" s="183">
        <f t="shared" si="9"/>
        <v>1120000</v>
      </c>
      <c r="AO28" s="183">
        <f t="shared" si="3"/>
        <v>0</v>
      </c>
      <c r="AP28" s="183">
        <f t="shared" si="4"/>
        <v>0</v>
      </c>
      <c r="AQ28" s="183">
        <f t="shared" si="5"/>
        <v>7103600</v>
      </c>
      <c r="AR28" s="183"/>
      <c r="AS28" s="183">
        <f t="shared" si="6"/>
        <v>0</v>
      </c>
      <c r="AT28" s="183">
        <f t="shared" si="7"/>
        <v>8223600</v>
      </c>
      <c r="AU28" s="175" t="s">
        <v>1535</v>
      </c>
      <c r="AV28" s="175" t="s">
        <v>1536</v>
      </c>
      <c r="AW28" s="175" t="s">
        <v>1537</v>
      </c>
      <c r="AX28" s="175" t="s">
        <v>1538</v>
      </c>
    </row>
    <row r="29" spans="1:50" s="179" customFormat="1" ht="24.95" hidden="1" customHeight="1" x14ac:dyDescent="0.25">
      <c r="A29" s="175">
        <v>14376</v>
      </c>
      <c r="B29" s="175" t="s">
        <v>83</v>
      </c>
      <c r="C29" s="175" t="s">
        <v>1022</v>
      </c>
      <c r="D29" s="176">
        <v>1</v>
      </c>
      <c r="E29" s="176">
        <v>2025</v>
      </c>
      <c r="F29" s="176">
        <v>2025</v>
      </c>
      <c r="G29" s="175" t="s">
        <v>23</v>
      </c>
      <c r="H29" s="175" t="s">
        <v>83</v>
      </c>
      <c r="I29" s="175" t="s">
        <v>102</v>
      </c>
      <c r="J29" s="177" t="s">
        <v>704</v>
      </c>
      <c r="K29" s="175" t="s">
        <v>705</v>
      </c>
      <c r="L29" s="175" t="s">
        <v>21</v>
      </c>
      <c r="M29" s="175" t="s">
        <v>21</v>
      </c>
      <c r="N29" s="175">
        <v>13</v>
      </c>
      <c r="O29" s="175" t="s">
        <v>382</v>
      </c>
      <c r="P29" s="175" t="s">
        <v>714</v>
      </c>
      <c r="Q29" s="175" t="s">
        <v>1201</v>
      </c>
      <c r="R29" s="175" t="s">
        <v>339</v>
      </c>
      <c r="S29" s="175" t="s">
        <v>19</v>
      </c>
      <c r="T29" s="175" t="s">
        <v>337</v>
      </c>
      <c r="U29" s="176">
        <v>20</v>
      </c>
      <c r="V29" s="176">
        <v>90</v>
      </c>
      <c r="W29" s="176" t="s">
        <v>21</v>
      </c>
      <c r="X29" s="179">
        <f t="shared" si="0"/>
        <v>90</v>
      </c>
      <c r="Y29" s="176">
        <v>5</v>
      </c>
      <c r="Z29" s="176" t="s">
        <v>20</v>
      </c>
      <c r="AA29" s="176" t="s">
        <v>18</v>
      </c>
      <c r="AB29" s="185" t="s">
        <v>18</v>
      </c>
      <c r="AC29" s="186" t="s">
        <v>21</v>
      </c>
      <c r="AD29" s="181" t="s">
        <v>1689</v>
      </c>
      <c r="AE29" s="179" t="s">
        <v>18</v>
      </c>
      <c r="AF29" s="191"/>
      <c r="AG29" s="174" t="s">
        <v>990</v>
      </c>
      <c r="AH29" s="179">
        <v>18</v>
      </c>
      <c r="AI29" s="179">
        <f>VLOOKUP(K29,[1]TRAMO!$A:$B,2,0)</f>
        <v>2</v>
      </c>
      <c r="AJ29" s="200">
        <f t="shared" si="1"/>
        <v>1800</v>
      </c>
      <c r="AK29" s="183">
        <f t="shared" si="2"/>
        <v>6372</v>
      </c>
      <c r="AL29" s="179">
        <f t="shared" si="8"/>
        <v>18</v>
      </c>
      <c r="AM29" s="183">
        <v>0</v>
      </c>
      <c r="AN29" s="183">
        <f t="shared" si="9"/>
        <v>1440000</v>
      </c>
      <c r="AO29" s="183">
        <f t="shared" si="3"/>
        <v>0</v>
      </c>
      <c r="AP29" s="183">
        <f t="shared" si="4"/>
        <v>0</v>
      </c>
      <c r="AQ29" s="183">
        <f t="shared" si="5"/>
        <v>11469600</v>
      </c>
      <c r="AR29" s="183"/>
      <c r="AS29" s="183">
        <f t="shared" si="6"/>
        <v>0</v>
      </c>
      <c r="AT29" s="183">
        <f t="shared" si="7"/>
        <v>12909600</v>
      </c>
      <c r="AU29" s="175" t="s">
        <v>1535</v>
      </c>
      <c r="AV29" s="175" t="s">
        <v>1536</v>
      </c>
      <c r="AW29" s="175" t="s">
        <v>1537</v>
      </c>
      <c r="AX29" s="175" t="s">
        <v>1538</v>
      </c>
    </row>
    <row r="30" spans="1:50" s="179" customFormat="1" ht="24.95" hidden="1" customHeight="1" x14ac:dyDescent="0.25">
      <c r="A30" s="175">
        <v>14358</v>
      </c>
      <c r="B30" s="175" t="s">
        <v>83</v>
      </c>
      <c r="C30" s="175" t="s">
        <v>1022</v>
      </c>
      <c r="D30" s="176">
        <v>1</v>
      </c>
      <c r="E30" s="176">
        <v>2025</v>
      </c>
      <c r="F30" s="176">
        <v>2025</v>
      </c>
      <c r="G30" s="175" t="s">
        <v>23</v>
      </c>
      <c r="H30" s="175" t="s">
        <v>83</v>
      </c>
      <c r="I30" s="175" t="s">
        <v>102</v>
      </c>
      <c r="J30" s="177" t="s">
        <v>398</v>
      </c>
      <c r="K30" s="175" t="s">
        <v>399</v>
      </c>
      <c r="L30" s="175" t="s">
        <v>21</v>
      </c>
      <c r="M30" s="175" t="s">
        <v>21</v>
      </c>
      <c r="N30" s="175">
        <v>1</v>
      </c>
      <c r="O30" s="175" t="s">
        <v>773</v>
      </c>
      <c r="P30" s="175" t="s">
        <v>778</v>
      </c>
      <c r="Q30" s="175" t="s">
        <v>702</v>
      </c>
      <c r="R30" s="175" t="s">
        <v>339</v>
      </c>
      <c r="S30" s="175" t="s">
        <v>22</v>
      </c>
      <c r="T30" s="175" t="s">
        <v>763</v>
      </c>
      <c r="U30" s="176">
        <v>10</v>
      </c>
      <c r="V30" s="176">
        <v>8</v>
      </c>
      <c r="W30" s="176" t="s">
        <v>21</v>
      </c>
      <c r="X30" s="179">
        <f t="shared" si="0"/>
        <v>8</v>
      </c>
      <c r="Y30" s="176">
        <v>4</v>
      </c>
      <c r="Z30" s="176" t="s">
        <v>20</v>
      </c>
      <c r="AA30" s="176" t="s">
        <v>20</v>
      </c>
      <c r="AB30" s="185" t="s">
        <v>18</v>
      </c>
      <c r="AC30" s="186" t="s">
        <v>21</v>
      </c>
      <c r="AD30" s="181" t="s">
        <v>1697</v>
      </c>
      <c r="AE30" s="179" t="s">
        <v>18</v>
      </c>
      <c r="AF30" s="191"/>
      <c r="AG30" s="174" t="s">
        <v>990</v>
      </c>
      <c r="AH30" s="179">
        <v>2</v>
      </c>
      <c r="AI30" s="179">
        <v>1</v>
      </c>
      <c r="AJ30" s="200">
        <f t="shared" si="1"/>
        <v>80</v>
      </c>
      <c r="AK30" s="183">
        <f t="shared" si="2"/>
        <v>5074</v>
      </c>
      <c r="AL30" s="179">
        <f t="shared" si="8"/>
        <v>2</v>
      </c>
      <c r="AM30" s="183">
        <v>0</v>
      </c>
      <c r="AN30" s="183">
        <f t="shared" si="9"/>
        <v>80000</v>
      </c>
      <c r="AO30" s="183">
        <f t="shared" si="3"/>
        <v>100000</v>
      </c>
      <c r="AP30" s="183">
        <f t="shared" si="4"/>
        <v>0</v>
      </c>
      <c r="AQ30" s="183">
        <f t="shared" si="5"/>
        <v>405920</v>
      </c>
      <c r="AR30" s="183"/>
      <c r="AS30" s="183">
        <f t="shared" si="6"/>
        <v>0</v>
      </c>
      <c r="AT30" s="183">
        <f t="shared" si="7"/>
        <v>585920</v>
      </c>
      <c r="AU30" s="175" t="s">
        <v>1698</v>
      </c>
      <c r="AV30" s="175" t="s">
        <v>1699</v>
      </c>
      <c r="AW30" s="175" t="s">
        <v>1700</v>
      </c>
      <c r="AX30" s="175" t="s">
        <v>1701</v>
      </c>
    </row>
    <row r="31" spans="1:50" s="179" customFormat="1" ht="24.95" hidden="1" customHeight="1" x14ac:dyDescent="0.25">
      <c r="A31" s="175">
        <v>14378</v>
      </c>
      <c r="B31" s="175" t="s">
        <v>83</v>
      </c>
      <c r="C31" s="175" t="s">
        <v>1022</v>
      </c>
      <c r="D31" s="176">
        <v>1</v>
      </c>
      <c r="E31" s="176">
        <v>2025</v>
      </c>
      <c r="F31" s="176">
        <v>2025</v>
      </c>
      <c r="G31" s="175" t="s">
        <v>23</v>
      </c>
      <c r="H31" s="175" t="s">
        <v>83</v>
      </c>
      <c r="I31" s="175" t="s">
        <v>102</v>
      </c>
      <c r="J31" s="177" t="s">
        <v>704</v>
      </c>
      <c r="K31" s="175" t="s">
        <v>705</v>
      </c>
      <c r="L31" s="175" t="s">
        <v>21</v>
      </c>
      <c r="M31" s="175" t="s">
        <v>21</v>
      </c>
      <c r="N31" s="175">
        <v>13</v>
      </c>
      <c r="O31" s="175" t="s">
        <v>382</v>
      </c>
      <c r="P31" s="175" t="s">
        <v>714</v>
      </c>
      <c r="Q31" s="175" t="s">
        <v>1201</v>
      </c>
      <c r="R31" s="175" t="s">
        <v>339</v>
      </c>
      <c r="S31" s="175" t="s">
        <v>22</v>
      </c>
      <c r="T31" s="175" t="s">
        <v>337</v>
      </c>
      <c r="U31" s="176">
        <v>20</v>
      </c>
      <c r="V31" s="176">
        <v>90</v>
      </c>
      <c r="W31" s="176" t="s">
        <v>21</v>
      </c>
      <c r="X31" s="179">
        <f t="shared" si="0"/>
        <v>90</v>
      </c>
      <c r="Y31" s="176">
        <v>5</v>
      </c>
      <c r="Z31" s="176" t="s">
        <v>20</v>
      </c>
      <c r="AA31" s="176" t="s">
        <v>18</v>
      </c>
      <c r="AB31" s="185" t="s">
        <v>18</v>
      </c>
      <c r="AC31" s="186" t="s">
        <v>21</v>
      </c>
      <c r="AD31" s="181" t="s">
        <v>1716</v>
      </c>
      <c r="AE31" s="179" t="s">
        <v>18</v>
      </c>
      <c r="AF31" s="191"/>
      <c r="AG31" s="174" t="s">
        <v>990</v>
      </c>
      <c r="AH31" s="179">
        <v>18</v>
      </c>
      <c r="AI31" s="179">
        <f>VLOOKUP(K31,[1]TRAMO!$A:$B,2,0)</f>
        <v>2</v>
      </c>
      <c r="AJ31" s="200">
        <f t="shared" si="1"/>
        <v>1800</v>
      </c>
      <c r="AK31" s="183">
        <f t="shared" si="2"/>
        <v>6372</v>
      </c>
      <c r="AL31" s="179">
        <f t="shared" si="8"/>
        <v>18</v>
      </c>
      <c r="AM31" s="183">
        <v>0</v>
      </c>
      <c r="AN31" s="183">
        <f t="shared" si="9"/>
        <v>1440000</v>
      </c>
      <c r="AO31" s="183">
        <f t="shared" si="3"/>
        <v>0</v>
      </c>
      <c r="AP31" s="183">
        <f t="shared" si="4"/>
        <v>0</v>
      </c>
      <c r="AQ31" s="183">
        <f t="shared" si="5"/>
        <v>11469600</v>
      </c>
      <c r="AR31" s="183"/>
      <c r="AS31" s="183">
        <f t="shared" si="6"/>
        <v>0</v>
      </c>
      <c r="AT31" s="183">
        <f t="shared" si="7"/>
        <v>12909600</v>
      </c>
      <c r="AU31" s="175" t="s">
        <v>1535</v>
      </c>
      <c r="AV31" s="175" t="s">
        <v>1536</v>
      </c>
      <c r="AW31" s="175" t="s">
        <v>1537</v>
      </c>
      <c r="AX31" s="175" t="s">
        <v>1538</v>
      </c>
    </row>
    <row r="32" spans="1:50" s="179" customFormat="1" ht="24.95" hidden="1" customHeight="1" x14ac:dyDescent="0.25">
      <c r="A32" s="175">
        <v>14372</v>
      </c>
      <c r="B32" s="175" t="s">
        <v>83</v>
      </c>
      <c r="C32" s="175" t="s">
        <v>1022</v>
      </c>
      <c r="D32" s="176">
        <v>1</v>
      </c>
      <c r="E32" s="176">
        <v>2025</v>
      </c>
      <c r="F32" s="176">
        <v>2025</v>
      </c>
      <c r="G32" s="175" t="s">
        <v>23</v>
      </c>
      <c r="H32" s="175" t="s">
        <v>83</v>
      </c>
      <c r="I32" s="175" t="s">
        <v>102</v>
      </c>
      <c r="J32" s="177" t="s">
        <v>718</v>
      </c>
      <c r="K32" s="175" t="s">
        <v>719</v>
      </c>
      <c r="L32" s="175" t="s">
        <v>21</v>
      </c>
      <c r="M32" s="175" t="s">
        <v>21</v>
      </c>
      <c r="N32" s="175">
        <v>13</v>
      </c>
      <c r="O32" s="175" t="s">
        <v>382</v>
      </c>
      <c r="P32" s="175" t="s">
        <v>714</v>
      </c>
      <c r="Q32" s="175" t="s">
        <v>1201</v>
      </c>
      <c r="R32" s="175" t="s">
        <v>339</v>
      </c>
      <c r="S32" s="175" t="s">
        <v>19</v>
      </c>
      <c r="T32" s="175" t="s">
        <v>337</v>
      </c>
      <c r="U32" s="176">
        <v>20</v>
      </c>
      <c r="V32" s="176">
        <v>90</v>
      </c>
      <c r="W32" s="176" t="s">
        <v>21</v>
      </c>
      <c r="X32" s="179">
        <f t="shared" si="0"/>
        <v>90</v>
      </c>
      <c r="Y32" s="176">
        <v>5</v>
      </c>
      <c r="Z32" s="176" t="s">
        <v>20</v>
      </c>
      <c r="AA32" s="176" t="s">
        <v>18</v>
      </c>
      <c r="AB32" s="185" t="s">
        <v>18</v>
      </c>
      <c r="AC32" s="186" t="s">
        <v>21</v>
      </c>
      <c r="AD32" s="181" t="s">
        <v>1783</v>
      </c>
      <c r="AE32" s="179" t="s">
        <v>18</v>
      </c>
      <c r="AF32" s="191"/>
      <c r="AG32" s="174" t="s">
        <v>990</v>
      </c>
      <c r="AH32" s="179">
        <v>18</v>
      </c>
      <c r="AI32" s="179">
        <f>VLOOKUP(K32,[1]TRAMO!$A:$B,2,0)</f>
        <v>2</v>
      </c>
      <c r="AJ32" s="200">
        <f t="shared" si="1"/>
        <v>1800</v>
      </c>
      <c r="AK32" s="183">
        <f t="shared" si="2"/>
        <v>6372</v>
      </c>
      <c r="AL32" s="179">
        <f t="shared" si="8"/>
        <v>18</v>
      </c>
      <c r="AM32" s="183">
        <v>0</v>
      </c>
      <c r="AN32" s="183">
        <f t="shared" si="9"/>
        <v>1440000</v>
      </c>
      <c r="AO32" s="183">
        <f t="shared" si="3"/>
        <v>0</v>
      </c>
      <c r="AP32" s="183">
        <f t="shared" si="4"/>
        <v>0</v>
      </c>
      <c r="AQ32" s="183">
        <f t="shared" si="5"/>
        <v>11469600</v>
      </c>
      <c r="AR32" s="183"/>
      <c r="AS32" s="183">
        <f t="shared" si="6"/>
        <v>0</v>
      </c>
      <c r="AT32" s="183">
        <f t="shared" si="7"/>
        <v>12909600</v>
      </c>
      <c r="AU32" s="175" t="s">
        <v>1535</v>
      </c>
      <c r="AV32" s="175" t="s">
        <v>1536</v>
      </c>
      <c r="AW32" s="175" t="s">
        <v>1537</v>
      </c>
      <c r="AX32" s="175" t="s">
        <v>1538</v>
      </c>
    </row>
    <row r="33" spans="1:50" s="179" customFormat="1" ht="24.95" hidden="1" customHeight="1" x14ac:dyDescent="0.25">
      <c r="A33" s="175">
        <v>14374</v>
      </c>
      <c r="B33" s="175" t="s">
        <v>83</v>
      </c>
      <c r="C33" s="175" t="s">
        <v>1022</v>
      </c>
      <c r="D33" s="176">
        <v>1</v>
      </c>
      <c r="E33" s="176">
        <v>2025</v>
      </c>
      <c r="F33" s="176">
        <v>2025</v>
      </c>
      <c r="G33" s="175" t="s">
        <v>23</v>
      </c>
      <c r="H33" s="175" t="s">
        <v>83</v>
      </c>
      <c r="I33" s="175" t="s">
        <v>102</v>
      </c>
      <c r="J33" s="177" t="s">
        <v>1649</v>
      </c>
      <c r="K33" s="175" t="s">
        <v>1650</v>
      </c>
      <c r="L33" s="175" t="s">
        <v>21</v>
      </c>
      <c r="M33" s="175" t="s">
        <v>21</v>
      </c>
      <c r="N33" s="175">
        <v>13</v>
      </c>
      <c r="O33" s="175" t="s">
        <v>382</v>
      </c>
      <c r="P33" s="175" t="s">
        <v>714</v>
      </c>
      <c r="Q33" s="175" t="s">
        <v>1201</v>
      </c>
      <c r="R33" s="175" t="s">
        <v>339</v>
      </c>
      <c r="S33" s="175" t="s">
        <v>22</v>
      </c>
      <c r="T33" s="175" t="s">
        <v>337</v>
      </c>
      <c r="U33" s="176">
        <v>20</v>
      </c>
      <c r="V33" s="176">
        <v>96</v>
      </c>
      <c r="W33" s="176" t="s">
        <v>21</v>
      </c>
      <c r="X33" s="179">
        <f t="shared" si="0"/>
        <v>96</v>
      </c>
      <c r="Y33" s="176">
        <v>4</v>
      </c>
      <c r="Z33" s="176" t="s">
        <v>20</v>
      </c>
      <c r="AA33" s="176" t="s">
        <v>18</v>
      </c>
      <c r="AB33" s="185" t="s">
        <v>18</v>
      </c>
      <c r="AC33" s="186" t="s">
        <v>21</v>
      </c>
      <c r="AD33" s="181" t="s">
        <v>1814</v>
      </c>
      <c r="AE33" s="179" t="s">
        <v>18</v>
      </c>
      <c r="AF33" s="191"/>
      <c r="AG33" s="174" t="s">
        <v>990</v>
      </c>
      <c r="AH33" s="179">
        <v>24</v>
      </c>
      <c r="AI33" s="179">
        <f>VLOOKUP(K33,[1]TRAMO!$A:$B,2,0)</f>
        <v>3</v>
      </c>
      <c r="AJ33" s="200">
        <f t="shared" si="1"/>
        <v>1920</v>
      </c>
      <c r="AK33" s="183">
        <f t="shared" si="2"/>
        <v>7434</v>
      </c>
      <c r="AL33" s="179">
        <f t="shared" si="8"/>
        <v>24</v>
      </c>
      <c r="AM33" s="183">
        <v>0</v>
      </c>
      <c r="AN33" s="183">
        <f t="shared" si="9"/>
        <v>1920000</v>
      </c>
      <c r="AO33" s="183">
        <f t="shared" si="3"/>
        <v>0</v>
      </c>
      <c r="AP33" s="183">
        <f t="shared" si="4"/>
        <v>0</v>
      </c>
      <c r="AQ33" s="183">
        <f t="shared" si="5"/>
        <v>14273280</v>
      </c>
      <c r="AR33" s="183"/>
      <c r="AS33" s="183">
        <f t="shared" si="6"/>
        <v>0</v>
      </c>
      <c r="AT33" s="183">
        <f t="shared" si="7"/>
        <v>16193280</v>
      </c>
      <c r="AU33" s="175" t="s">
        <v>1535</v>
      </c>
      <c r="AV33" s="175" t="s">
        <v>1536</v>
      </c>
      <c r="AW33" s="175" t="s">
        <v>1537</v>
      </c>
      <c r="AX33" s="175" t="s">
        <v>1538</v>
      </c>
    </row>
    <row r="34" spans="1:50" s="179" customFormat="1" ht="24.95" hidden="1" customHeight="1" x14ac:dyDescent="0.25">
      <c r="A34" s="175">
        <v>14368</v>
      </c>
      <c r="B34" s="175" t="s">
        <v>83</v>
      </c>
      <c r="C34" s="175" t="s">
        <v>1022</v>
      </c>
      <c r="D34" s="176">
        <v>1</v>
      </c>
      <c r="E34" s="176">
        <v>2025</v>
      </c>
      <c r="F34" s="176">
        <v>2025</v>
      </c>
      <c r="G34" s="175" t="s">
        <v>23</v>
      </c>
      <c r="H34" s="175" t="s">
        <v>83</v>
      </c>
      <c r="I34" s="175" t="s">
        <v>102</v>
      </c>
      <c r="J34" s="177" t="s">
        <v>1836</v>
      </c>
      <c r="K34" s="175" t="s">
        <v>1837</v>
      </c>
      <c r="L34" s="175" t="s">
        <v>21</v>
      </c>
      <c r="M34" s="175" t="s">
        <v>21</v>
      </c>
      <c r="N34" s="175">
        <v>13</v>
      </c>
      <c r="O34" s="175" t="s">
        <v>382</v>
      </c>
      <c r="P34" s="175" t="s">
        <v>714</v>
      </c>
      <c r="Q34" s="175" t="s">
        <v>1201</v>
      </c>
      <c r="R34" s="175" t="s">
        <v>339</v>
      </c>
      <c r="S34" s="175" t="s">
        <v>22</v>
      </c>
      <c r="T34" s="175" t="s">
        <v>337</v>
      </c>
      <c r="U34" s="176">
        <v>20</v>
      </c>
      <c r="V34" s="176">
        <v>80</v>
      </c>
      <c r="W34" s="176" t="s">
        <v>21</v>
      </c>
      <c r="X34" s="179">
        <f t="shared" ref="X34:X65" si="10">(SUM(V34:W34))*1</f>
        <v>80</v>
      </c>
      <c r="Y34" s="176">
        <v>4</v>
      </c>
      <c r="Z34" s="176" t="s">
        <v>20</v>
      </c>
      <c r="AA34" s="176" t="s">
        <v>18</v>
      </c>
      <c r="AB34" s="185" t="s">
        <v>18</v>
      </c>
      <c r="AC34" s="186" t="s">
        <v>21</v>
      </c>
      <c r="AD34" s="181" t="s">
        <v>1841</v>
      </c>
      <c r="AE34" s="179" t="s">
        <v>18</v>
      </c>
      <c r="AF34" s="191"/>
      <c r="AG34" s="174" t="s">
        <v>990</v>
      </c>
      <c r="AH34" s="179">
        <v>20</v>
      </c>
      <c r="AI34" s="179">
        <f>VLOOKUP(K34,[1]TRAMO!$A:$B,2,0)</f>
        <v>3</v>
      </c>
      <c r="AJ34" s="200">
        <f t="shared" si="1"/>
        <v>1600</v>
      </c>
      <c r="AK34" s="183">
        <f t="shared" si="2"/>
        <v>7434</v>
      </c>
      <c r="AL34" s="179">
        <f t="shared" si="8"/>
        <v>20</v>
      </c>
      <c r="AM34" s="183">
        <v>0</v>
      </c>
      <c r="AN34" s="183">
        <f t="shared" si="9"/>
        <v>1600000</v>
      </c>
      <c r="AO34" s="183">
        <f t="shared" si="3"/>
        <v>0</v>
      </c>
      <c r="AP34" s="183">
        <f t="shared" si="4"/>
        <v>0</v>
      </c>
      <c r="AQ34" s="183">
        <f t="shared" si="5"/>
        <v>11894400</v>
      </c>
      <c r="AR34" s="183"/>
      <c r="AS34" s="183">
        <f t="shared" si="6"/>
        <v>0</v>
      </c>
      <c r="AT34" s="183">
        <f t="shared" si="7"/>
        <v>13494400</v>
      </c>
      <c r="AU34" s="175" t="s">
        <v>1535</v>
      </c>
      <c r="AV34" s="175" t="s">
        <v>1536</v>
      </c>
      <c r="AW34" s="175" t="s">
        <v>1537</v>
      </c>
      <c r="AX34" s="175" t="s">
        <v>1538</v>
      </c>
    </row>
    <row r="35" spans="1:50" s="179" customFormat="1" ht="24.95" hidden="1" customHeight="1" x14ac:dyDescent="0.25">
      <c r="A35" s="175">
        <v>14369</v>
      </c>
      <c r="B35" s="175" t="s">
        <v>83</v>
      </c>
      <c r="C35" s="175" t="s">
        <v>1022</v>
      </c>
      <c r="D35" s="176">
        <v>1</v>
      </c>
      <c r="E35" s="176">
        <v>2025</v>
      </c>
      <c r="F35" s="176">
        <v>2025</v>
      </c>
      <c r="G35" s="175" t="s">
        <v>23</v>
      </c>
      <c r="H35" s="175" t="s">
        <v>83</v>
      </c>
      <c r="I35" s="175" t="s">
        <v>102</v>
      </c>
      <c r="J35" s="177" t="s">
        <v>1032</v>
      </c>
      <c r="K35" s="175" t="s">
        <v>1033</v>
      </c>
      <c r="L35" s="175" t="s">
        <v>21</v>
      </c>
      <c r="M35" s="175" t="s">
        <v>21</v>
      </c>
      <c r="N35" s="175">
        <v>13</v>
      </c>
      <c r="O35" s="175" t="s">
        <v>382</v>
      </c>
      <c r="P35" s="175" t="s">
        <v>714</v>
      </c>
      <c r="Q35" s="175" t="s">
        <v>1201</v>
      </c>
      <c r="R35" s="175" t="s">
        <v>339</v>
      </c>
      <c r="S35" s="175" t="s">
        <v>19</v>
      </c>
      <c r="T35" s="175" t="s">
        <v>337</v>
      </c>
      <c r="U35" s="176">
        <v>20</v>
      </c>
      <c r="V35" s="176">
        <v>120</v>
      </c>
      <c r="W35" s="176" t="s">
        <v>21</v>
      </c>
      <c r="X35" s="179">
        <f t="shared" si="10"/>
        <v>120</v>
      </c>
      <c r="Y35" s="176">
        <v>5</v>
      </c>
      <c r="Z35" s="176" t="s">
        <v>20</v>
      </c>
      <c r="AA35" s="176" t="s">
        <v>18</v>
      </c>
      <c r="AB35" s="185" t="s">
        <v>18</v>
      </c>
      <c r="AC35" s="186" t="s">
        <v>21</v>
      </c>
      <c r="AD35" s="181" t="s">
        <v>1880</v>
      </c>
      <c r="AE35" s="179" t="s">
        <v>18</v>
      </c>
      <c r="AF35" s="191"/>
      <c r="AG35" s="174" t="s">
        <v>990</v>
      </c>
      <c r="AH35" s="179">
        <v>24</v>
      </c>
      <c r="AI35" s="179">
        <f>VLOOKUP(K35,[1]TRAMO!$A:$B,2,0)</f>
        <v>2</v>
      </c>
      <c r="AJ35" s="200">
        <f t="shared" si="1"/>
        <v>2400</v>
      </c>
      <c r="AK35" s="183">
        <f t="shared" si="2"/>
        <v>6372</v>
      </c>
      <c r="AL35" s="179">
        <f t="shared" si="8"/>
        <v>24</v>
      </c>
      <c r="AM35" s="183">
        <v>0</v>
      </c>
      <c r="AN35" s="183">
        <f t="shared" si="9"/>
        <v>1920000</v>
      </c>
      <c r="AO35" s="183">
        <f t="shared" si="3"/>
        <v>0</v>
      </c>
      <c r="AP35" s="183">
        <f t="shared" si="4"/>
        <v>0</v>
      </c>
      <c r="AQ35" s="183">
        <f t="shared" si="5"/>
        <v>15292800</v>
      </c>
      <c r="AR35" s="183"/>
      <c r="AS35" s="183">
        <f t="shared" si="6"/>
        <v>0</v>
      </c>
      <c r="AT35" s="183">
        <f t="shared" si="7"/>
        <v>17212800</v>
      </c>
      <c r="AU35" s="175" t="s">
        <v>1535</v>
      </c>
      <c r="AV35" s="175" t="s">
        <v>1536</v>
      </c>
      <c r="AW35" s="175" t="s">
        <v>1537</v>
      </c>
      <c r="AX35" s="175" t="s">
        <v>1538</v>
      </c>
    </row>
    <row r="36" spans="1:50" s="179" customFormat="1" ht="24.95" hidden="1" customHeight="1" x14ac:dyDescent="0.25">
      <c r="A36" s="175">
        <v>14377</v>
      </c>
      <c r="B36" s="175" t="s">
        <v>83</v>
      </c>
      <c r="C36" s="175" t="s">
        <v>1022</v>
      </c>
      <c r="D36" s="176">
        <v>1</v>
      </c>
      <c r="E36" s="176">
        <v>2025</v>
      </c>
      <c r="F36" s="176">
        <v>2025</v>
      </c>
      <c r="G36" s="175" t="s">
        <v>23</v>
      </c>
      <c r="H36" s="175" t="s">
        <v>83</v>
      </c>
      <c r="I36" s="175" t="s">
        <v>102</v>
      </c>
      <c r="J36" s="177" t="s">
        <v>352</v>
      </c>
      <c r="K36" s="175" t="s">
        <v>351</v>
      </c>
      <c r="L36" s="175" t="s">
        <v>21</v>
      </c>
      <c r="M36" s="175" t="s">
        <v>21</v>
      </c>
      <c r="N36" s="175">
        <v>13</v>
      </c>
      <c r="O36" s="175" t="s">
        <v>382</v>
      </c>
      <c r="P36" s="175" t="s">
        <v>714</v>
      </c>
      <c r="Q36" s="175" t="s">
        <v>1201</v>
      </c>
      <c r="R36" s="175" t="s">
        <v>339</v>
      </c>
      <c r="S36" s="175" t="s">
        <v>19</v>
      </c>
      <c r="T36" s="175" t="s">
        <v>337</v>
      </c>
      <c r="U36" s="176">
        <v>20</v>
      </c>
      <c r="V36" s="176">
        <v>95</v>
      </c>
      <c r="W36" s="176" t="s">
        <v>21</v>
      </c>
      <c r="X36" s="179">
        <f t="shared" si="10"/>
        <v>95</v>
      </c>
      <c r="Y36" s="176">
        <v>5</v>
      </c>
      <c r="Z36" s="176" t="s">
        <v>20</v>
      </c>
      <c r="AA36" s="176" t="s">
        <v>18</v>
      </c>
      <c r="AB36" s="185" t="s">
        <v>18</v>
      </c>
      <c r="AC36" s="186" t="s">
        <v>21</v>
      </c>
      <c r="AD36" s="181" t="s">
        <v>1898</v>
      </c>
      <c r="AE36" s="179" t="s">
        <v>18</v>
      </c>
      <c r="AF36" s="191"/>
      <c r="AG36" s="174" t="s">
        <v>990</v>
      </c>
      <c r="AH36" s="179">
        <v>19</v>
      </c>
      <c r="AI36" s="179">
        <f>VLOOKUP(K36,[1]TRAMO!$A:$B,2,0)</f>
        <v>2</v>
      </c>
      <c r="AJ36" s="200">
        <f t="shared" si="1"/>
        <v>1900</v>
      </c>
      <c r="AK36" s="183">
        <f t="shared" si="2"/>
        <v>6372</v>
      </c>
      <c r="AL36" s="179">
        <f t="shared" si="8"/>
        <v>19</v>
      </c>
      <c r="AM36" s="183">
        <v>0</v>
      </c>
      <c r="AN36" s="183">
        <f t="shared" si="9"/>
        <v>1520000</v>
      </c>
      <c r="AO36" s="183">
        <f t="shared" si="3"/>
        <v>0</v>
      </c>
      <c r="AP36" s="183">
        <f t="shared" si="4"/>
        <v>0</v>
      </c>
      <c r="AQ36" s="183">
        <f t="shared" si="5"/>
        <v>12106800</v>
      </c>
      <c r="AR36" s="183"/>
      <c r="AS36" s="183">
        <f t="shared" si="6"/>
        <v>0</v>
      </c>
      <c r="AT36" s="183">
        <f t="shared" si="7"/>
        <v>13626800</v>
      </c>
      <c r="AU36" s="175" t="s">
        <v>1535</v>
      </c>
      <c r="AV36" s="175" t="s">
        <v>1536</v>
      </c>
      <c r="AW36" s="175" t="s">
        <v>1537</v>
      </c>
      <c r="AX36" s="175" t="s">
        <v>1538</v>
      </c>
    </row>
    <row r="37" spans="1:50" s="179" customFormat="1" ht="24.95" hidden="1" customHeight="1" x14ac:dyDescent="0.25">
      <c r="A37" s="175">
        <v>14370</v>
      </c>
      <c r="B37" s="175" t="s">
        <v>83</v>
      </c>
      <c r="C37" s="175" t="s">
        <v>1022</v>
      </c>
      <c r="D37" s="176">
        <v>1</v>
      </c>
      <c r="E37" s="176">
        <v>2025</v>
      </c>
      <c r="F37" s="176">
        <v>2025</v>
      </c>
      <c r="G37" s="175" t="s">
        <v>23</v>
      </c>
      <c r="H37" s="175" t="s">
        <v>83</v>
      </c>
      <c r="I37" s="175" t="s">
        <v>102</v>
      </c>
      <c r="J37" s="177" t="s">
        <v>350</v>
      </c>
      <c r="K37" s="175" t="s">
        <v>349</v>
      </c>
      <c r="L37" s="175" t="s">
        <v>21</v>
      </c>
      <c r="M37" s="175" t="s">
        <v>21</v>
      </c>
      <c r="N37" s="175">
        <v>13</v>
      </c>
      <c r="O37" s="175" t="s">
        <v>382</v>
      </c>
      <c r="P37" s="175" t="s">
        <v>714</v>
      </c>
      <c r="Q37" s="175" t="s">
        <v>1201</v>
      </c>
      <c r="R37" s="175" t="s">
        <v>339</v>
      </c>
      <c r="S37" s="175" t="s">
        <v>19</v>
      </c>
      <c r="T37" s="175" t="s">
        <v>337</v>
      </c>
      <c r="U37" s="176">
        <v>20</v>
      </c>
      <c r="V37" s="176">
        <v>110</v>
      </c>
      <c r="W37" s="176" t="s">
        <v>21</v>
      </c>
      <c r="X37" s="179">
        <f t="shared" si="10"/>
        <v>110</v>
      </c>
      <c r="Y37" s="176">
        <v>5</v>
      </c>
      <c r="Z37" s="176" t="s">
        <v>20</v>
      </c>
      <c r="AA37" s="176" t="s">
        <v>18</v>
      </c>
      <c r="AB37" s="185" t="s">
        <v>18</v>
      </c>
      <c r="AC37" s="186" t="s">
        <v>21</v>
      </c>
      <c r="AD37" s="181" t="s">
        <v>1783</v>
      </c>
      <c r="AE37" s="179" t="s">
        <v>18</v>
      </c>
      <c r="AF37" s="191"/>
      <c r="AG37" s="174" t="s">
        <v>990</v>
      </c>
      <c r="AH37" s="179">
        <v>22</v>
      </c>
      <c r="AI37" s="179">
        <f>VLOOKUP(K37,[1]TRAMO!$A:$B,2,0)</f>
        <v>2</v>
      </c>
      <c r="AJ37" s="200">
        <f t="shared" si="1"/>
        <v>2200</v>
      </c>
      <c r="AK37" s="183">
        <f t="shared" si="2"/>
        <v>6372</v>
      </c>
      <c r="AL37" s="179">
        <f t="shared" si="8"/>
        <v>22</v>
      </c>
      <c r="AM37" s="183">
        <v>0</v>
      </c>
      <c r="AN37" s="183">
        <f t="shared" si="9"/>
        <v>1760000</v>
      </c>
      <c r="AO37" s="183">
        <f t="shared" si="3"/>
        <v>0</v>
      </c>
      <c r="AP37" s="183">
        <f t="shared" si="4"/>
        <v>0</v>
      </c>
      <c r="AQ37" s="183">
        <f t="shared" si="5"/>
        <v>14018400</v>
      </c>
      <c r="AR37" s="183"/>
      <c r="AS37" s="183">
        <f t="shared" si="6"/>
        <v>0</v>
      </c>
      <c r="AT37" s="183">
        <f t="shared" si="7"/>
        <v>15778400</v>
      </c>
      <c r="AU37" s="175" t="s">
        <v>1535</v>
      </c>
      <c r="AV37" s="175" t="s">
        <v>1536</v>
      </c>
      <c r="AW37" s="175" t="s">
        <v>1537</v>
      </c>
      <c r="AX37" s="175" t="s">
        <v>1538</v>
      </c>
    </row>
    <row r="38" spans="1:50" s="179" customFormat="1" ht="24.95" hidden="1" customHeight="1" x14ac:dyDescent="0.25">
      <c r="A38" s="175">
        <v>14371</v>
      </c>
      <c r="B38" s="175" t="s">
        <v>83</v>
      </c>
      <c r="C38" s="175" t="s">
        <v>1022</v>
      </c>
      <c r="D38" s="176">
        <v>1</v>
      </c>
      <c r="E38" s="176">
        <v>2025</v>
      </c>
      <c r="F38" s="176">
        <v>2025</v>
      </c>
      <c r="G38" s="175" t="s">
        <v>23</v>
      </c>
      <c r="H38" s="175" t="s">
        <v>83</v>
      </c>
      <c r="I38" s="175" t="s">
        <v>102</v>
      </c>
      <c r="J38" s="177" t="s">
        <v>715</v>
      </c>
      <c r="K38" s="175" t="s">
        <v>716</v>
      </c>
      <c r="L38" s="175" t="s">
        <v>21</v>
      </c>
      <c r="M38" s="175" t="s">
        <v>21</v>
      </c>
      <c r="N38" s="175">
        <v>13</v>
      </c>
      <c r="O38" s="175" t="s">
        <v>382</v>
      </c>
      <c r="P38" s="175" t="s">
        <v>714</v>
      </c>
      <c r="Q38" s="175" t="s">
        <v>1201</v>
      </c>
      <c r="R38" s="175" t="s">
        <v>339</v>
      </c>
      <c r="S38" s="175" t="s">
        <v>19</v>
      </c>
      <c r="T38" s="175" t="s">
        <v>337</v>
      </c>
      <c r="U38" s="176">
        <v>20</v>
      </c>
      <c r="V38" s="176">
        <v>150</v>
      </c>
      <c r="W38" s="176" t="s">
        <v>21</v>
      </c>
      <c r="X38" s="179">
        <f t="shared" si="10"/>
        <v>150</v>
      </c>
      <c r="Y38" s="176">
        <v>5</v>
      </c>
      <c r="Z38" s="176" t="s">
        <v>20</v>
      </c>
      <c r="AA38" s="176" t="s">
        <v>18</v>
      </c>
      <c r="AB38" s="185" t="s">
        <v>18</v>
      </c>
      <c r="AC38" s="186" t="s">
        <v>21</v>
      </c>
      <c r="AD38" s="181" t="s">
        <v>1907</v>
      </c>
      <c r="AE38" s="179" t="s">
        <v>18</v>
      </c>
      <c r="AF38" s="191"/>
      <c r="AG38" s="174" t="s">
        <v>990</v>
      </c>
      <c r="AH38" s="179">
        <v>30</v>
      </c>
      <c r="AI38" s="179">
        <f>VLOOKUP(K38,[1]TRAMO!$A:$B,2,0)</f>
        <v>2</v>
      </c>
      <c r="AJ38" s="200">
        <f t="shared" si="1"/>
        <v>3000</v>
      </c>
      <c r="AK38" s="183">
        <f t="shared" si="2"/>
        <v>6372</v>
      </c>
      <c r="AL38" s="179">
        <f t="shared" si="8"/>
        <v>30</v>
      </c>
      <c r="AM38" s="183">
        <v>0</v>
      </c>
      <c r="AN38" s="183">
        <f t="shared" si="9"/>
        <v>2400000</v>
      </c>
      <c r="AO38" s="183">
        <f t="shared" si="3"/>
        <v>0</v>
      </c>
      <c r="AP38" s="183">
        <f t="shared" si="4"/>
        <v>0</v>
      </c>
      <c r="AQ38" s="183">
        <f t="shared" si="5"/>
        <v>19116000</v>
      </c>
      <c r="AR38" s="183"/>
      <c r="AS38" s="183">
        <f t="shared" si="6"/>
        <v>0</v>
      </c>
      <c r="AT38" s="183">
        <f t="shared" si="7"/>
        <v>21516000</v>
      </c>
      <c r="AU38" s="175" t="s">
        <v>1535</v>
      </c>
      <c r="AV38" s="175" t="s">
        <v>1536</v>
      </c>
      <c r="AW38" s="175" t="s">
        <v>1537</v>
      </c>
      <c r="AX38" s="175" t="s">
        <v>1538</v>
      </c>
    </row>
    <row r="39" spans="1:50" s="179" customFormat="1" ht="24.95" hidden="1" customHeight="1" x14ac:dyDescent="0.25">
      <c r="A39" s="175">
        <v>14479</v>
      </c>
      <c r="B39" s="175" t="s">
        <v>83</v>
      </c>
      <c r="C39" s="175" t="s">
        <v>1022</v>
      </c>
      <c r="D39" s="176">
        <v>1</v>
      </c>
      <c r="E39" s="176">
        <v>2025</v>
      </c>
      <c r="F39" s="176">
        <v>2025</v>
      </c>
      <c r="G39" s="175" t="s">
        <v>23</v>
      </c>
      <c r="H39" s="175" t="s">
        <v>83</v>
      </c>
      <c r="I39" s="175" t="s">
        <v>102</v>
      </c>
      <c r="J39" s="177" t="s">
        <v>1926</v>
      </c>
      <c r="K39" s="175" t="s">
        <v>992</v>
      </c>
      <c r="L39" s="175" t="s">
        <v>21</v>
      </c>
      <c r="M39" s="175" t="s">
        <v>21</v>
      </c>
      <c r="N39" s="175">
        <v>6</v>
      </c>
      <c r="O39" s="175" t="s">
        <v>796</v>
      </c>
      <c r="P39" s="175" t="s">
        <v>726</v>
      </c>
      <c r="Q39" s="175" t="s">
        <v>1178</v>
      </c>
      <c r="R39" s="175" t="s">
        <v>339</v>
      </c>
      <c r="S39" s="175" t="s">
        <v>22</v>
      </c>
      <c r="T39" s="175" t="s">
        <v>347</v>
      </c>
      <c r="U39" s="176">
        <v>20</v>
      </c>
      <c r="V39" s="176">
        <v>115</v>
      </c>
      <c r="W39" s="176" t="s">
        <v>21</v>
      </c>
      <c r="X39" s="179">
        <f t="shared" si="10"/>
        <v>115</v>
      </c>
      <c r="Y39" s="176">
        <v>4</v>
      </c>
      <c r="Z39" s="176" t="s">
        <v>20</v>
      </c>
      <c r="AA39" s="176" t="s">
        <v>18</v>
      </c>
      <c r="AB39" s="185" t="s">
        <v>18</v>
      </c>
      <c r="AC39" s="186" t="s">
        <v>1927</v>
      </c>
      <c r="AD39" s="181" t="s">
        <v>1928</v>
      </c>
      <c r="AE39" s="179" t="s">
        <v>18</v>
      </c>
      <c r="AF39" s="191"/>
      <c r="AG39" s="174" t="s">
        <v>990</v>
      </c>
      <c r="AH39" s="179">
        <v>29</v>
      </c>
      <c r="AI39" s="179">
        <v>1</v>
      </c>
      <c r="AJ39" s="200">
        <f t="shared" si="1"/>
        <v>2300</v>
      </c>
      <c r="AK39" s="183">
        <f t="shared" si="2"/>
        <v>5074</v>
      </c>
      <c r="AL39" s="179">
        <f t="shared" si="8"/>
        <v>28.75</v>
      </c>
      <c r="AM39" s="183">
        <v>0</v>
      </c>
      <c r="AN39" s="183">
        <f t="shared" si="9"/>
        <v>2320000</v>
      </c>
      <c r="AO39" s="183">
        <f t="shared" si="3"/>
        <v>0</v>
      </c>
      <c r="AP39" s="183">
        <f t="shared" si="4"/>
        <v>0</v>
      </c>
      <c r="AQ39" s="183">
        <f t="shared" si="5"/>
        <v>11670200</v>
      </c>
      <c r="AR39" s="183"/>
      <c r="AS39" s="183">
        <f t="shared" si="6"/>
        <v>0</v>
      </c>
      <c r="AT39" s="183">
        <f t="shared" si="7"/>
        <v>13990200</v>
      </c>
      <c r="AU39" s="175" t="s">
        <v>1535</v>
      </c>
      <c r="AV39" s="175" t="s">
        <v>1536</v>
      </c>
      <c r="AW39" s="175" t="s">
        <v>1929</v>
      </c>
      <c r="AX39" s="175" t="s">
        <v>1930</v>
      </c>
    </row>
    <row r="40" spans="1:50" s="179" customFormat="1" ht="24.95" hidden="1" customHeight="1" x14ac:dyDescent="0.25">
      <c r="A40" s="175">
        <v>14484</v>
      </c>
      <c r="B40" s="175" t="s">
        <v>83</v>
      </c>
      <c r="C40" s="175" t="s">
        <v>1022</v>
      </c>
      <c r="D40" s="176">
        <v>1</v>
      </c>
      <c r="E40" s="176">
        <v>2025</v>
      </c>
      <c r="F40" s="176">
        <v>2025</v>
      </c>
      <c r="G40" s="175" t="s">
        <v>23</v>
      </c>
      <c r="H40" s="175" t="s">
        <v>83</v>
      </c>
      <c r="I40" s="175" t="s">
        <v>102</v>
      </c>
      <c r="J40" s="177" t="s">
        <v>1926</v>
      </c>
      <c r="K40" s="175" t="s">
        <v>992</v>
      </c>
      <c r="L40" s="175" t="s">
        <v>21</v>
      </c>
      <c r="M40" s="175" t="s">
        <v>21</v>
      </c>
      <c r="N40" s="175">
        <v>6</v>
      </c>
      <c r="O40" s="175" t="s">
        <v>796</v>
      </c>
      <c r="P40" s="175" t="s">
        <v>1931</v>
      </c>
      <c r="Q40" s="175" t="s">
        <v>1178</v>
      </c>
      <c r="R40" s="175" t="s">
        <v>339</v>
      </c>
      <c r="S40" s="175" t="s">
        <v>22</v>
      </c>
      <c r="T40" s="175" t="s">
        <v>347</v>
      </c>
      <c r="U40" s="176">
        <v>20</v>
      </c>
      <c r="V40" s="176">
        <v>115</v>
      </c>
      <c r="W40" s="176" t="s">
        <v>21</v>
      </c>
      <c r="X40" s="179">
        <f t="shared" si="10"/>
        <v>115</v>
      </c>
      <c r="Y40" s="176">
        <v>3</v>
      </c>
      <c r="Z40" s="176" t="s">
        <v>20</v>
      </c>
      <c r="AA40" s="176" t="s">
        <v>18</v>
      </c>
      <c r="AB40" s="185" t="s">
        <v>18</v>
      </c>
      <c r="AC40" s="186" t="s">
        <v>1927</v>
      </c>
      <c r="AD40" s="181" t="s">
        <v>1932</v>
      </c>
      <c r="AE40" s="179" t="s">
        <v>18</v>
      </c>
      <c r="AF40" s="191"/>
      <c r="AG40" s="174" t="s">
        <v>990</v>
      </c>
      <c r="AH40" s="179">
        <v>39</v>
      </c>
      <c r="AI40" s="179">
        <v>1</v>
      </c>
      <c r="AJ40" s="200">
        <f t="shared" si="1"/>
        <v>2300</v>
      </c>
      <c r="AK40" s="183">
        <f t="shared" si="2"/>
        <v>5074</v>
      </c>
      <c r="AL40" s="179">
        <f t="shared" si="8"/>
        <v>38.333333333333336</v>
      </c>
      <c r="AM40" s="183">
        <v>0</v>
      </c>
      <c r="AN40" s="183">
        <f t="shared" si="9"/>
        <v>3120000</v>
      </c>
      <c r="AO40" s="183">
        <f t="shared" si="3"/>
        <v>0</v>
      </c>
      <c r="AP40" s="183">
        <f t="shared" si="4"/>
        <v>0</v>
      </c>
      <c r="AQ40" s="183">
        <f t="shared" si="5"/>
        <v>11670200</v>
      </c>
      <c r="AR40" s="183"/>
      <c r="AS40" s="183">
        <f t="shared" si="6"/>
        <v>0</v>
      </c>
      <c r="AT40" s="183">
        <f t="shared" si="7"/>
        <v>14790200</v>
      </c>
      <c r="AU40" s="175" t="s">
        <v>1535</v>
      </c>
      <c r="AV40" s="175" t="s">
        <v>1536</v>
      </c>
      <c r="AW40" s="175" t="s">
        <v>1929</v>
      </c>
      <c r="AX40" s="175" t="s">
        <v>1930</v>
      </c>
    </row>
    <row r="41" spans="1:50" s="179" customFormat="1" ht="24.95" hidden="1" customHeight="1" x14ac:dyDescent="0.25">
      <c r="A41" s="175">
        <v>14485</v>
      </c>
      <c r="B41" s="175" t="s">
        <v>83</v>
      </c>
      <c r="C41" s="175" t="s">
        <v>1022</v>
      </c>
      <c r="D41" s="176">
        <v>1</v>
      </c>
      <c r="E41" s="176">
        <v>2025</v>
      </c>
      <c r="F41" s="176">
        <v>2025</v>
      </c>
      <c r="G41" s="175" t="s">
        <v>23</v>
      </c>
      <c r="H41" s="175" t="s">
        <v>83</v>
      </c>
      <c r="I41" s="175" t="s">
        <v>102</v>
      </c>
      <c r="J41" s="177" t="s">
        <v>1926</v>
      </c>
      <c r="K41" s="175" t="s">
        <v>992</v>
      </c>
      <c r="L41" s="175" t="s">
        <v>21</v>
      </c>
      <c r="M41" s="175" t="s">
        <v>21</v>
      </c>
      <c r="N41" s="175">
        <v>6</v>
      </c>
      <c r="O41" s="175" t="s">
        <v>796</v>
      </c>
      <c r="P41" s="175" t="s">
        <v>1933</v>
      </c>
      <c r="Q41" s="175" t="s">
        <v>1178</v>
      </c>
      <c r="R41" s="175" t="s">
        <v>339</v>
      </c>
      <c r="S41" s="175" t="s">
        <v>22</v>
      </c>
      <c r="T41" s="175" t="s">
        <v>347</v>
      </c>
      <c r="U41" s="176">
        <v>20</v>
      </c>
      <c r="V41" s="176">
        <v>115</v>
      </c>
      <c r="W41" s="176" t="s">
        <v>21</v>
      </c>
      <c r="X41" s="179">
        <f t="shared" si="10"/>
        <v>115</v>
      </c>
      <c r="Y41" s="176">
        <v>3</v>
      </c>
      <c r="Z41" s="176" t="s">
        <v>20</v>
      </c>
      <c r="AA41" s="176" t="s">
        <v>18</v>
      </c>
      <c r="AB41" s="185" t="s">
        <v>18</v>
      </c>
      <c r="AC41" s="186" t="s">
        <v>1927</v>
      </c>
      <c r="AD41" s="181" t="s">
        <v>1934</v>
      </c>
      <c r="AE41" s="179" t="s">
        <v>18</v>
      </c>
      <c r="AF41" s="191"/>
      <c r="AG41" s="174" t="s">
        <v>990</v>
      </c>
      <c r="AH41" s="179">
        <v>39</v>
      </c>
      <c r="AI41" s="179">
        <v>1</v>
      </c>
      <c r="AJ41" s="200">
        <f t="shared" si="1"/>
        <v>2300</v>
      </c>
      <c r="AK41" s="183">
        <f t="shared" si="2"/>
        <v>5074</v>
      </c>
      <c r="AL41" s="179">
        <f t="shared" si="8"/>
        <v>38.333333333333336</v>
      </c>
      <c r="AM41" s="183">
        <v>0</v>
      </c>
      <c r="AN41" s="183">
        <f t="shared" si="9"/>
        <v>3120000</v>
      </c>
      <c r="AO41" s="183">
        <f t="shared" si="3"/>
        <v>0</v>
      </c>
      <c r="AP41" s="183">
        <f t="shared" si="4"/>
        <v>0</v>
      </c>
      <c r="AQ41" s="183">
        <f t="shared" si="5"/>
        <v>11670200</v>
      </c>
      <c r="AR41" s="183"/>
      <c r="AS41" s="183">
        <f t="shared" si="6"/>
        <v>0</v>
      </c>
      <c r="AT41" s="183">
        <f t="shared" si="7"/>
        <v>14790200</v>
      </c>
      <c r="AU41" s="175" t="s">
        <v>1535</v>
      </c>
      <c r="AV41" s="175" t="s">
        <v>1536</v>
      </c>
      <c r="AW41" s="175" t="s">
        <v>1929</v>
      </c>
      <c r="AX41" s="175" t="s">
        <v>1930</v>
      </c>
    </row>
    <row r="42" spans="1:50" s="179" customFormat="1" ht="24.95" hidden="1" customHeight="1" x14ac:dyDescent="0.25">
      <c r="A42" s="175">
        <v>14487</v>
      </c>
      <c r="B42" s="175" t="s">
        <v>83</v>
      </c>
      <c r="C42" s="175" t="s">
        <v>1022</v>
      </c>
      <c r="D42" s="176">
        <v>1</v>
      </c>
      <c r="E42" s="176">
        <v>2025</v>
      </c>
      <c r="F42" s="176">
        <v>2025</v>
      </c>
      <c r="G42" s="175" t="s">
        <v>23</v>
      </c>
      <c r="H42" s="175" t="s">
        <v>83</v>
      </c>
      <c r="I42" s="175" t="s">
        <v>102</v>
      </c>
      <c r="J42" s="177" t="s">
        <v>1926</v>
      </c>
      <c r="K42" s="175" t="s">
        <v>992</v>
      </c>
      <c r="L42" s="175" t="s">
        <v>21</v>
      </c>
      <c r="M42" s="175" t="s">
        <v>21</v>
      </c>
      <c r="N42" s="175">
        <v>6</v>
      </c>
      <c r="O42" s="175" t="s">
        <v>796</v>
      </c>
      <c r="P42" s="175" t="s">
        <v>1935</v>
      </c>
      <c r="Q42" s="175" t="s">
        <v>1178</v>
      </c>
      <c r="R42" s="175" t="s">
        <v>339</v>
      </c>
      <c r="S42" s="175" t="s">
        <v>22</v>
      </c>
      <c r="T42" s="175" t="s">
        <v>347</v>
      </c>
      <c r="U42" s="176">
        <v>20</v>
      </c>
      <c r="V42" s="176">
        <v>115</v>
      </c>
      <c r="W42" s="176" t="s">
        <v>21</v>
      </c>
      <c r="X42" s="179">
        <f t="shared" si="10"/>
        <v>115</v>
      </c>
      <c r="Y42" s="176">
        <v>3</v>
      </c>
      <c r="Z42" s="176" t="s">
        <v>20</v>
      </c>
      <c r="AA42" s="176" t="s">
        <v>18</v>
      </c>
      <c r="AB42" s="185" t="s">
        <v>18</v>
      </c>
      <c r="AC42" s="186" t="s">
        <v>1927</v>
      </c>
      <c r="AD42" s="181" t="s">
        <v>1936</v>
      </c>
      <c r="AE42" s="179" t="s">
        <v>18</v>
      </c>
      <c r="AF42" s="191"/>
      <c r="AG42" s="174" t="s">
        <v>990</v>
      </c>
      <c r="AH42" s="179">
        <v>39</v>
      </c>
      <c r="AI42" s="179">
        <v>1</v>
      </c>
      <c r="AJ42" s="200">
        <f t="shared" si="1"/>
        <v>2300</v>
      </c>
      <c r="AK42" s="183">
        <f t="shared" si="2"/>
        <v>5074</v>
      </c>
      <c r="AL42" s="179">
        <f t="shared" si="8"/>
        <v>38.333333333333336</v>
      </c>
      <c r="AM42" s="183">
        <v>0</v>
      </c>
      <c r="AN42" s="183">
        <f t="shared" si="9"/>
        <v>3120000</v>
      </c>
      <c r="AO42" s="183">
        <f t="shared" si="3"/>
        <v>0</v>
      </c>
      <c r="AP42" s="183">
        <f t="shared" si="4"/>
        <v>0</v>
      </c>
      <c r="AQ42" s="183">
        <f t="shared" si="5"/>
        <v>11670200</v>
      </c>
      <c r="AR42" s="183"/>
      <c r="AS42" s="183">
        <f t="shared" si="6"/>
        <v>0</v>
      </c>
      <c r="AT42" s="183">
        <f t="shared" si="7"/>
        <v>14790200</v>
      </c>
      <c r="AU42" s="175" t="s">
        <v>1535</v>
      </c>
      <c r="AV42" s="175" t="s">
        <v>1536</v>
      </c>
      <c r="AW42" s="175" t="s">
        <v>1929</v>
      </c>
      <c r="AX42" s="175" t="s">
        <v>1930</v>
      </c>
    </row>
    <row r="43" spans="1:50" s="179" customFormat="1" ht="24.95" hidden="1" customHeight="1" x14ac:dyDescent="0.25">
      <c r="A43" s="175">
        <v>14488</v>
      </c>
      <c r="B43" s="175" t="s">
        <v>83</v>
      </c>
      <c r="C43" s="175" t="s">
        <v>1022</v>
      </c>
      <c r="D43" s="176">
        <v>1</v>
      </c>
      <c r="E43" s="176">
        <v>2025</v>
      </c>
      <c r="F43" s="176">
        <v>2025</v>
      </c>
      <c r="G43" s="175" t="s">
        <v>23</v>
      </c>
      <c r="H43" s="175" t="s">
        <v>83</v>
      </c>
      <c r="I43" s="175" t="s">
        <v>102</v>
      </c>
      <c r="J43" s="177" t="s">
        <v>1926</v>
      </c>
      <c r="K43" s="175" t="s">
        <v>992</v>
      </c>
      <c r="L43" s="175" t="s">
        <v>21</v>
      </c>
      <c r="M43" s="175" t="s">
        <v>21</v>
      </c>
      <c r="N43" s="175">
        <v>6</v>
      </c>
      <c r="O43" s="175" t="s">
        <v>796</v>
      </c>
      <c r="P43" s="175" t="s">
        <v>818</v>
      </c>
      <c r="Q43" s="175" t="s">
        <v>1178</v>
      </c>
      <c r="R43" s="175" t="s">
        <v>339</v>
      </c>
      <c r="S43" s="175" t="s">
        <v>22</v>
      </c>
      <c r="T43" s="175" t="s">
        <v>347</v>
      </c>
      <c r="U43" s="176">
        <v>20</v>
      </c>
      <c r="V43" s="176">
        <v>115</v>
      </c>
      <c r="W43" s="176" t="s">
        <v>21</v>
      </c>
      <c r="X43" s="179">
        <f t="shared" si="10"/>
        <v>115</v>
      </c>
      <c r="Y43" s="176">
        <v>3</v>
      </c>
      <c r="Z43" s="176" t="s">
        <v>20</v>
      </c>
      <c r="AA43" s="176" t="s">
        <v>18</v>
      </c>
      <c r="AB43" s="185" t="s">
        <v>18</v>
      </c>
      <c r="AC43" s="186" t="s">
        <v>1927</v>
      </c>
      <c r="AD43" s="181" t="s">
        <v>1936</v>
      </c>
      <c r="AE43" s="179" t="s">
        <v>18</v>
      </c>
      <c r="AF43" s="191"/>
      <c r="AG43" s="174" t="s">
        <v>990</v>
      </c>
      <c r="AH43" s="179">
        <v>39</v>
      </c>
      <c r="AI43" s="179">
        <v>1</v>
      </c>
      <c r="AJ43" s="200">
        <f t="shared" si="1"/>
        <v>2300</v>
      </c>
      <c r="AK43" s="183">
        <f t="shared" si="2"/>
        <v>5074</v>
      </c>
      <c r="AL43" s="179">
        <f t="shared" si="8"/>
        <v>38.333333333333336</v>
      </c>
      <c r="AM43" s="183">
        <v>0</v>
      </c>
      <c r="AN43" s="183">
        <f t="shared" si="9"/>
        <v>3120000</v>
      </c>
      <c r="AO43" s="183">
        <f t="shared" si="3"/>
        <v>0</v>
      </c>
      <c r="AP43" s="183">
        <f t="shared" si="4"/>
        <v>0</v>
      </c>
      <c r="AQ43" s="183">
        <f t="shared" si="5"/>
        <v>11670200</v>
      </c>
      <c r="AR43" s="183"/>
      <c r="AS43" s="183">
        <f t="shared" si="6"/>
        <v>0</v>
      </c>
      <c r="AT43" s="183">
        <f t="shared" si="7"/>
        <v>14790200</v>
      </c>
      <c r="AU43" s="175" t="s">
        <v>1535</v>
      </c>
      <c r="AV43" s="175" t="s">
        <v>1536</v>
      </c>
      <c r="AW43" s="175" t="s">
        <v>1929</v>
      </c>
      <c r="AX43" s="175" t="s">
        <v>1930</v>
      </c>
    </row>
    <row r="44" spans="1:50" s="179" customFormat="1" ht="24.95" hidden="1" customHeight="1" x14ac:dyDescent="0.25">
      <c r="A44" s="175">
        <v>14490</v>
      </c>
      <c r="B44" s="175" t="s">
        <v>83</v>
      </c>
      <c r="C44" s="175" t="s">
        <v>1022</v>
      </c>
      <c r="D44" s="176">
        <v>1</v>
      </c>
      <c r="E44" s="176">
        <v>2025</v>
      </c>
      <c r="F44" s="176">
        <v>2025</v>
      </c>
      <c r="G44" s="175" t="s">
        <v>23</v>
      </c>
      <c r="H44" s="175" t="s">
        <v>83</v>
      </c>
      <c r="I44" s="175" t="s">
        <v>102</v>
      </c>
      <c r="J44" s="177" t="s">
        <v>1926</v>
      </c>
      <c r="K44" s="175" t="s">
        <v>992</v>
      </c>
      <c r="L44" s="175" t="s">
        <v>21</v>
      </c>
      <c r="M44" s="175" t="s">
        <v>21</v>
      </c>
      <c r="N44" s="175">
        <v>7</v>
      </c>
      <c r="O44" s="175" t="s">
        <v>428</v>
      </c>
      <c r="P44" s="175" t="s">
        <v>1937</v>
      </c>
      <c r="Q44" s="175" t="s">
        <v>1178</v>
      </c>
      <c r="R44" s="175" t="s">
        <v>339</v>
      </c>
      <c r="S44" s="175" t="s">
        <v>22</v>
      </c>
      <c r="T44" s="175" t="s">
        <v>347</v>
      </c>
      <c r="U44" s="176">
        <v>20</v>
      </c>
      <c r="V44" s="176">
        <v>115</v>
      </c>
      <c r="W44" s="176" t="s">
        <v>21</v>
      </c>
      <c r="X44" s="179">
        <f t="shared" si="10"/>
        <v>115</v>
      </c>
      <c r="Y44" s="176">
        <v>3</v>
      </c>
      <c r="Z44" s="176" t="s">
        <v>20</v>
      </c>
      <c r="AA44" s="176" t="s">
        <v>18</v>
      </c>
      <c r="AB44" s="185" t="s">
        <v>18</v>
      </c>
      <c r="AC44" s="186" t="s">
        <v>1927</v>
      </c>
      <c r="AD44" s="181" t="s">
        <v>1936</v>
      </c>
      <c r="AE44" s="179" t="s">
        <v>18</v>
      </c>
      <c r="AF44" s="191"/>
      <c r="AG44" s="174" t="s">
        <v>990</v>
      </c>
      <c r="AH44" s="179">
        <v>39</v>
      </c>
      <c r="AI44" s="179">
        <v>1</v>
      </c>
      <c r="AJ44" s="200">
        <f t="shared" si="1"/>
        <v>2300</v>
      </c>
      <c r="AK44" s="183">
        <f t="shared" si="2"/>
        <v>5074</v>
      </c>
      <c r="AL44" s="179">
        <f t="shared" si="8"/>
        <v>38.333333333333336</v>
      </c>
      <c r="AM44" s="183">
        <v>0</v>
      </c>
      <c r="AN44" s="183">
        <f t="shared" si="9"/>
        <v>3120000</v>
      </c>
      <c r="AO44" s="183">
        <f t="shared" si="3"/>
        <v>0</v>
      </c>
      <c r="AP44" s="183">
        <f t="shared" si="4"/>
        <v>0</v>
      </c>
      <c r="AQ44" s="183">
        <f t="shared" si="5"/>
        <v>11670200</v>
      </c>
      <c r="AR44" s="183"/>
      <c r="AS44" s="183">
        <f t="shared" si="6"/>
        <v>0</v>
      </c>
      <c r="AT44" s="183">
        <f t="shared" si="7"/>
        <v>14790200</v>
      </c>
      <c r="AU44" s="175" t="s">
        <v>1535</v>
      </c>
      <c r="AV44" s="175" t="s">
        <v>1536</v>
      </c>
      <c r="AW44" s="175" t="s">
        <v>1929</v>
      </c>
      <c r="AX44" s="175" t="s">
        <v>1930</v>
      </c>
    </row>
    <row r="45" spans="1:50" s="179" customFormat="1" ht="24.95" hidden="1" customHeight="1" x14ac:dyDescent="0.25">
      <c r="A45" s="175">
        <v>14492</v>
      </c>
      <c r="B45" s="175" t="s">
        <v>83</v>
      </c>
      <c r="C45" s="175" t="s">
        <v>1022</v>
      </c>
      <c r="D45" s="176">
        <v>1</v>
      </c>
      <c r="E45" s="176">
        <v>2025</v>
      </c>
      <c r="F45" s="176">
        <v>2025</v>
      </c>
      <c r="G45" s="175" t="s">
        <v>23</v>
      </c>
      <c r="H45" s="175" t="s">
        <v>83</v>
      </c>
      <c r="I45" s="175" t="s">
        <v>102</v>
      </c>
      <c r="J45" s="177" t="s">
        <v>1926</v>
      </c>
      <c r="K45" s="175" t="s">
        <v>992</v>
      </c>
      <c r="L45" s="175" t="s">
        <v>21</v>
      </c>
      <c r="M45" s="175" t="s">
        <v>21</v>
      </c>
      <c r="N45" s="175">
        <v>7</v>
      </c>
      <c r="O45" s="175" t="s">
        <v>428</v>
      </c>
      <c r="P45" s="175" t="s">
        <v>419</v>
      </c>
      <c r="Q45" s="175" t="s">
        <v>1178</v>
      </c>
      <c r="R45" s="175" t="s">
        <v>339</v>
      </c>
      <c r="S45" s="175" t="s">
        <v>22</v>
      </c>
      <c r="T45" s="175" t="s">
        <v>347</v>
      </c>
      <c r="U45" s="176">
        <v>20</v>
      </c>
      <c r="V45" s="176">
        <v>115</v>
      </c>
      <c r="W45" s="176" t="s">
        <v>21</v>
      </c>
      <c r="X45" s="179">
        <f t="shared" si="10"/>
        <v>115</v>
      </c>
      <c r="Y45" s="176">
        <v>3</v>
      </c>
      <c r="Z45" s="176" t="s">
        <v>20</v>
      </c>
      <c r="AA45" s="176" t="s">
        <v>18</v>
      </c>
      <c r="AB45" s="185" t="s">
        <v>18</v>
      </c>
      <c r="AC45" s="186" t="s">
        <v>1927</v>
      </c>
      <c r="AD45" s="181" t="s">
        <v>1938</v>
      </c>
      <c r="AE45" s="179" t="s">
        <v>18</v>
      </c>
      <c r="AF45" s="191"/>
      <c r="AG45" s="174" t="s">
        <v>990</v>
      </c>
      <c r="AH45" s="179">
        <v>39</v>
      </c>
      <c r="AI45" s="179">
        <v>1</v>
      </c>
      <c r="AJ45" s="200">
        <f t="shared" si="1"/>
        <v>2300</v>
      </c>
      <c r="AK45" s="183">
        <f t="shared" si="2"/>
        <v>5074</v>
      </c>
      <c r="AL45" s="179">
        <f t="shared" si="8"/>
        <v>38.333333333333336</v>
      </c>
      <c r="AM45" s="183">
        <v>0</v>
      </c>
      <c r="AN45" s="183">
        <f t="shared" si="9"/>
        <v>3120000</v>
      </c>
      <c r="AO45" s="183">
        <f t="shared" si="3"/>
        <v>0</v>
      </c>
      <c r="AP45" s="183">
        <f t="shared" si="4"/>
        <v>0</v>
      </c>
      <c r="AQ45" s="183">
        <f t="shared" si="5"/>
        <v>11670200</v>
      </c>
      <c r="AR45" s="183"/>
      <c r="AS45" s="183">
        <f t="shared" si="6"/>
        <v>0</v>
      </c>
      <c r="AT45" s="183">
        <f t="shared" si="7"/>
        <v>14790200</v>
      </c>
      <c r="AU45" s="175" t="s">
        <v>1535</v>
      </c>
      <c r="AV45" s="175" t="s">
        <v>1536</v>
      </c>
      <c r="AW45" s="175" t="s">
        <v>1929</v>
      </c>
      <c r="AX45" s="175" t="s">
        <v>1930</v>
      </c>
    </row>
    <row r="46" spans="1:50" s="179" customFormat="1" ht="24.95" hidden="1" customHeight="1" x14ac:dyDescent="0.25">
      <c r="A46" s="175">
        <v>14493</v>
      </c>
      <c r="B46" s="175" t="s">
        <v>83</v>
      </c>
      <c r="C46" s="175" t="s">
        <v>1022</v>
      </c>
      <c r="D46" s="176">
        <v>1</v>
      </c>
      <c r="E46" s="176">
        <v>2025</v>
      </c>
      <c r="F46" s="176">
        <v>2025</v>
      </c>
      <c r="G46" s="175" t="s">
        <v>23</v>
      </c>
      <c r="H46" s="175" t="s">
        <v>83</v>
      </c>
      <c r="I46" s="175" t="s">
        <v>102</v>
      </c>
      <c r="J46" s="177" t="s">
        <v>1926</v>
      </c>
      <c r="K46" s="175" t="s">
        <v>992</v>
      </c>
      <c r="L46" s="175" t="s">
        <v>21</v>
      </c>
      <c r="M46" s="175" t="s">
        <v>21</v>
      </c>
      <c r="N46" s="175">
        <v>7</v>
      </c>
      <c r="O46" s="175" t="s">
        <v>428</v>
      </c>
      <c r="P46" s="175" t="s">
        <v>419</v>
      </c>
      <c r="Q46" s="175" t="s">
        <v>1178</v>
      </c>
      <c r="R46" s="175" t="s">
        <v>339</v>
      </c>
      <c r="S46" s="175" t="s">
        <v>22</v>
      </c>
      <c r="T46" s="175" t="s">
        <v>347</v>
      </c>
      <c r="U46" s="176">
        <v>20</v>
      </c>
      <c r="V46" s="176">
        <v>115</v>
      </c>
      <c r="W46" s="176" t="s">
        <v>21</v>
      </c>
      <c r="X46" s="179">
        <f t="shared" si="10"/>
        <v>115</v>
      </c>
      <c r="Y46" s="176">
        <v>3</v>
      </c>
      <c r="Z46" s="176" t="s">
        <v>20</v>
      </c>
      <c r="AA46" s="176" t="s">
        <v>18</v>
      </c>
      <c r="AB46" s="185" t="s">
        <v>18</v>
      </c>
      <c r="AC46" s="186" t="s">
        <v>1927</v>
      </c>
      <c r="AD46" s="181" t="s">
        <v>1938</v>
      </c>
      <c r="AE46" s="179" t="s">
        <v>18</v>
      </c>
      <c r="AF46" s="191"/>
      <c r="AG46" s="174" t="s">
        <v>990</v>
      </c>
      <c r="AH46" s="179">
        <v>39</v>
      </c>
      <c r="AI46" s="179">
        <v>1</v>
      </c>
      <c r="AJ46" s="200">
        <f t="shared" si="1"/>
        <v>2300</v>
      </c>
      <c r="AK46" s="183">
        <f t="shared" si="2"/>
        <v>5074</v>
      </c>
      <c r="AL46" s="179">
        <f t="shared" si="8"/>
        <v>38.333333333333336</v>
      </c>
      <c r="AM46" s="183">
        <v>0</v>
      </c>
      <c r="AN46" s="183">
        <f t="shared" si="9"/>
        <v>3120000</v>
      </c>
      <c r="AO46" s="183">
        <f t="shared" si="3"/>
        <v>0</v>
      </c>
      <c r="AP46" s="183">
        <f t="shared" si="4"/>
        <v>0</v>
      </c>
      <c r="AQ46" s="183">
        <f t="shared" si="5"/>
        <v>11670200</v>
      </c>
      <c r="AR46" s="183"/>
      <c r="AS46" s="183">
        <f t="shared" si="6"/>
        <v>0</v>
      </c>
      <c r="AT46" s="183">
        <f t="shared" si="7"/>
        <v>14790200</v>
      </c>
      <c r="AU46" s="175" t="s">
        <v>1535</v>
      </c>
      <c r="AV46" s="175" t="s">
        <v>1536</v>
      </c>
      <c r="AW46" s="175" t="s">
        <v>1929</v>
      </c>
      <c r="AX46" s="175" t="s">
        <v>1930</v>
      </c>
    </row>
    <row r="47" spans="1:50" s="179" customFormat="1" ht="24.95" hidden="1" customHeight="1" x14ac:dyDescent="0.25">
      <c r="A47" s="175">
        <v>14511</v>
      </c>
      <c r="B47" s="175" t="s">
        <v>83</v>
      </c>
      <c r="C47" s="175" t="s">
        <v>1022</v>
      </c>
      <c r="D47" s="176">
        <v>1</v>
      </c>
      <c r="E47" s="176">
        <v>2025</v>
      </c>
      <c r="F47" s="176">
        <v>2025</v>
      </c>
      <c r="G47" s="175" t="s">
        <v>23</v>
      </c>
      <c r="H47" s="175" t="s">
        <v>83</v>
      </c>
      <c r="I47" s="175" t="s">
        <v>102</v>
      </c>
      <c r="J47" s="177" t="s">
        <v>1926</v>
      </c>
      <c r="K47" s="175" t="s">
        <v>992</v>
      </c>
      <c r="L47" s="175" t="s">
        <v>21</v>
      </c>
      <c r="M47" s="175" t="s">
        <v>21</v>
      </c>
      <c r="N47" s="175">
        <v>7</v>
      </c>
      <c r="O47" s="175" t="s">
        <v>428</v>
      </c>
      <c r="P47" s="175" t="s">
        <v>879</v>
      </c>
      <c r="Q47" s="175" t="s">
        <v>1178</v>
      </c>
      <c r="R47" s="175" t="s">
        <v>339</v>
      </c>
      <c r="S47" s="175" t="s">
        <v>22</v>
      </c>
      <c r="T47" s="175" t="s">
        <v>347</v>
      </c>
      <c r="U47" s="176">
        <v>20</v>
      </c>
      <c r="V47" s="176">
        <v>115</v>
      </c>
      <c r="W47" s="176" t="s">
        <v>21</v>
      </c>
      <c r="X47" s="179">
        <f t="shared" si="10"/>
        <v>115</v>
      </c>
      <c r="Y47" s="176">
        <v>3</v>
      </c>
      <c r="Z47" s="176" t="s">
        <v>20</v>
      </c>
      <c r="AA47" s="176" t="s">
        <v>18</v>
      </c>
      <c r="AB47" s="185" t="s">
        <v>18</v>
      </c>
      <c r="AC47" s="186" t="s">
        <v>1927</v>
      </c>
      <c r="AD47" s="181" t="s">
        <v>1939</v>
      </c>
      <c r="AE47" s="179" t="s">
        <v>18</v>
      </c>
      <c r="AF47" s="191"/>
      <c r="AG47" s="174" t="s">
        <v>990</v>
      </c>
      <c r="AH47" s="179">
        <v>39</v>
      </c>
      <c r="AI47" s="179">
        <v>1</v>
      </c>
      <c r="AJ47" s="200">
        <f t="shared" si="1"/>
        <v>2300</v>
      </c>
      <c r="AK47" s="183">
        <f t="shared" si="2"/>
        <v>5074</v>
      </c>
      <c r="AL47" s="179">
        <f t="shared" si="8"/>
        <v>38.333333333333336</v>
      </c>
      <c r="AM47" s="183">
        <v>0</v>
      </c>
      <c r="AN47" s="183">
        <f t="shared" si="9"/>
        <v>3120000</v>
      </c>
      <c r="AO47" s="183">
        <f t="shared" si="3"/>
        <v>0</v>
      </c>
      <c r="AP47" s="183">
        <f t="shared" si="4"/>
        <v>0</v>
      </c>
      <c r="AQ47" s="183">
        <f t="shared" si="5"/>
        <v>11670200</v>
      </c>
      <c r="AR47" s="183"/>
      <c r="AS47" s="183">
        <f t="shared" si="6"/>
        <v>0</v>
      </c>
      <c r="AT47" s="183">
        <f t="shared" si="7"/>
        <v>14790200</v>
      </c>
      <c r="AU47" s="175" t="s">
        <v>1535</v>
      </c>
      <c r="AV47" s="175" t="s">
        <v>1536</v>
      </c>
      <c r="AW47" s="175" t="s">
        <v>1929</v>
      </c>
      <c r="AX47" s="175" t="s">
        <v>1930</v>
      </c>
    </row>
    <row r="48" spans="1:50" s="179" customFormat="1" ht="24.95" hidden="1" customHeight="1" x14ac:dyDescent="0.25">
      <c r="A48" s="175">
        <v>14513</v>
      </c>
      <c r="B48" s="175" t="s">
        <v>83</v>
      </c>
      <c r="C48" s="175" t="s">
        <v>1022</v>
      </c>
      <c r="D48" s="176">
        <v>1</v>
      </c>
      <c r="E48" s="176">
        <v>2025</v>
      </c>
      <c r="F48" s="176">
        <v>2025</v>
      </c>
      <c r="G48" s="175" t="s">
        <v>23</v>
      </c>
      <c r="H48" s="175" t="s">
        <v>83</v>
      </c>
      <c r="I48" s="175" t="s">
        <v>102</v>
      </c>
      <c r="J48" s="177" t="s">
        <v>1926</v>
      </c>
      <c r="K48" s="175" t="s">
        <v>992</v>
      </c>
      <c r="L48" s="175" t="s">
        <v>21</v>
      </c>
      <c r="M48" s="175" t="s">
        <v>21</v>
      </c>
      <c r="N48" s="175">
        <v>7</v>
      </c>
      <c r="O48" s="175" t="s">
        <v>428</v>
      </c>
      <c r="P48" s="175" t="s">
        <v>795</v>
      </c>
      <c r="Q48" s="175" t="s">
        <v>1178</v>
      </c>
      <c r="R48" s="175" t="s">
        <v>339</v>
      </c>
      <c r="S48" s="175" t="s">
        <v>22</v>
      </c>
      <c r="T48" s="175" t="s">
        <v>347</v>
      </c>
      <c r="U48" s="176">
        <v>20</v>
      </c>
      <c r="V48" s="176">
        <v>115</v>
      </c>
      <c r="W48" s="176" t="s">
        <v>21</v>
      </c>
      <c r="X48" s="179">
        <f t="shared" si="10"/>
        <v>115</v>
      </c>
      <c r="Y48" s="176">
        <v>3</v>
      </c>
      <c r="Z48" s="176" t="s">
        <v>20</v>
      </c>
      <c r="AA48" s="176" t="s">
        <v>18</v>
      </c>
      <c r="AB48" s="185" t="s">
        <v>18</v>
      </c>
      <c r="AC48" s="186" t="s">
        <v>1927</v>
      </c>
      <c r="AD48" s="181" t="s">
        <v>1940</v>
      </c>
      <c r="AE48" s="179" t="s">
        <v>18</v>
      </c>
      <c r="AF48" s="191"/>
      <c r="AG48" s="174" t="s">
        <v>990</v>
      </c>
      <c r="AH48" s="179">
        <v>39</v>
      </c>
      <c r="AI48" s="179">
        <v>1</v>
      </c>
      <c r="AJ48" s="200">
        <f t="shared" si="1"/>
        <v>2300</v>
      </c>
      <c r="AK48" s="183">
        <f t="shared" si="2"/>
        <v>5074</v>
      </c>
      <c r="AL48" s="179">
        <f t="shared" si="8"/>
        <v>38.333333333333336</v>
      </c>
      <c r="AM48" s="183">
        <v>0</v>
      </c>
      <c r="AN48" s="183">
        <f t="shared" si="9"/>
        <v>3120000</v>
      </c>
      <c r="AO48" s="183">
        <f t="shared" si="3"/>
        <v>0</v>
      </c>
      <c r="AP48" s="183">
        <f t="shared" si="4"/>
        <v>0</v>
      </c>
      <c r="AQ48" s="183">
        <f t="shared" si="5"/>
        <v>11670200</v>
      </c>
      <c r="AR48" s="183"/>
      <c r="AS48" s="183">
        <f t="shared" si="6"/>
        <v>0</v>
      </c>
      <c r="AT48" s="183">
        <f t="shared" si="7"/>
        <v>14790200</v>
      </c>
      <c r="AU48" s="175" t="s">
        <v>1535</v>
      </c>
      <c r="AV48" s="175" t="s">
        <v>1536</v>
      </c>
      <c r="AW48" s="175" t="s">
        <v>1929</v>
      </c>
      <c r="AX48" s="175" t="s">
        <v>1930</v>
      </c>
    </row>
    <row r="49" spans="1:50" s="179" customFormat="1" ht="24.95" hidden="1" customHeight="1" x14ac:dyDescent="0.25">
      <c r="A49" s="175">
        <v>14521</v>
      </c>
      <c r="B49" s="175" t="s">
        <v>83</v>
      </c>
      <c r="C49" s="175" t="s">
        <v>1022</v>
      </c>
      <c r="D49" s="176">
        <v>1</v>
      </c>
      <c r="E49" s="176">
        <v>2025</v>
      </c>
      <c r="F49" s="176">
        <v>2025</v>
      </c>
      <c r="G49" s="175" t="s">
        <v>23</v>
      </c>
      <c r="H49" s="175" t="s">
        <v>83</v>
      </c>
      <c r="I49" s="175" t="s">
        <v>102</v>
      </c>
      <c r="J49" s="177" t="s">
        <v>2011</v>
      </c>
      <c r="K49" s="175" t="s">
        <v>992</v>
      </c>
      <c r="L49" s="175" t="s">
        <v>21</v>
      </c>
      <c r="M49" s="175" t="s">
        <v>21</v>
      </c>
      <c r="N49" s="175">
        <v>10</v>
      </c>
      <c r="O49" s="175" t="s">
        <v>706</v>
      </c>
      <c r="P49" s="175" t="s">
        <v>774</v>
      </c>
      <c r="Q49" s="175" t="s">
        <v>880</v>
      </c>
      <c r="R49" s="175" t="s">
        <v>339</v>
      </c>
      <c r="S49" s="175" t="s">
        <v>22</v>
      </c>
      <c r="T49" s="175" t="s">
        <v>347</v>
      </c>
      <c r="U49" s="176">
        <v>20</v>
      </c>
      <c r="V49" s="176">
        <v>80</v>
      </c>
      <c r="W49" s="176" t="s">
        <v>21</v>
      </c>
      <c r="X49" s="179">
        <f t="shared" si="10"/>
        <v>80</v>
      </c>
      <c r="Y49" s="176">
        <v>5</v>
      </c>
      <c r="Z49" s="176" t="s">
        <v>20</v>
      </c>
      <c r="AA49" s="176" t="s">
        <v>18</v>
      </c>
      <c r="AB49" s="185" t="s">
        <v>18</v>
      </c>
      <c r="AC49" s="186" t="s">
        <v>2012</v>
      </c>
      <c r="AD49" s="181" t="s">
        <v>2013</v>
      </c>
      <c r="AE49" s="179" t="s">
        <v>18</v>
      </c>
      <c r="AF49" s="191"/>
      <c r="AG49" s="174" t="s">
        <v>990</v>
      </c>
      <c r="AH49" s="179">
        <v>16</v>
      </c>
      <c r="AI49" s="179">
        <v>2</v>
      </c>
      <c r="AJ49" s="200">
        <f t="shared" si="1"/>
        <v>1600</v>
      </c>
      <c r="AK49" s="183">
        <f t="shared" si="2"/>
        <v>6372</v>
      </c>
      <c r="AL49" s="179">
        <f t="shared" si="8"/>
        <v>16</v>
      </c>
      <c r="AM49" s="183">
        <v>0</v>
      </c>
      <c r="AN49" s="183">
        <f t="shared" si="9"/>
        <v>1280000</v>
      </c>
      <c r="AO49" s="183">
        <f t="shared" si="3"/>
        <v>0</v>
      </c>
      <c r="AP49" s="183">
        <f t="shared" si="4"/>
        <v>0</v>
      </c>
      <c r="AQ49" s="183">
        <f t="shared" si="5"/>
        <v>10195200</v>
      </c>
      <c r="AR49" s="183"/>
      <c r="AS49" s="183">
        <f t="shared" si="6"/>
        <v>0</v>
      </c>
      <c r="AT49" s="183">
        <f t="shared" si="7"/>
        <v>11475200</v>
      </c>
      <c r="AU49" s="175" t="s">
        <v>1535</v>
      </c>
      <c r="AV49" s="175" t="s">
        <v>1536</v>
      </c>
      <c r="AW49" s="175" t="s">
        <v>2014</v>
      </c>
      <c r="AX49" s="175" t="s">
        <v>2015</v>
      </c>
    </row>
    <row r="50" spans="1:50" s="179" customFormat="1" ht="24.95" hidden="1" customHeight="1" x14ac:dyDescent="0.25">
      <c r="A50" s="175">
        <v>14363</v>
      </c>
      <c r="B50" s="175" t="s">
        <v>83</v>
      </c>
      <c r="C50" s="175" t="s">
        <v>1022</v>
      </c>
      <c r="D50" s="176">
        <v>1</v>
      </c>
      <c r="E50" s="176">
        <v>2025</v>
      </c>
      <c r="F50" s="176">
        <v>2025</v>
      </c>
      <c r="G50" s="175" t="s">
        <v>23</v>
      </c>
      <c r="H50" s="175" t="s">
        <v>83</v>
      </c>
      <c r="I50" s="175" t="s">
        <v>102</v>
      </c>
      <c r="J50" s="177" t="s">
        <v>1847</v>
      </c>
      <c r="K50" s="175" t="s">
        <v>1848</v>
      </c>
      <c r="L50" s="175" t="s">
        <v>2029</v>
      </c>
      <c r="M50" s="175" t="s">
        <v>2030</v>
      </c>
      <c r="N50" s="175">
        <v>5</v>
      </c>
      <c r="O50" s="175" t="s">
        <v>395</v>
      </c>
      <c r="P50" s="175" t="s">
        <v>397</v>
      </c>
      <c r="Q50" s="175" t="s">
        <v>702</v>
      </c>
      <c r="R50" s="175" t="s">
        <v>339</v>
      </c>
      <c r="S50" s="175" t="s">
        <v>19</v>
      </c>
      <c r="T50" s="175" t="s">
        <v>337</v>
      </c>
      <c r="U50" s="176">
        <v>10</v>
      </c>
      <c r="V50" s="176">
        <v>36</v>
      </c>
      <c r="W50" s="176">
        <v>12</v>
      </c>
      <c r="X50" s="179">
        <f t="shared" si="10"/>
        <v>48</v>
      </c>
      <c r="Y50" s="176">
        <v>4</v>
      </c>
      <c r="Z50" s="176" t="s">
        <v>20</v>
      </c>
      <c r="AA50" s="176" t="s">
        <v>20</v>
      </c>
      <c r="AB50" s="185" t="s">
        <v>18</v>
      </c>
      <c r="AC50" s="186" t="s">
        <v>21</v>
      </c>
      <c r="AD50" s="181" t="s">
        <v>2031</v>
      </c>
      <c r="AE50" s="179" t="s">
        <v>18</v>
      </c>
      <c r="AF50" s="191"/>
      <c r="AG50" s="174" t="s">
        <v>990</v>
      </c>
      <c r="AH50" s="179">
        <v>12</v>
      </c>
      <c r="AI50" s="179">
        <f>VLOOKUP(K50,[1]TRAMO!$A:$B,2,0)</f>
        <v>1</v>
      </c>
      <c r="AJ50" s="200">
        <f t="shared" si="1"/>
        <v>480</v>
      </c>
      <c r="AK50" s="183">
        <f t="shared" si="2"/>
        <v>5074</v>
      </c>
      <c r="AL50" s="179">
        <f t="shared" si="8"/>
        <v>12</v>
      </c>
      <c r="AM50" s="183">
        <v>0</v>
      </c>
      <c r="AN50" s="183">
        <f t="shared" si="9"/>
        <v>480000</v>
      </c>
      <c r="AO50" s="183">
        <f t="shared" si="3"/>
        <v>600000</v>
      </c>
      <c r="AP50" s="183">
        <f t="shared" si="4"/>
        <v>0</v>
      </c>
      <c r="AQ50" s="183">
        <f t="shared" si="5"/>
        <v>2435520</v>
      </c>
      <c r="AR50" s="183"/>
      <c r="AS50" s="183">
        <f t="shared" si="6"/>
        <v>0</v>
      </c>
      <c r="AT50" s="183">
        <f t="shared" si="7"/>
        <v>3515520</v>
      </c>
      <c r="AU50" s="175" t="s">
        <v>1535</v>
      </c>
      <c r="AV50" s="175" t="s">
        <v>1536</v>
      </c>
      <c r="AW50" s="175" t="s">
        <v>2032</v>
      </c>
      <c r="AX50" s="175" t="s">
        <v>1023</v>
      </c>
    </row>
    <row r="51" spans="1:50" s="179" customFormat="1" ht="24.95" hidden="1" customHeight="1" x14ac:dyDescent="0.25">
      <c r="A51" s="175">
        <v>14527</v>
      </c>
      <c r="B51" s="175" t="s">
        <v>83</v>
      </c>
      <c r="C51" s="175" t="s">
        <v>1022</v>
      </c>
      <c r="D51" s="176">
        <v>1</v>
      </c>
      <c r="E51" s="176">
        <v>2025</v>
      </c>
      <c r="F51" s="176">
        <v>2025</v>
      </c>
      <c r="G51" s="175" t="s">
        <v>23</v>
      </c>
      <c r="H51" s="175" t="s">
        <v>83</v>
      </c>
      <c r="I51" s="175" t="s">
        <v>102</v>
      </c>
      <c r="J51" s="177" t="s">
        <v>711</v>
      </c>
      <c r="K51" s="175" t="s">
        <v>712</v>
      </c>
      <c r="L51" s="175" t="s">
        <v>722</v>
      </c>
      <c r="M51" s="175" t="s">
        <v>723</v>
      </c>
      <c r="N51" s="175">
        <v>13</v>
      </c>
      <c r="O51" s="175" t="s">
        <v>382</v>
      </c>
      <c r="P51" s="175" t="s">
        <v>416</v>
      </c>
      <c r="Q51" s="175" t="s">
        <v>1201</v>
      </c>
      <c r="R51" s="175" t="s">
        <v>339</v>
      </c>
      <c r="S51" s="175" t="s">
        <v>19</v>
      </c>
      <c r="T51" s="175" t="s">
        <v>703</v>
      </c>
      <c r="U51" s="176">
        <v>14</v>
      </c>
      <c r="V51" s="176">
        <v>160</v>
      </c>
      <c r="W51" s="176">
        <v>15</v>
      </c>
      <c r="X51" s="179">
        <f t="shared" si="10"/>
        <v>175</v>
      </c>
      <c r="Y51" s="176">
        <v>4</v>
      </c>
      <c r="Z51" s="176" t="s">
        <v>20</v>
      </c>
      <c r="AA51" s="176" t="s">
        <v>18</v>
      </c>
      <c r="AB51" s="185" t="s">
        <v>18</v>
      </c>
      <c r="AC51" s="186" t="s">
        <v>21</v>
      </c>
      <c r="AD51" s="181" t="s">
        <v>2033</v>
      </c>
      <c r="AE51" s="179" t="s">
        <v>18</v>
      </c>
      <c r="AF51" s="191"/>
      <c r="AG51" s="174" t="s">
        <v>990</v>
      </c>
      <c r="AH51" s="179">
        <v>44</v>
      </c>
      <c r="AI51" s="179">
        <f>VLOOKUP(K51,[1]TRAMO!$A:$B,2,0)</f>
        <v>2</v>
      </c>
      <c r="AJ51" s="200">
        <f t="shared" si="1"/>
        <v>2450</v>
      </c>
      <c r="AK51" s="183">
        <f t="shared" si="2"/>
        <v>6372</v>
      </c>
      <c r="AL51" s="179">
        <f t="shared" si="8"/>
        <v>43.75</v>
      </c>
      <c r="AM51" s="183">
        <v>0</v>
      </c>
      <c r="AN51" s="183">
        <f t="shared" si="9"/>
        <v>2464000</v>
      </c>
      <c r="AO51" s="183">
        <f t="shared" si="3"/>
        <v>0</v>
      </c>
      <c r="AP51" s="183">
        <f t="shared" si="4"/>
        <v>0</v>
      </c>
      <c r="AQ51" s="183">
        <f t="shared" si="5"/>
        <v>15611400</v>
      </c>
      <c r="AR51" s="183"/>
      <c r="AS51" s="183">
        <f t="shared" si="6"/>
        <v>0</v>
      </c>
      <c r="AT51" s="183">
        <f t="shared" si="7"/>
        <v>18075400</v>
      </c>
      <c r="AU51" s="175" t="s">
        <v>2034</v>
      </c>
      <c r="AV51" s="175" t="s">
        <v>2035</v>
      </c>
      <c r="AW51" s="175" t="s">
        <v>2036</v>
      </c>
      <c r="AX51" s="175" t="s">
        <v>2037</v>
      </c>
    </row>
    <row r="52" spans="1:50" s="179" customFormat="1" ht="24.95" hidden="1" customHeight="1" x14ac:dyDescent="0.25">
      <c r="A52" s="175">
        <v>14526</v>
      </c>
      <c r="B52" s="175" t="s">
        <v>83</v>
      </c>
      <c r="C52" s="175" t="s">
        <v>1022</v>
      </c>
      <c r="D52" s="176">
        <v>1</v>
      </c>
      <c r="E52" s="176">
        <v>2025</v>
      </c>
      <c r="F52" s="176">
        <v>2025</v>
      </c>
      <c r="G52" s="175" t="s">
        <v>23</v>
      </c>
      <c r="H52" s="175" t="s">
        <v>83</v>
      </c>
      <c r="I52" s="175" t="s">
        <v>102</v>
      </c>
      <c r="J52" s="177" t="s">
        <v>2038</v>
      </c>
      <c r="K52" s="175" t="s">
        <v>992</v>
      </c>
      <c r="L52" s="175" t="s">
        <v>722</v>
      </c>
      <c r="M52" s="175" t="s">
        <v>723</v>
      </c>
      <c r="N52" s="175">
        <v>13</v>
      </c>
      <c r="O52" s="175" t="s">
        <v>382</v>
      </c>
      <c r="P52" s="175" t="s">
        <v>730</v>
      </c>
      <c r="Q52" s="175" t="s">
        <v>1201</v>
      </c>
      <c r="R52" s="175" t="s">
        <v>339</v>
      </c>
      <c r="S52" s="175" t="s">
        <v>19</v>
      </c>
      <c r="T52" s="175" t="s">
        <v>393</v>
      </c>
      <c r="U52" s="176">
        <v>17</v>
      </c>
      <c r="V52" s="176">
        <v>66</v>
      </c>
      <c r="W52" s="176">
        <v>15</v>
      </c>
      <c r="X52" s="179">
        <f t="shared" si="10"/>
        <v>81</v>
      </c>
      <c r="Y52" s="176">
        <v>4</v>
      </c>
      <c r="Z52" s="176" t="s">
        <v>20</v>
      </c>
      <c r="AA52" s="176" t="s">
        <v>18</v>
      </c>
      <c r="AB52" s="185" t="s">
        <v>18</v>
      </c>
      <c r="AC52" s="186" t="s">
        <v>2039</v>
      </c>
      <c r="AD52" s="181" t="s">
        <v>2040</v>
      </c>
      <c r="AE52" s="179" t="s">
        <v>18</v>
      </c>
      <c r="AF52" s="191"/>
      <c r="AG52" s="174" t="s">
        <v>990</v>
      </c>
      <c r="AH52" s="179">
        <v>21</v>
      </c>
      <c r="AI52" s="179">
        <v>2</v>
      </c>
      <c r="AJ52" s="200">
        <f t="shared" si="1"/>
        <v>1377</v>
      </c>
      <c r="AK52" s="183">
        <f t="shared" si="2"/>
        <v>6372</v>
      </c>
      <c r="AL52" s="179">
        <f t="shared" si="8"/>
        <v>20.25</v>
      </c>
      <c r="AM52" s="183">
        <v>0</v>
      </c>
      <c r="AN52" s="183">
        <f t="shared" si="9"/>
        <v>1428000</v>
      </c>
      <c r="AO52" s="183">
        <f t="shared" si="3"/>
        <v>0</v>
      </c>
      <c r="AP52" s="183">
        <f t="shared" si="4"/>
        <v>0</v>
      </c>
      <c r="AQ52" s="183">
        <f t="shared" si="5"/>
        <v>8774244</v>
      </c>
      <c r="AR52" s="183"/>
      <c r="AS52" s="183">
        <f t="shared" si="6"/>
        <v>0</v>
      </c>
      <c r="AT52" s="183">
        <f t="shared" si="7"/>
        <v>10202244</v>
      </c>
      <c r="AU52" s="175" t="s">
        <v>2034</v>
      </c>
      <c r="AV52" s="175" t="s">
        <v>2035</v>
      </c>
      <c r="AW52" s="175" t="s">
        <v>2036</v>
      </c>
      <c r="AX52" s="175" t="s">
        <v>2037</v>
      </c>
    </row>
    <row r="53" spans="1:50" s="179" customFormat="1" ht="24.95" hidden="1" customHeight="1" x14ac:dyDescent="0.25">
      <c r="A53" s="175">
        <v>14375</v>
      </c>
      <c r="B53" s="175" t="s">
        <v>83</v>
      </c>
      <c r="C53" s="175" t="s">
        <v>1022</v>
      </c>
      <c r="D53" s="176">
        <v>1</v>
      </c>
      <c r="E53" s="176">
        <v>2025</v>
      </c>
      <c r="F53" s="176">
        <v>2025</v>
      </c>
      <c r="G53" s="175" t="s">
        <v>23</v>
      </c>
      <c r="H53" s="175" t="s">
        <v>83</v>
      </c>
      <c r="I53" s="175" t="s">
        <v>102</v>
      </c>
      <c r="J53" s="177" t="s">
        <v>849</v>
      </c>
      <c r="K53" s="175" t="s">
        <v>848</v>
      </c>
      <c r="L53" s="175" t="s">
        <v>1011</v>
      </c>
      <c r="M53" s="175" t="s">
        <v>1012</v>
      </c>
      <c r="N53" s="175">
        <v>13</v>
      </c>
      <c r="O53" s="175" t="s">
        <v>382</v>
      </c>
      <c r="P53" s="175" t="s">
        <v>714</v>
      </c>
      <c r="Q53" s="175" t="s">
        <v>1201</v>
      </c>
      <c r="R53" s="175" t="s">
        <v>339</v>
      </c>
      <c r="S53" s="175" t="s">
        <v>19</v>
      </c>
      <c r="T53" s="175" t="s">
        <v>337</v>
      </c>
      <c r="U53" s="176">
        <v>20</v>
      </c>
      <c r="V53" s="176">
        <v>110</v>
      </c>
      <c r="W53" s="176">
        <v>12</v>
      </c>
      <c r="X53" s="179">
        <f t="shared" si="10"/>
        <v>122</v>
      </c>
      <c r="Y53" s="176">
        <v>5</v>
      </c>
      <c r="Z53" s="176" t="s">
        <v>20</v>
      </c>
      <c r="AA53" s="176" t="s">
        <v>18</v>
      </c>
      <c r="AB53" s="185" t="s">
        <v>18</v>
      </c>
      <c r="AC53" s="186" t="s">
        <v>21</v>
      </c>
      <c r="AD53" s="181" t="s">
        <v>2041</v>
      </c>
      <c r="AE53" s="179" t="s">
        <v>18</v>
      </c>
      <c r="AF53" s="191"/>
      <c r="AG53" s="174" t="s">
        <v>990</v>
      </c>
      <c r="AH53" s="179">
        <v>25</v>
      </c>
      <c r="AI53" s="179">
        <f>VLOOKUP(K53,[1]TRAMO!$A:$B,2,0)</f>
        <v>3</v>
      </c>
      <c r="AJ53" s="200">
        <f t="shared" si="1"/>
        <v>2440</v>
      </c>
      <c r="AK53" s="183">
        <f t="shared" si="2"/>
        <v>7434</v>
      </c>
      <c r="AL53" s="179">
        <f t="shared" si="8"/>
        <v>24.4</v>
      </c>
      <c r="AM53" s="183">
        <v>0</v>
      </c>
      <c r="AN53" s="183">
        <f t="shared" si="9"/>
        <v>2000000</v>
      </c>
      <c r="AO53" s="183">
        <f t="shared" si="3"/>
        <v>0</v>
      </c>
      <c r="AP53" s="183">
        <f t="shared" si="4"/>
        <v>0</v>
      </c>
      <c r="AQ53" s="183">
        <f t="shared" si="5"/>
        <v>18138960</v>
      </c>
      <c r="AR53" s="183"/>
      <c r="AS53" s="183">
        <f t="shared" si="6"/>
        <v>0</v>
      </c>
      <c r="AT53" s="183">
        <f t="shared" si="7"/>
        <v>20138960</v>
      </c>
      <c r="AU53" s="175" t="s">
        <v>1535</v>
      </c>
      <c r="AV53" s="175" t="s">
        <v>1536</v>
      </c>
      <c r="AW53" s="175" t="s">
        <v>1537</v>
      </c>
      <c r="AX53" s="175" t="s">
        <v>1538</v>
      </c>
    </row>
    <row r="54" spans="1:50" s="179" customFormat="1" ht="24.95" hidden="1" customHeight="1" x14ac:dyDescent="0.25">
      <c r="A54" s="175">
        <v>14362</v>
      </c>
      <c r="B54" s="175" t="s">
        <v>83</v>
      </c>
      <c r="C54" s="175" t="s">
        <v>1022</v>
      </c>
      <c r="D54" s="176">
        <v>1</v>
      </c>
      <c r="E54" s="176">
        <v>2025</v>
      </c>
      <c r="F54" s="176">
        <v>2025</v>
      </c>
      <c r="G54" s="175" t="s">
        <v>23</v>
      </c>
      <c r="H54" s="175" t="s">
        <v>83</v>
      </c>
      <c r="I54" s="175" t="s">
        <v>102</v>
      </c>
      <c r="J54" s="177" t="s">
        <v>2050</v>
      </c>
      <c r="K54" s="175" t="s">
        <v>2051</v>
      </c>
      <c r="L54" s="175" t="s">
        <v>345</v>
      </c>
      <c r="M54" s="175" t="s">
        <v>346</v>
      </c>
      <c r="N54" s="175">
        <v>13</v>
      </c>
      <c r="O54" s="175" t="s">
        <v>382</v>
      </c>
      <c r="P54" s="175" t="s">
        <v>416</v>
      </c>
      <c r="Q54" s="175" t="s">
        <v>702</v>
      </c>
      <c r="R54" s="175" t="s">
        <v>339</v>
      </c>
      <c r="S54" s="175" t="s">
        <v>19</v>
      </c>
      <c r="T54" s="175" t="s">
        <v>337</v>
      </c>
      <c r="U54" s="176">
        <v>12</v>
      </c>
      <c r="V54" s="176">
        <v>112</v>
      </c>
      <c r="W54" s="176">
        <v>12</v>
      </c>
      <c r="X54" s="179">
        <f t="shared" si="10"/>
        <v>124</v>
      </c>
      <c r="Y54" s="176">
        <v>4</v>
      </c>
      <c r="Z54" s="176" t="s">
        <v>20</v>
      </c>
      <c r="AA54" s="176" t="s">
        <v>20</v>
      </c>
      <c r="AB54" s="176" t="s">
        <v>20</v>
      </c>
      <c r="AC54" s="186" t="s">
        <v>21</v>
      </c>
      <c r="AD54" s="181" t="s">
        <v>2052</v>
      </c>
      <c r="AE54" s="179" t="s">
        <v>18</v>
      </c>
      <c r="AF54" s="191"/>
      <c r="AG54" s="174" t="s">
        <v>990</v>
      </c>
      <c r="AH54" s="179">
        <v>31</v>
      </c>
      <c r="AI54" s="179">
        <v>2</v>
      </c>
      <c r="AJ54" s="200">
        <f t="shared" si="1"/>
        <v>1488</v>
      </c>
      <c r="AK54" s="183">
        <f t="shared" si="2"/>
        <v>6372</v>
      </c>
      <c r="AL54" s="179">
        <f t="shared" si="8"/>
        <v>31</v>
      </c>
      <c r="AM54" s="183">
        <v>0</v>
      </c>
      <c r="AN54" s="183">
        <f t="shared" si="9"/>
        <v>1488000</v>
      </c>
      <c r="AO54" s="183">
        <f t="shared" si="3"/>
        <v>1860000</v>
      </c>
      <c r="AP54" s="183">
        <f t="shared" si="4"/>
        <v>3240000</v>
      </c>
      <c r="AQ54" s="183">
        <f t="shared" si="5"/>
        <v>9481536</v>
      </c>
      <c r="AR54" s="183"/>
      <c r="AS54" s="183">
        <f t="shared" si="6"/>
        <v>0</v>
      </c>
      <c r="AT54" s="183">
        <f t="shared" si="7"/>
        <v>16069536</v>
      </c>
      <c r="AU54" s="175" t="s">
        <v>1535</v>
      </c>
      <c r="AV54" s="175" t="s">
        <v>1536</v>
      </c>
      <c r="AW54" s="175" t="s">
        <v>2032</v>
      </c>
      <c r="AX54" s="175" t="s">
        <v>1023</v>
      </c>
    </row>
    <row r="55" spans="1:50" s="179" customFormat="1" ht="24.95" hidden="1" customHeight="1" x14ac:dyDescent="0.25">
      <c r="A55" s="175">
        <v>14366</v>
      </c>
      <c r="B55" s="175" t="s">
        <v>83</v>
      </c>
      <c r="C55" s="175" t="s">
        <v>1022</v>
      </c>
      <c r="D55" s="176">
        <v>1</v>
      </c>
      <c r="E55" s="176">
        <v>2025</v>
      </c>
      <c r="F55" s="176">
        <v>2025</v>
      </c>
      <c r="G55" s="175" t="s">
        <v>23</v>
      </c>
      <c r="H55" s="175" t="s">
        <v>83</v>
      </c>
      <c r="I55" s="175" t="s">
        <v>102</v>
      </c>
      <c r="J55" s="177" t="s">
        <v>718</v>
      </c>
      <c r="K55" s="175" t="s">
        <v>719</v>
      </c>
      <c r="L55" s="175" t="s">
        <v>345</v>
      </c>
      <c r="M55" s="175" t="s">
        <v>346</v>
      </c>
      <c r="N55" s="175">
        <v>10</v>
      </c>
      <c r="O55" s="175" t="s">
        <v>706</v>
      </c>
      <c r="P55" s="175" t="s">
        <v>754</v>
      </c>
      <c r="Q55" s="175" t="s">
        <v>702</v>
      </c>
      <c r="R55" s="175" t="s">
        <v>339</v>
      </c>
      <c r="S55" s="175" t="s">
        <v>19</v>
      </c>
      <c r="T55" s="175" t="s">
        <v>337</v>
      </c>
      <c r="U55" s="176">
        <v>10</v>
      </c>
      <c r="V55" s="176">
        <v>90</v>
      </c>
      <c r="W55" s="176">
        <v>12</v>
      </c>
      <c r="X55" s="179">
        <f t="shared" si="10"/>
        <v>102</v>
      </c>
      <c r="Y55" s="176">
        <v>4</v>
      </c>
      <c r="Z55" s="176" t="s">
        <v>20</v>
      </c>
      <c r="AA55" s="176" t="s">
        <v>20</v>
      </c>
      <c r="AB55" s="176" t="s">
        <v>20</v>
      </c>
      <c r="AC55" s="186" t="s">
        <v>21</v>
      </c>
      <c r="AD55" s="181" t="s">
        <v>2082</v>
      </c>
      <c r="AE55" s="179" t="s">
        <v>18</v>
      </c>
      <c r="AF55" s="191"/>
      <c r="AG55" s="174" t="s">
        <v>990</v>
      </c>
      <c r="AH55" s="179">
        <v>26</v>
      </c>
      <c r="AI55" s="179">
        <f>VLOOKUP(K55,[1]TRAMO!$A:$B,2,0)</f>
        <v>2</v>
      </c>
      <c r="AJ55" s="200">
        <f t="shared" si="1"/>
        <v>1020</v>
      </c>
      <c r="AK55" s="183">
        <f t="shared" si="2"/>
        <v>6372</v>
      </c>
      <c r="AL55" s="179">
        <f t="shared" si="8"/>
        <v>25.5</v>
      </c>
      <c r="AM55" s="183">
        <v>0</v>
      </c>
      <c r="AN55" s="183">
        <f t="shared" si="9"/>
        <v>1040000</v>
      </c>
      <c r="AO55" s="183">
        <f t="shared" si="3"/>
        <v>1300000</v>
      </c>
      <c r="AP55" s="183">
        <f t="shared" si="4"/>
        <v>2700000</v>
      </c>
      <c r="AQ55" s="183">
        <f t="shared" si="5"/>
        <v>6499440</v>
      </c>
      <c r="AR55" s="183"/>
      <c r="AS55" s="183">
        <f t="shared" si="6"/>
        <v>0</v>
      </c>
      <c r="AT55" s="183">
        <f t="shared" si="7"/>
        <v>11539440</v>
      </c>
      <c r="AU55" s="175" t="s">
        <v>1535</v>
      </c>
      <c r="AV55" s="175" t="s">
        <v>1536</v>
      </c>
      <c r="AW55" s="175" t="s">
        <v>2032</v>
      </c>
      <c r="AX55" s="175" t="s">
        <v>1023</v>
      </c>
    </row>
    <row r="56" spans="1:50" s="179" customFormat="1" ht="24.95" hidden="1" customHeight="1" x14ac:dyDescent="0.25">
      <c r="A56" s="175">
        <v>14222</v>
      </c>
      <c r="B56" s="175" t="s">
        <v>83</v>
      </c>
      <c r="C56" s="175" t="s">
        <v>1022</v>
      </c>
      <c r="D56" s="176">
        <v>1</v>
      </c>
      <c r="E56" s="176">
        <v>2025</v>
      </c>
      <c r="F56" s="176">
        <v>2025</v>
      </c>
      <c r="G56" s="175" t="s">
        <v>23</v>
      </c>
      <c r="H56" s="175" t="s">
        <v>83</v>
      </c>
      <c r="I56" s="175" t="s">
        <v>102</v>
      </c>
      <c r="J56" s="177" t="s">
        <v>711</v>
      </c>
      <c r="K56" s="175" t="s">
        <v>712</v>
      </c>
      <c r="L56" s="175" t="s">
        <v>345</v>
      </c>
      <c r="M56" s="175" t="s">
        <v>346</v>
      </c>
      <c r="N56" s="175">
        <v>15</v>
      </c>
      <c r="O56" s="175" t="s">
        <v>810</v>
      </c>
      <c r="P56" s="175" t="s">
        <v>809</v>
      </c>
      <c r="Q56" s="175" t="s">
        <v>702</v>
      </c>
      <c r="R56" s="175" t="s">
        <v>339</v>
      </c>
      <c r="S56" s="175" t="s">
        <v>19</v>
      </c>
      <c r="T56" s="175" t="s">
        <v>337</v>
      </c>
      <c r="U56" s="176">
        <v>10</v>
      </c>
      <c r="V56" s="176">
        <v>160</v>
      </c>
      <c r="W56" s="176">
        <v>12</v>
      </c>
      <c r="X56" s="179">
        <f t="shared" si="10"/>
        <v>172</v>
      </c>
      <c r="Y56" s="176">
        <v>4</v>
      </c>
      <c r="Z56" s="176" t="s">
        <v>20</v>
      </c>
      <c r="AA56" s="176" t="s">
        <v>20</v>
      </c>
      <c r="AB56" s="176" t="s">
        <v>20</v>
      </c>
      <c r="AC56" s="186" t="s">
        <v>21</v>
      </c>
      <c r="AD56" s="181" t="s">
        <v>2089</v>
      </c>
      <c r="AE56" s="179" t="s">
        <v>18</v>
      </c>
      <c r="AF56" s="191"/>
      <c r="AG56" s="174" t="s">
        <v>990</v>
      </c>
      <c r="AH56" s="179">
        <v>43</v>
      </c>
      <c r="AI56" s="179">
        <f>VLOOKUP(K56,[1]TRAMO!$A:$B,2,0)</f>
        <v>2</v>
      </c>
      <c r="AJ56" s="200">
        <f t="shared" si="1"/>
        <v>1720</v>
      </c>
      <c r="AK56" s="183">
        <f t="shared" si="2"/>
        <v>6372</v>
      </c>
      <c r="AL56" s="179">
        <f t="shared" si="8"/>
        <v>43</v>
      </c>
      <c r="AM56" s="183">
        <v>0</v>
      </c>
      <c r="AN56" s="183">
        <f t="shared" si="9"/>
        <v>1720000</v>
      </c>
      <c r="AO56" s="183">
        <f t="shared" si="3"/>
        <v>2150000</v>
      </c>
      <c r="AP56" s="183">
        <f t="shared" si="4"/>
        <v>2700000</v>
      </c>
      <c r="AQ56" s="183">
        <f t="shared" si="5"/>
        <v>10959840</v>
      </c>
      <c r="AR56" s="183"/>
      <c r="AS56" s="183">
        <f t="shared" si="6"/>
        <v>0</v>
      </c>
      <c r="AT56" s="183">
        <f t="shared" si="7"/>
        <v>17529840</v>
      </c>
      <c r="AU56" s="175" t="s">
        <v>2090</v>
      </c>
      <c r="AV56" s="175" t="s">
        <v>1951</v>
      </c>
      <c r="AW56" s="175" t="s">
        <v>2091</v>
      </c>
      <c r="AX56" s="175" t="s">
        <v>2070</v>
      </c>
    </row>
    <row r="57" spans="1:50" s="179" customFormat="1" ht="24.95" hidden="1" customHeight="1" x14ac:dyDescent="0.25">
      <c r="A57" s="175">
        <v>14523</v>
      </c>
      <c r="B57" s="175" t="s">
        <v>83</v>
      </c>
      <c r="C57" s="175" t="s">
        <v>1022</v>
      </c>
      <c r="D57" s="176">
        <v>1</v>
      </c>
      <c r="E57" s="176">
        <v>2025</v>
      </c>
      <c r="F57" s="176">
        <v>2025</v>
      </c>
      <c r="G57" s="175" t="s">
        <v>23</v>
      </c>
      <c r="H57" s="175" t="s">
        <v>83</v>
      </c>
      <c r="I57" s="175" t="s">
        <v>102</v>
      </c>
      <c r="J57" s="177" t="s">
        <v>772</v>
      </c>
      <c r="K57" s="175" t="s">
        <v>771</v>
      </c>
      <c r="L57" s="175" t="s">
        <v>345</v>
      </c>
      <c r="M57" s="175" t="s">
        <v>346</v>
      </c>
      <c r="N57" s="175">
        <v>12</v>
      </c>
      <c r="O57" s="175" t="s">
        <v>426</v>
      </c>
      <c r="P57" s="175" t="s">
        <v>2118</v>
      </c>
      <c r="Q57" s="175" t="s">
        <v>385</v>
      </c>
      <c r="R57" s="175" t="s">
        <v>339</v>
      </c>
      <c r="S57" s="175" t="s">
        <v>19</v>
      </c>
      <c r="T57" s="175" t="s">
        <v>337</v>
      </c>
      <c r="U57" s="176">
        <v>20</v>
      </c>
      <c r="V57" s="176">
        <v>100</v>
      </c>
      <c r="W57" s="176">
        <v>12</v>
      </c>
      <c r="X57" s="179">
        <f t="shared" si="10"/>
        <v>112</v>
      </c>
      <c r="Y57" s="176">
        <v>4</v>
      </c>
      <c r="Z57" s="176" t="s">
        <v>20</v>
      </c>
      <c r="AA57" s="176" t="s">
        <v>20</v>
      </c>
      <c r="AB57" s="176" t="s">
        <v>20</v>
      </c>
      <c r="AC57" s="186" t="s">
        <v>21</v>
      </c>
      <c r="AD57" s="181" t="s">
        <v>2119</v>
      </c>
      <c r="AE57" s="179" t="s">
        <v>18</v>
      </c>
      <c r="AF57" s="191"/>
      <c r="AG57" s="174" t="s">
        <v>990</v>
      </c>
      <c r="AH57" s="179">
        <v>28</v>
      </c>
      <c r="AI57" s="179">
        <f>VLOOKUP(K57,[1]TRAMO!$A:$B,2,0)</f>
        <v>2</v>
      </c>
      <c r="AJ57" s="200">
        <f t="shared" si="1"/>
        <v>2240</v>
      </c>
      <c r="AK57" s="183">
        <f t="shared" si="2"/>
        <v>6372</v>
      </c>
      <c r="AL57" s="179">
        <f t="shared" si="8"/>
        <v>28</v>
      </c>
      <c r="AM57" s="183">
        <v>0</v>
      </c>
      <c r="AN57" s="183">
        <f t="shared" si="9"/>
        <v>2240000</v>
      </c>
      <c r="AO57" s="183">
        <f t="shared" si="3"/>
        <v>2800000</v>
      </c>
      <c r="AP57" s="183">
        <f t="shared" si="4"/>
        <v>5400000</v>
      </c>
      <c r="AQ57" s="183">
        <f t="shared" si="5"/>
        <v>14273280</v>
      </c>
      <c r="AR57" s="183"/>
      <c r="AS57" s="183">
        <f t="shared" si="6"/>
        <v>0</v>
      </c>
      <c r="AT57" s="183">
        <f t="shared" si="7"/>
        <v>24713280</v>
      </c>
      <c r="AU57" s="175" t="s">
        <v>2034</v>
      </c>
      <c r="AV57" s="175" t="s">
        <v>2035</v>
      </c>
      <c r="AW57" s="175" t="s">
        <v>2120</v>
      </c>
      <c r="AX57" s="175" t="s">
        <v>1789</v>
      </c>
    </row>
    <row r="58" spans="1:50" s="179" customFormat="1" ht="24.95" hidden="1" customHeight="1" x14ac:dyDescent="0.25">
      <c r="A58" s="175">
        <v>14524</v>
      </c>
      <c r="B58" s="175" t="s">
        <v>83</v>
      </c>
      <c r="C58" s="175" t="s">
        <v>1022</v>
      </c>
      <c r="D58" s="176">
        <v>1</v>
      </c>
      <c r="E58" s="176">
        <v>2025</v>
      </c>
      <c r="F58" s="176">
        <v>2025</v>
      </c>
      <c r="G58" s="175" t="s">
        <v>23</v>
      </c>
      <c r="H58" s="175" t="s">
        <v>83</v>
      </c>
      <c r="I58" s="175" t="s">
        <v>102</v>
      </c>
      <c r="J58" s="177" t="s">
        <v>772</v>
      </c>
      <c r="K58" s="175" t="s">
        <v>771</v>
      </c>
      <c r="L58" s="175" t="s">
        <v>345</v>
      </c>
      <c r="M58" s="175" t="s">
        <v>346</v>
      </c>
      <c r="N58" s="175">
        <v>8</v>
      </c>
      <c r="O58" s="175" t="s">
        <v>709</v>
      </c>
      <c r="P58" s="175" t="s">
        <v>877</v>
      </c>
      <c r="Q58" s="175" t="s">
        <v>385</v>
      </c>
      <c r="R58" s="175" t="s">
        <v>339</v>
      </c>
      <c r="S58" s="175" t="s">
        <v>19</v>
      </c>
      <c r="T58" s="175" t="s">
        <v>337</v>
      </c>
      <c r="U58" s="176">
        <v>20</v>
      </c>
      <c r="V58" s="176">
        <v>100</v>
      </c>
      <c r="W58" s="176">
        <v>12</v>
      </c>
      <c r="X58" s="179">
        <f t="shared" si="10"/>
        <v>112</v>
      </c>
      <c r="Y58" s="176">
        <v>4</v>
      </c>
      <c r="Z58" s="176" t="s">
        <v>20</v>
      </c>
      <c r="AA58" s="176" t="s">
        <v>20</v>
      </c>
      <c r="AB58" s="176" t="s">
        <v>20</v>
      </c>
      <c r="AC58" s="186" t="s">
        <v>21</v>
      </c>
      <c r="AD58" s="181" t="s">
        <v>2121</v>
      </c>
      <c r="AE58" s="179" t="s">
        <v>18</v>
      </c>
      <c r="AF58" s="191"/>
      <c r="AG58" s="174" t="s">
        <v>990</v>
      </c>
      <c r="AH58" s="179">
        <v>28</v>
      </c>
      <c r="AI58" s="179">
        <f>VLOOKUP(K58,[1]TRAMO!$A:$B,2,0)</f>
        <v>2</v>
      </c>
      <c r="AJ58" s="200">
        <f t="shared" si="1"/>
        <v>2240</v>
      </c>
      <c r="AK58" s="183">
        <f t="shared" si="2"/>
        <v>6372</v>
      </c>
      <c r="AL58" s="179">
        <f t="shared" si="8"/>
        <v>28</v>
      </c>
      <c r="AM58" s="183">
        <v>0</v>
      </c>
      <c r="AN58" s="183">
        <f t="shared" si="9"/>
        <v>2240000</v>
      </c>
      <c r="AO58" s="183">
        <f t="shared" si="3"/>
        <v>2800000</v>
      </c>
      <c r="AP58" s="183">
        <f t="shared" si="4"/>
        <v>5400000</v>
      </c>
      <c r="AQ58" s="183">
        <f t="shared" si="5"/>
        <v>14273280</v>
      </c>
      <c r="AR58" s="183"/>
      <c r="AS58" s="183">
        <f t="shared" si="6"/>
        <v>0</v>
      </c>
      <c r="AT58" s="183">
        <f t="shared" si="7"/>
        <v>24713280</v>
      </c>
      <c r="AU58" s="175" t="s">
        <v>2034</v>
      </c>
      <c r="AV58" s="175" t="s">
        <v>2035</v>
      </c>
      <c r="AW58" s="175" t="s">
        <v>2120</v>
      </c>
      <c r="AX58" s="175" t="s">
        <v>1789</v>
      </c>
    </row>
    <row r="59" spans="1:50" s="179" customFormat="1" ht="24.95" hidden="1" customHeight="1" x14ac:dyDescent="0.25">
      <c r="A59" s="175">
        <v>14364</v>
      </c>
      <c r="B59" s="175" t="s">
        <v>83</v>
      </c>
      <c r="C59" s="175" t="s">
        <v>1022</v>
      </c>
      <c r="D59" s="176">
        <v>1</v>
      </c>
      <c r="E59" s="176">
        <v>2025</v>
      </c>
      <c r="F59" s="176">
        <v>2025</v>
      </c>
      <c r="G59" s="175" t="s">
        <v>23</v>
      </c>
      <c r="H59" s="175" t="s">
        <v>83</v>
      </c>
      <c r="I59" s="175" t="s">
        <v>102</v>
      </c>
      <c r="J59" s="177" t="s">
        <v>804</v>
      </c>
      <c r="K59" s="175" t="s">
        <v>803</v>
      </c>
      <c r="L59" s="175" t="s">
        <v>345</v>
      </c>
      <c r="M59" s="175" t="s">
        <v>346</v>
      </c>
      <c r="N59" s="175">
        <v>7</v>
      </c>
      <c r="O59" s="175" t="s">
        <v>428</v>
      </c>
      <c r="P59" s="175" t="s">
        <v>419</v>
      </c>
      <c r="Q59" s="175" t="s">
        <v>702</v>
      </c>
      <c r="R59" s="175" t="s">
        <v>339</v>
      </c>
      <c r="S59" s="175" t="s">
        <v>19</v>
      </c>
      <c r="T59" s="175" t="s">
        <v>337</v>
      </c>
      <c r="U59" s="176">
        <v>10</v>
      </c>
      <c r="V59" s="176">
        <v>172</v>
      </c>
      <c r="W59" s="176">
        <v>12</v>
      </c>
      <c r="X59" s="179">
        <f t="shared" si="10"/>
        <v>184</v>
      </c>
      <c r="Y59" s="176">
        <v>4</v>
      </c>
      <c r="Z59" s="176" t="s">
        <v>20</v>
      </c>
      <c r="AA59" s="176" t="s">
        <v>20</v>
      </c>
      <c r="AB59" s="176" t="s">
        <v>20</v>
      </c>
      <c r="AC59" s="186" t="s">
        <v>21</v>
      </c>
      <c r="AD59" s="181" t="s">
        <v>2123</v>
      </c>
      <c r="AE59" s="179" t="s">
        <v>18</v>
      </c>
      <c r="AF59" s="191"/>
      <c r="AG59" s="174" t="s">
        <v>990</v>
      </c>
      <c r="AH59" s="179">
        <v>46</v>
      </c>
      <c r="AI59" s="179">
        <f>VLOOKUP(K59,[1]TRAMO!$A:$B,2,0)</f>
        <v>2</v>
      </c>
      <c r="AJ59" s="200">
        <f t="shared" si="1"/>
        <v>1840</v>
      </c>
      <c r="AK59" s="183">
        <f t="shared" si="2"/>
        <v>6372</v>
      </c>
      <c r="AL59" s="179">
        <f t="shared" si="8"/>
        <v>46</v>
      </c>
      <c r="AM59" s="183">
        <v>0</v>
      </c>
      <c r="AN59" s="183">
        <f t="shared" si="9"/>
        <v>1840000</v>
      </c>
      <c r="AO59" s="183">
        <f t="shared" si="3"/>
        <v>2300000</v>
      </c>
      <c r="AP59" s="183">
        <f t="shared" si="4"/>
        <v>2700000</v>
      </c>
      <c r="AQ59" s="183">
        <f t="shared" si="5"/>
        <v>11724480</v>
      </c>
      <c r="AR59" s="183"/>
      <c r="AS59" s="183">
        <f t="shared" si="6"/>
        <v>0</v>
      </c>
      <c r="AT59" s="183">
        <f t="shared" si="7"/>
        <v>18564480</v>
      </c>
      <c r="AU59" s="175" t="s">
        <v>1535</v>
      </c>
      <c r="AV59" s="175" t="s">
        <v>1536</v>
      </c>
      <c r="AW59" s="175" t="s">
        <v>2032</v>
      </c>
      <c r="AX59" s="175" t="s">
        <v>1023</v>
      </c>
    </row>
    <row r="60" spans="1:50" s="179" customFormat="1" ht="24.95" hidden="1" customHeight="1" x14ac:dyDescent="0.25">
      <c r="A60" s="175">
        <v>14361</v>
      </c>
      <c r="B60" s="175" t="s">
        <v>83</v>
      </c>
      <c r="C60" s="175" t="s">
        <v>1022</v>
      </c>
      <c r="D60" s="176">
        <v>1</v>
      </c>
      <c r="E60" s="176">
        <v>2025</v>
      </c>
      <c r="F60" s="176">
        <v>2025</v>
      </c>
      <c r="G60" s="175" t="s">
        <v>23</v>
      </c>
      <c r="H60" s="175" t="s">
        <v>83</v>
      </c>
      <c r="I60" s="175" t="s">
        <v>102</v>
      </c>
      <c r="J60" s="177" t="s">
        <v>790</v>
      </c>
      <c r="K60" s="175" t="s">
        <v>789</v>
      </c>
      <c r="L60" s="175" t="s">
        <v>345</v>
      </c>
      <c r="M60" s="175" t="s">
        <v>346</v>
      </c>
      <c r="N60" s="175">
        <v>13</v>
      </c>
      <c r="O60" s="175" t="s">
        <v>382</v>
      </c>
      <c r="P60" s="175" t="s">
        <v>416</v>
      </c>
      <c r="Q60" s="175" t="s">
        <v>702</v>
      </c>
      <c r="R60" s="175" t="s">
        <v>339</v>
      </c>
      <c r="S60" s="175" t="s">
        <v>19</v>
      </c>
      <c r="T60" s="175" t="s">
        <v>337</v>
      </c>
      <c r="U60" s="176">
        <v>12</v>
      </c>
      <c r="V60" s="176">
        <v>160</v>
      </c>
      <c r="W60" s="176">
        <v>12</v>
      </c>
      <c r="X60" s="179">
        <f t="shared" si="10"/>
        <v>172</v>
      </c>
      <c r="Y60" s="176">
        <v>4</v>
      </c>
      <c r="Z60" s="176" t="s">
        <v>20</v>
      </c>
      <c r="AA60" s="176" t="s">
        <v>20</v>
      </c>
      <c r="AB60" s="176" t="s">
        <v>20</v>
      </c>
      <c r="AC60" s="186" t="s">
        <v>21</v>
      </c>
      <c r="AD60" s="181" t="s">
        <v>2139</v>
      </c>
      <c r="AE60" s="179" t="s">
        <v>18</v>
      </c>
      <c r="AF60" s="191"/>
      <c r="AG60" s="174" t="s">
        <v>990</v>
      </c>
      <c r="AH60" s="179">
        <v>43</v>
      </c>
      <c r="AI60" s="179">
        <f>VLOOKUP(K60,[1]TRAMO!$A:$B,2,0)</f>
        <v>2</v>
      </c>
      <c r="AJ60" s="200">
        <f t="shared" si="1"/>
        <v>2064</v>
      </c>
      <c r="AK60" s="183">
        <f t="shared" si="2"/>
        <v>6372</v>
      </c>
      <c r="AL60" s="179">
        <f t="shared" si="8"/>
        <v>43</v>
      </c>
      <c r="AM60" s="183">
        <v>0</v>
      </c>
      <c r="AN60" s="183">
        <f t="shared" si="9"/>
        <v>2064000</v>
      </c>
      <c r="AO60" s="183">
        <f t="shared" si="3"/>
        <v>2580000</v>
      </c>
      <c r="AP60" s="183">
        <f t="shared" si="4"/>
        <v>3240000</v>
      </c>
      <c r="AQ60" s="183">
        <f t="shared" si="5"/>
        <v>13151808</v>
      </c>
      <c r="AR60" s="183"/>
      <c r="AS60" s="183">
        <f t="shared" si="6"/>
        <v>0</v>
      </c>
      <c r="AT60" s="183">
        <f t="shared" si="7"/>
        <v>21035808</v>
      </c>
      <c r="AU60" s="175" t="s">
        <v>1535</v>
      </c>
      <c r="AV60" s="175" t="s">
        <v>1536</v>
      </c>
      <c r="AW60" s="175" t="s">
        <v>2032</v>
      </c>
      <c r="AX60" s="175" t="s">
        <v>1023</v>
      </c>
    </row>
    <row r="61" spans="1:50" s="179" customFormat="1" ht="24.95" hidden="1" customHeight="1" x14ac:dyDescent="0.25">
      <c r="A61" s="175">
        <v>14365</v>
      </c>
      <c r="B61" s="175" t="s">
        <v>83</v>
      </c>
      <c r="C61" s="175" t="s">
        <v>1022</v>
      </c>
      <c r="D61" s="176">
        <v>1</v>
      </c>
      <c r="E61" s="176">
        <v>2025</v>
      </c>
      <c r="F61" s="176">
        <v>2025</v>
      </c>
      <c r="G61" s="175" t="s">
        <v>23</v>
      </c>
      <c r="H61" s="175" t="s">
        <v>83</v>
      </c>
      <c r="I61" s="175" t="s">
        <v>102</v>
      </c>
      <c r="J61" s="177" t="s">
        <v>790</v>
      </c>
      <c r="K61" s="175" t="s">
        <v>789</v>
      </c>
      <c r="L61" s="175" t="s">
        <v>345</v>
      </c>
      <c r="M61" s="175" t="s">
        <v>346</v>
      </c>
      <c r="N61" s="175">
        <v>8</v>
      </c>
      <c r="O61" s="175" t="s">
        <v>709</v>
      </c>
      <c r="P61" s="175" t="s">
        <v>735</v>
      </c>
      <c r="Q61" s="175" t="s">
        <v>702</v>
      </c>
      <c r="R61" s="175" t="s">
        <v>339</v>
      </c>
      <c r="S61" s="175" t="s">
        <v>19</v>
      </c>
      <c r="T61" s="175" t="s">
        <v>337</v>
      </c>
      <c r="U61" s="176">
        <v>10</v>
      </c>
      <c r="V61" s="176">
        <v>160</v>
      </c>
      <c r="W61" s="176">
        <v>12</v>
      </c>
      <c r="X61" s="179">
        <f t="shared" si="10"/>
        <v>172</v>
      </c>
      <c r="Y61" s="176">
        <v>4</v>
      </c>
      <c r="Z61" s="176" t="s">
        <v>20</v>
      </c>
      <c r="AA61" s="176" t="s">
        <v>20</v>
      </c>
      <c r="AB61" s="176" t="s">
        <v>20</v>
      </c>
      <c r="AC61" s="186" t="s">
        <v>21</v>
      </c>
      <c r="AD61" s="181" t="s">
        <v>2140</v>
      </c>
      <c r="AE61" s="179" t="s">
        <v>18</v>
      </c>
      <c r="AF61" s="191"/>
      <c r="AG61" s="174" t="s">
        <v>990</v>
      </c>
      <c r="AH61" s="179">
        <v>43</v>
      </c>
      <c r="AI61" s="179">
        <f>VLOOKUP(K61,[1]TRAMO!$A:$B,2,0)</f>
        <v>2</v>
      </c>
      <c r="AJ61" s="200">
        <f t="shared" si="1"/>
        <v>1720</v>
      </c>
      <c r="AK61" s="183">
        <f t="shared" si="2"/>
        <v>6372</v>
      </c>
      <c r="AL61" s="179">
        <f t="shared" si="8"/>
        <v>43</v>
      </c>
      <c r="AM61" s="183">
        <v>0</v>
      </c>
      <c r="AN61" s="183">
        <f t="shared" si="9"/>
        <v>1720000</v>
      </c>
      <c r="AO61" s="183">
        <f t="shared" si="3"/>
        <v>2150000</v>
      </c>
      <c r="AP61" s="183">
        <f t="shared" si="4"/>
        <v>2700000</v>
      </c>
      <c r="AQ61" s="183">
        <f t="shared" si="5"/>
        <v>10959840</v>
      </c>
      <c r="AR61" s="183"/>
      <c r="AS61" s="183">
        <f t="shared" si="6"/>
        <v>0</v>
      </c>
      <c r="AT61" s="183">
        <f t="shared" si="7"/>
        <v>17529840</v>
      </c>
      <c r="AU61" s="175" t="s">
        <v>1535</v>
      </c>
      <c r="AV61" s="175" t="s">
        <v>1536</v>
      </c>
      <c r="AW61" s="175" t="s">
        <v>2032</v>
      </c>
      <c r="AX61" s="175" t="s">
        <v>1023</v>
      </c>
    </row>
    <row r="62" spans="1:50" s="179" customFormat="1" ht="24.95" hidden="1" customHeight="1" x14ac:dyDescent="0.25">
      <c r="A62" s="175">
        <v>14359</v>
      </c>
      <c r="B62" s="175" t="s">
        <v>83</v>
      </c>
      <c r="C62" s="175" t="s">
        <v>1022</v>
      </c>
      <c r="D62" s="176">
        <v>1</v>
      </c>
      <c r="E62" s="176">
        <v>2025</v>
      </c>
      <c r="F62" s="176">
        <v>2025</v>
      </c>
      <c r="G62" s="175" t="s">
        <v>23</v>
      </c>
      <c r="H62" s="175" t="s">
        <v>83</v>
      </c>
      <c r="I62" s="175" t="s">
        <v>102</v>
      </c>
      <c r="J62" s="177" t="s">
        <v>768</v>
      </c>
      <c r="K62" s="175" t="s">
        <v>767</v>
      </c>
      <c r="L62" s="175" t="s">
        <v>345</v>
      </c>
      <c r="M62" s="175" t="s">
        <v>346</v>
      </c>
      <c r="N62" s="175">
        <v>4</v>
      </c>
      <c r="O62" s="175" t="s">
        <v>415</v>
      </c>
      <c r="P62" s="175" t="s">
        <v>813</v>
      </c>
      <c r="Q62" s="175" t="s">
        <v>702</v>
      </c>
      <c r="R62" s="175" t="s">
        <v>339</v>
      </c>
      <c r="S62" s="175" t="s">
        <v>19</v>
      </c>
      <c r="T62" s="175" t="s">
        <v>337</v>
      </c>
      <c r="U62" s="176">
        <v>10</v>
      </c>
      <c r="V62" s="176">
        <v>150</v>
      </c>
      <c r="W62" s="176">
        <v>12</v>
      </c>
      <c r="X62" s="179">
        <f t="shared" si="10"/>
        <v>162</v>
      </c>
      <c r="Y62" s="176">
        <v>4</v>
      </c>
      <c r="Z62" s="176" t="s">
        <v>20</v>
      </c>
      <c r="AA62" s="176" t="s">
        <v>20</v>
      </c>
      <c r="AB62" s="176" t="s">
        <v>20</v>
      </c>
      <c r="AC62" s="186" t="s">
        <v>21</v>
      </c>
      <c r="AD62" s="181" t="s">
        <v>2142</v>
      </c>
      <c r="AE62" s="179" t="s">
        <v>18</v>
      </c>
      <c r="AF62" s="191"/>
      <c r="AG62" s="174" t="s">
        <v>990</v>
      </c>
      <c r="AH62" s="179">
        <v>41</v>
      </c>
      <c r="AI62" s="179">
        <f>VLOOKUP(K62,[1]TRAMO!$A:$B,2,0)</f>
        <v>2</v>
      </c>
      <c r="AJ62" s="200">
        <f t="shared" si="1"/>
        <v>1620</v>
      </c>
      <c r="AK62" s="183">
        <f t="shared" si="2"/>
        <v>6372</v>
      </c>
      <c r="AL62" s="179">
        <f t="shared" si="8"/>
        <v>40.5</v>
      </c>
      <c r="AM62" s="183">
        <v>0</v>
      </c>
      <c r="AN62" s="183">
        <f t="shared" si="9"/>
        <v>1640000</v>
      </c>
      <c r="AO62" s="183">
        <f t="shared" si="3"/>
        <v>2050000</v>
      </c>
      <c r="AP62" s="183">
        <f t="shared" si="4"/>
        <v>2700000</v>
      </c>
      <c r="AQ62" s="183">
        <f t="shared" si="5"/>
        <v>10322640</v>
      </c>
      <c r="AR62" s="183"/>
      <c r="AS62" s="183">
        <f t="shared" si="6"/>
        <v>0</v>
      </c>
      <c r="AT62" s="183">
        <f t="shared" si="7"/>
        <v>16712640</v>
      </c>
      <c r="AU62" s="175" t="s">
        <v>1535</v>
      </c>
      <c r="AV62" s="175" t="s">
        <v>1536</v>
      </c>
      <c r="AW62" s="175" t="s">
        <v>2032</v>
      </c>
      <c r="AX62" s="175" t="s">
        <v>1023</v>
      </c>
    </row>
    <row r="63" spans="1:50" s="179" customFormat="1" ht="24.95" hidden="1" customHeight="1" x14ac:dyDescent="0.25">
      <c r="A63" s="175">
        <v>14525</v>
      </c>
      <c r="B63" s="175" t="s">
        <v>83</v>
      </c>
      <c r="C63" s="175" t="s">
        <v>1022</v>
      </c>
      <c r="D63" s="176">
        <v>1</v>
      </c>
      <c r="E63" s="176">
        <v>2025</v>
      </c>
      <c r="F63" s="176">
        <v>2025</v>
      </c>
      <c r="G63" s="175" t="s">
        <v>23</v>
      </c>
      <c r="H63" s="175" t="s">
        <v>83</v>
      </c>
      <c r="I63" s="175" t="s">
        <v>102</v>
      </c>
      <c r="J63" s="177" t="s">
        <v>851</v>
      </c>
      <c r="K63" s="175" t="s">
        <v>850</v>
      </c>
      <c r="L63" s="175" t="s">
        <v>345</v>
      </c>
      <c r="M63" s="175" t="s">
        <v>346</v>
      </c>
      <c r="N63" s="175">
        <v>9</v>
      </c>
      <c r="O63" s="175" t="s">
        <v>424</v>
      </c>
      <c r="P63" s="175" t="s">
        <v>833</v>
      </c>
      <c r="Q63" s="175" t="s">
        <v>385</v>
      </c>
      <c r="R63" s="175" t="s">
        <v>339</v>
      </c>
      <c r="S63" s="175" t="s">
        <v>19</v>
      </c>
      <c r="T63" s="175" t="s">
        <v>337</v>
      </c>
      <c r="U63" s="176">
        <v>15</v>
      </c>
      <c r="V63" s="176">
        <v>140</v>
      </c>
      <c r="W63" s="176">
        <v>12</v>
      </c>
      <c r="X63" s="179">
        <f t="shared" si="10"/>
        <v>152</v>
      </c>
      <c r="Y63" s="176">
        <v>4</v>
      </c>
      <c r="Z63" s="176" t="s">
        <v>20</v>
      </c>
      <c r="AA63" s="176" t="s">
        <v>20</v>
      </c>
      <c r="AB63" s="176" t="s">
        <v>20</v>
      </c>
      <c r="AC63" s="186" t="s">
        <v>21</v>
      </c>
      <c r="AD63" s="181" t="s">
        <v>2153</v>
      </c>
      <c r="AE63" s="179" t="s">
        <v>18</v>
      </c>
      <c r="AF63" s="191"/>
      <c r="AG63" s="174" t="s">
        <v>990</v>
      </c>
      <c r="AH63" s="179">
        <v>38</v>
      </c>
      <c r="AI63" s="179">
        <f>VLOOKUP(K63,[1]TRAMO!$A:$B,2,0)</f>
        <v>2</v>
      </c>
      <c r="AJ63" s="200">
        <f t="shared" si="1"/>
        <v>2280</v>
      </c>
      <c r="AK63" s="183">
        <f t="shared" si="2"/>
        <v>6372</v>
      </c>
      <c r="AL63" s="179">
        <f t="shared" si="8"/>
        <v>38</v>
      </c>
      <c r="AM63" s="183">
        <v>0</v>
      </c>
      <c r="AN63" s="183">
        <f t="shared" si="9"/>
        <v>2280000</v>
      </c>
      <c r="AO63" s="183">
        <f t="shared" si="3"/>
        <v>2850000</v>
      </c>
      <c r="AP63" s="183">
        <f t="shared" si="4"/>
        <v>4050000</v>
      </c>
      <c r="AQ63" s="183">
        <f t="shared" si="5"/>
        <v>14528160</v>
      </c>
      <c r="AR63" s="183"/>
      <c r="AS63" s="183">
        <f t="shared" si="6"/>
        <v>0</v>
      </c>
      <c r="AT63" s="183">
        <f t="shared" si="7"/>
        <v>23708160</v>
      </c>
      <c r="AU63" s="175" t="s">
        <v>2034</v>
      </c>
      <c r="AV63" s="175" t="s">
        <v>2035</v>
      </c>
      <c r="AW63" s="175" t="s">
        <v>2120</v>
      </c>
      <c r="AX63" s="175" t="s">
        <v>1789</v>
      </c>
    </row>
    <row r="64" spans="1:50" s="179" customFormat="1" ht="24.95" hidden="1" customHeight="1" x14ac:dyDescent="0.25">
      <c r="A64" s="175">
        <v>14360</v>
      </c>
      <c r="B64" s="175" t="s">
        <v>83</v>
      </c>
      <c r="C64" s="175" t="s">
        <v>1022</v>
      </c>
      <c r="D64" s="176">
        <v>1</v>
      </c>
      <c r="E64" s="176">
        <v>2025</v>
      </c>
      <c r="F64" s="176">
        <v>2025</v>
      </c>
      <c r="G64" s="175" t="s">
        <v>23</v>
      </c>
      <c r="H64" s="175" t="s">
        <v>83</v>
      </c>
      <c r="I64" s="175" t="s">
        <v>102</v>
      </c>
      <c r="J64" s="177" t="s">
        <v>350</v>
      </c>
      <c r="K64" s="175" t="s">
        <v>349</v>
      </c>
      <c r="L64" s="175" t="s">
        <v>345</v>
      </c>
      <c r="M64" s="175" t="s">
        <v>346</v>
      </c>
      <c r="N64" s="175">
        <v>13</v>
      </c>
      <c r="O64" s="175" t="s">
        <v>382</v>
      </c>
      <c r="P64" s="175" t="s">
        <v>416</v>
      </c>
      <c r="Q64" s="175" t="s">
        <v>702</v>
      </c>
      <c r="R64" s="175" t="s">
        <v>339</v>
      </c>
      <c r="S64" s="175" t="s">
        <v>19</v>
      </c>
      <c r="T64" s="175" t="s">
        <v>337</v>
      </c>
      <c r="U64" s="176">
        <v>12</v>
      </c>
      <c r="V64" s="176">
        <v>110</v>
      </c>
      <c r="W64" s="176">
        <v>12</v>
      </c>
      <c r="X64" s="179">
        <f t="shared" si="10"/>
        <v>122</v>
      </c>
      <c r="Y64" s="176">
        <v>4</v>
      </c>
      <c r="Z64" s="176" t="s">
        <v>20</v>
      </c>
      <c r="AA64" s="176" t="s">
        <v>20</v>
      </c>
      <c r="AB64" s="176" t="s">
        <v>20</v>
      </c>
      <c r="AC64" s="186" t="s">
        <v>21</v>
      </c>
      <c r="AD64" s="181" t="s">
        <v>2139</v>
      </c>
      <c r="AE64" s="179" t="s">
        <v>18</v>
      </c>
      <c r="AF64" s="191"/>
      <c r="AG64" s="174" t="s">
        <v>990</v>
      </c>
      <c r="AH64" s="179">
        <v>31</v>
      </c>
      <c r="AI64" s="179">
        <f>VLOOKUP(K64,[1]TRAMO!$A:$B,2,0)</f>
        <v>2</v>
      </c>
      <c r="AJ64" s="200">
        <f t="shared" si="1"/>
        <v>1464</v>
      </c>
      <c r="AK64" s="183">
        <f t="shared" si="2"/>
        <v>6372</v>
      </c>
      <c r="AL64" s="179">
        <f t="shared" si="8"/>
        <v>30.5</v>
      </c>
      <c r="AM64" s="183">
        <v>0</v>
      </c>
      <c r="AN64" s="183">
        <f t="shared" si="9"/>
        <v>1488000</v>
      </c>
      <c r="AO64" s="183">
        <f t="shared" si="3"/>
        <v>1860000</v>
      </c>
      <c r="AP64" s="183">
        <f t="shared" si="4"/>
        <v>3240000</v>
      </c>
      <c r="AQ64" s="183">
        <f t="shared" si="5"/>
        <v>9328608</v>
      </c>
      <c r="AR64" s="183"/>
      <c r="AS64" s="183">
        <f t="shared" si="6"/>
        <v>0</v>
      </c>
      <c r="AT64" s="183">
        <f t="shared" si="7"/>
        <v>15916608</v>
      </c>
      <c r="AU64" s="175" t="s">
        <v>1535</v>
      </c>
      <c r="AV64" s="175" t="s">
        <v>1536</v>
      </c>
      <c r="AW64" s="175" t="s">
        <v>2032</v>
      </c>
      <c r="AX64" s="175" t="s">
        <v>1023</v>
      </c>
    </row>
    <row r="65" spans="1:50" s="179" customFormat="1" ht="24.95" hidden="1" customHeight="1" x14ac:dyDescent="0.25">
      <c r="A65" s="175">
        <v>14471</v>
      </c>
      <c r="B65" s="175" t="s">
        <v>83</v>
      </c>
      <c r="C65" s="175" t="s">
        <v>1022</v>
      </c>
      <c r="D65" s="176">
        <v>1</v>
      </c>
      <c r="E65" s="176">
        <v>2025</v>
      </c>
      <c r="F65" s="176">
        <v>2025</v>
      </c>
      <c r="G65" s="175" t="s">
        <v>23</v>
      </c>
      <c r="H65" s="175" t="s">
        <v>83</v>
      </c>
      <c r="I65" s="175" t="s">
        <v>102</v>
      </c>
      <c r="J65" s="177" t="s">
        <v>1027</v>
      </c>
      <c r="K65" s="175" t="s">
        <v>992</v>
      </c>
      <c r="L65" s="175" t="s">
        <v>345</v>
      </c>
      <c r="M65" s="175" t="s">
        <v>346</v>
      </c>
      <c r="N65" s="175">
        <v>13</v>
      </c>
      <c r="O65" s="175" t="s">
        <v>382</v>
      </c>
      <c r="P65" s="175" t="s">
        <v>717</v>
      </c>
      <c r="Q65" s="175" t="s">
        <v>1201</v>
      </c>
      <c r="R65" s="175" t="s">
        <v>339</v>
      </c>
      <c r="S65" s="175" t="s">
        <v>19</v>
      </c>
      <c r="T65" s="175" t="s">
        <v>393</v>
      </c>
      <c r="U65" s="176">
        <v>15</v>
      </c>
      <c r="V65" s="176">
        <v>122</v>
      </c>
      <c r="W65" s="176">
        <v>12</v>
      </c>
      <c r="X65" s="179">
        <f t="shared" si="10"/>
        <v>134</v>
      </c>
      <c r="Y65" s="176">
        <v>4</v>
      </c>
      <c r="Z65" s="176" t="s">
        <v>20</v>
      </c>
      <c r="AA65" s="176" t="s">
        <v>18</v>
      </c>
      <c r="AB65" s="176" t="s">
        <v>18</v>
      </c>
      <c r="AC65" s="186" t="s">
        <v>2172</v>
      </c>
      <c r="AD65" s="181" t="s">
        <v>2173</v>
      </c>
      <c r="AE65" s="179" t="s">
        <v>18</v>
      </c>
      <c r="AF65" s="191"/>
      <c r="AG65" s="174" t="s">
        <v>990</v>
      </c>
      <c r="AH65" s="179">
        <v>34</v>
      </c>
      <c r="AI65" s="179">
        <v>2</v>
      </c>
      <c r="AJ65" s="200">
        <f t="shared" si="1"/>
        <v>2010</v>
      </c>
      <c r="AK65" s="183">
        <f t="shared" si="2"/>
        <v>6372</v>
      </c>
      <c r="AL65" s="179">
        <f t="shared" si="8"/>
        <v>33.5</v>
      </c>
      <c r="AM65" s="183">
        <v>0</v>
      </c>
      <c r="AN65" s="183">
        <f t="shared" si="9"/>
        <v>2040000</v>
      </c>
      <c r="AO65" s="183">
        <f t="shared" si="3"/>
        <v>0</v>
      </c>
      <c r="AP65" s="183">
        <f t="shared" si="4"/>
        <v>0</v>
      </c>
      <c r="AQ65" s="183">
        <f t="shared" si="5"/>
        <v>12807720</v>
      </c>
      <c r="AR65" s="183"/>
      <c r="AS65" s="183">
        <f t="shared" si="6"/>
        <v>0</v>
      </c>
      <c r="AT65" s="183">
        <f t="shared" si="7"/>
        <v>14847720</v>
      </c>
      <c r="AU65" s="175" t="s">
        <v>1535</v>
      </c>
      <c r="AV65" s="175" t="s">
        <v>1536</v>
      </c>
      <c r="AW65" s="175" t="s">
        <v>2036</v>
      </c>
      <c r="AX65" s="175" t="s">
        <v>2037</v>
      </c>
    </row>
    <row r="66" spans="1:50" s="179" customFormat="1" ht="24.95" hidden="1" customHeight="1" x14ac:dyDescent="0.25">
      <c r="A66" s="175">
        <v>14472</v>
      </c>
      <c r="B66" s="175" t="s">
        <v>83</v>
      </c>
      <c r="C66" s="175" t="s">
        <v>1022</v>
      </c>
      <c r="D66" s="176">
        <v>1</v>
      </c>
      <c r="E66" s="176">
        <v>2025</v>
      </c>
      <c r="F66" s="176">
        <v>2025</v>
      </c>
      <c r="G66" s="175" t="s">
        <v>23</v>
      </c>
      <c r="H66" s="175" t="s">
        <v>83</v>
      </c>
      <c r="I66" s="175" t="s">
        <v>102</v>
      </c>
      <c r="J66" s="177" t="s">
        <v>1027</v>
      </c>
      <c r="K66" s="175" t="s">
        <v>992</v>
      </c>
      <c r="L66" s="175" t="s">
        <v>345</v>
      </c>
      <c r="M66" s="175" t="s">
        <v>346</v>
      </c>
      <c r="N66" s="175">
        <v>13</v>
      </c>
      <c r="O66" s="175" t="s">
        <v>382</v>
      </c>
      <c r="P66" s="175" t="s">
        <v>717</v>
      </c>
      <c r="Q66" s="175" t="s">
        <v>1201</v>
      </c>
      <c r="R66" s="175" t="s">
        <v>339</v>
      </c>
      <c r="S66" s="175" t="s">
        <v>19</v>
      </c>
      <c r="T66" s="175" t="s">
        <v>703</v>
      </c>
      <c r="U66" s="176">
        <v>15</v>
      </c>
      <c r="V66" s="176">
        <v>122</v>
      </c>
      <c r="W66" s="176">
        <v>12</v>
      </c>
      <c r="X66" s="179">
        <f t="shared" ref="X66:X97" si="11">(SUM(V66:W66))*1</f>
        <v>134</v>
      </c>
      <c r="Y66" s="176">
        <v>4</v>
      </c>
      <c r="Z66" s="176" t="s">
        <v>20</v>
      </c>
      <c r="AA66" s="176" t="s">
        <v>18</v>
      </c>
      <c r="AB66" s="176" t="s">
        <v>18</v>
      </c>
      <c r="AC66" s="186" t="s">
        <v>2172</v>
      </c>
      <c r="AD66" s="181" t="s">
        <v>2173</v>
      </c>
      <c r="AE66" s="179" t="s">
        <v>18</v>
      </c>
      <c r="AF66" s="191"/>
      <c r="AG66" s="174" t="s">
        <v>990</v>
      </c>
      <c r="AH66" s="179">
        <v>34</v>
      </c>
      <c r="AI66" s="179">
        <v>2</v>
      </c>
      <c r="AJ66" s="200">
        <f t="shared" ref="AJ66:AJ129" si="12">+(U66*X66)</f>
        <v>2010</v>
      </c>
      <c r="AK66" s="183">
        <f t="shared" ref="AK66:AK129" si="13">IF(AI66=1,5074,IF(AI66=2,6372,IF(AI66=3,7434,"ERROR")))</f>
        <v>6372</v>
      </c>
      <c r="AL66" s="179">
        <f t="shared" si="8"/>
        <v>33.5</v>
      </c>
      <c r="AM66" s="183">
        <v>0</v>
      </c>
      <c r="AN66" s="183">
        <f t="shared" si="9"/>
        <v>2040000</v>
      </c>
      <c r="AO66" s="183">
        <f t="shared" ref="AO66:AO129" si="14">IF(AA66="SI",5000*AH66*U66,0)</f>
        <v>0</v>
      </c>
      <c r="AP66" s="183">
        <f t="shared" ref="AP66:AP129" si="15">IF(AB66="SI",270000*U66,0)</f>
        <v>0</v>
      </c>
      <c r="AQ66" s="183">
        <f t="shared" ref="AQ66:AQ129" si="16">+(AK66*X66*U66)</f>
        <v>12807720</v>
      </c>
      <c r="AR66" s="183"/>
      <c r="AS66" s="183">
        <f t="shared" ref="AS66:AS129" si="17">+(AM66*U66)</f>
        <v>0</v>
      </c>
      <c r="AT66" s="183">
        <f t="shared" ref="AT66:AT129" si="18">+(AN66+AO66+AP66+AQ66+AS66)</f>
        <v>14847720</v>
      </c>
      <c r="AU66" s="175" t="s">
        <v>1535</v>
      </c>
      <c r="AV66" s="175" t="s">
        <v>1536</v>
      </c>
      <c r="AW66" s="175" t="s">
        <v>2036</v>
      </c>
      <c r="AX66" s="175" t="s">
        <v>2037</v>
      </c>
    </row>
    <row r="67" spans="1:50" s="179" customFormat="1" ht="24.95" hidden="1" customHeight="1" x14ac:dyDescent="0.25">
      <c r="A67" s="175">
        <v>14473</v>
      </c>
      <c r="B67" s="175" t="s">
        <v>83</v>
      </c>
      <c r="C67" s="175" t="s">
        <v>1022</v>
      </c>
      <c r="D67" s="176">
        <v>1</v>
      </c>
      <c r="E67" s="176">
        <v>2025</v>
      </c>
      <c r="F67" s="176">
        <v>2025</v>
      </c>
      <c r="G67" s="175" t="s">
        <v>23</v>
      </c>
      <c r="H67" s="175" t="s">
        <v>83</v>
      </c>
      <c r="I67" s="175" t="s">
        <v>102</v>
      </c>
      <c r="J67" s="177" t="s">
        <v>1027</v>
      </c>
      <c r="K67" s="175" t="s">
        <v>992</v>
      </c>
      <c r="L67" s="175" t="s">
        <v>345</v>
      </c>
      <c r="M67" s="175" t="s">
        <v>346</v>
      </c>
      <c r="N67" s="175">
        <v>13</v>
      </c>
      <c r="O67" s="175" t="s">
        <v>382</v>
      </c>
      <c r="P67" s="175" t="s">
        <v>717</v>
      </c>
      <c r="Q67" s="175" t="s">
        <v>1201</v>
      </c>
      <c r="R67" s="175" t="s">
        <v>339</v>
      </c>
      <c r="S67" s="175" t="s">
        <v>19</v>
      </c>
      <c r="T67" s="175" t="s">
        <v>784</v>
      </c>
      <c r="U67" s="176">
        <v>15</v>
      </c>
      <c r="V67" s="176">
        <v>122</v>
      </c>
      <c r="W67" s="176">
        <v>12</v>
      </c>
      <c r="X67" s="179">
        <f t="shared" si="11"/>
        <v>134</v>
      </c>
      <c r="Y67" s="176">
        <v>4</v>
      </c>
      <c r="Z67" s="176" t="s">
        <v>20</v>
      </c>
      <c r="AA67" s="176" t="s">
        <v>18</v>
      </c>
      <c r="AB67" s="176" t="s">
        <v>18</v>
      </c>
      <c r="AC67" s="186" t="s">
        <v>2172</v>
      </c>
      <c r="AD67" s="181" t="s">
        <v>2173</v>
      </c>
      <c r="AE67" s="179" t="s">
        <v>18</v>
      </c>
      <c r="AF67" s="191"/>
      <c r="AG67" s="174" t="s">
        <v>990</v>
      </c>
      <c r="AH67" s="179">
        <v>34</v>
      </c>
      <c r="AI67" s="179">
        <v>2</v>
      </c>
      <c r="AJ67" s="200">
        <f t="shared" si="12"/>
        <v>2010</v>
      </c>
      <c r="AK67" s="183">
        <f t="shared" si="13"/>
        <v>6372</v>
      </c>
      <c r="AL67" s="179">
        <f t="shared" ref="AL67:AL130" si="19">+(X67/Y67)</f>
        <v>33.5</v>
      </c>
      <c r="AM67" s="183">
        <v>0</v>
      </c>
      <c r="AN67" s="183">
        <f t="shared" ref="AN67:AN130" si="20">IF(Z67="SI",4000*U67*AH67,0)</f>
        <v>2040000</v>
      </c>
      <c r="AO67" s="183">
        <f t="shared" si="14"/>
        <v>0</v>
      </c>
      <c r="AP67" s="183">
        <f t="shared" si="15"/>
        <v>0</v>
      </c>
      <c r="AQ67" s="183">
        <f t="shared" si="16"/>
        <v>12807720</v>
      </c>
      <c r="AR67" s="183"/>
      <c r="AS67" s="183">
        <f t="shared" si="17"/>
        <v>0</v>
      </c>
      <c r="AT67" s="183">
        <f t="shared" si="18"/>
        <v>14847720</v>
      </c>
      <c r="AU67" s="175" t="s">
        <v>1535</v>
      </c>
      <c r="AV67" s="175" t="s">
        <v>1536</v>
      </c>
      <c r="AW67" s="175" t="s">
        <v>2036</v>
      </c>
      <c r="AX67" s="175" t="s">
        <v>2174</v>
      </c>
    </row>
    <row r="68" spans="1:50" s="179" customFormat="1" ht="24.95" hidden="1" customHeight="1" x14ac:dyDescent="0.25">
      <c r="A68" s="175">
        <v>14474</v>
      </c>
      <c r="B68" s="175" t="s">
        <v>83</v>
      </c>
      <c r="C68" s="175" t="s">
        <v>1022</v>
      </c>
      <c r="D68" s="176">
        <v>1</v>
      </c>
      <c r="E68" s="176">
        <v>2025</v>
      </c>
      <c r="F68" s="176">
        <v>2025</v>
      </c>
      <c r="G68" s="175" t="s">
        <v>23</v>
      </c>
      <c r="H68" s="175" t="s">
        <v>83</v>
      </c>
      <c r="I68" s="175" t="s">
        <v>102</v>
      </c>
      <c r="J68" s="177" t="s">
        <v>1027</v>
      </c>
      <c r="K68" s="175" t="s">
        <v>992</v>
      </c>
      <c r="L68" s="175" t="s">
        <v>345</v>
      </c>
      <c r="M68" s="175" t="s">
        <v>346</v>
      </c>
      <c r="N68" s="175">
        <v>13</v>
      </c>
      <c r="O68" s="175" t="s">
        <v>382</v>
      </c>
      <c r="P68" s="175" t="s">
        <v>717</v>
      </c>
      <c r="Q68" s="175" t="s">
        <v>1201</v>
      </c>
      <c r="R68" s="175" t="s">
        <v>339</v>
      </c>
      <c r="S68" s="175" t="s">
        <v>19</v>
      </c>
      <c r="T68" s="175" t="s">
        <v>777</v>
      </c>
      <c r="U68" s="176">
        <v>15</v>
      </c>
      <c r="V68" s="176">
        <v>122</v>
      </c>
      <c r="W68" s="176">
        <v>12</v>
      </c>
      <c r="X68" s="179">
        <f t="shared" si="11"/>
        <v>134</v>
      </c>
      <c r="Y68" s="176">
        <v>4</v>
      </c>
      <c r="Z68" s="176" t="s">
        <v>20</v>
      </c>
      <c r="AA68" s="176" t="s">
        <v>18</v>
      </c>
      <c r="AB68" s="176" t="s">
        <v>18</v>
      </c>
      <c r="AC68" s="186" t="s">
        <v>2172</v>
      </c>
      <c r="AD68" s="181" t="s">
        <v>2173</v>
      </c>
      <c r="AE68" s="179" t="s">
        <v>18</v>
      </c>
      <c r="AF68" s="191"/>
      <c r="AG68" s="174" t="s">
        <v>990</v>
      </c>
      <c r="AH68" s="179">
        <v>34</v>
      </c>
      <c r="AI68" s="179">
        <v>2</v>
      </c>
      <c r="AJ68" s="200">
        <f t="shared" si="12"/>
        <v>2010</v>
      </c>
      <c r="AK68" s="183">
        <f t="shared" si="13"/>
        <v>6372</v>
      </c>
      <c r="AL68" s="179">
        <f t="shared" si="19"/>
        <v>33.5</v>
      </c>
      <c r="AM68" s="183">
        <v>0</v>
      </c>
      <c r="AN68" s="183">
        <f t="shared" si="20"/>
        <v>2040000</v>
      </c>
      <c r="AO68" s="183">
        <f t="shared" si="14"/>
        <v>0</v>
      </c>
      <c r="AP68" s="183">
        <f t="shared" si="15"/>
        <v>0</v>
      </c>
      <c r="AQ68" s="183">
        <f t="shared" si="16"/>
        <v>12807720</v>
      </c>
      <c r="AR68" s="183"/>
      <c r="AS68" s="183">
        <f t="shared" si="17"/>
        <v>0</v>
      </c>
      <c r="AT68" s="183">
        <f t="shared" si="18"/>
        <v>14847720</v>
      </c>
      <c r="AU68" s="175" t="s">
        <v>1535</v>
      </c>
      <c r="AV68" s="175" t="s">
        <v>1536</v>
      </c>
      <c r="AW68" s="175" t="s">
        <v>2036</v>
      </c>
      <c r="AX68" s="175" t="s">
        <v>2037</v>
      </c>
    </row>
    <row r="69" spans="1:50" s="179" customFormat="1" ht="24.95" hidden="1" customHeight="1" x14ac:dyDescent="0.25">
      <c r="A69" s="175">
        <v>14425</v>
      </c>
      <c r="B69" s="175" t="s">
        <v>83</v>
      </c>
      <c r="C69" s="175" t="s">
        <v>1022</v>
      </c>
      <c r="D69" s="176">
        <v>1</v>
      </c>
      <c r="E69" s="176">
        <v>2025</v>
      </c>
      <c r="F69" s="176">
        <v>2025</v>
      </c>
      <c r="G69" s="175" t="s">
        <v>23</v>
      </c>
      <c r="H69" s="175" t="s">
        <v>83</v>
      </c>
      <c r="I69" s="175" t="s">
        <v>102</v>
      </c>
      <c r="J69" s="177" t="s">
        <v>2178</v>
      </c>
      <c r="K69" s="175" t="s">
        <v>992</v>
      </c>
      <c r="L69" s="175" t="s">
        <v>345</v>
      </c>
      <c r="M69" s="175" t="s">
        <v>346</v>
      </c>
      <c r="N69" s="175">
        <v>13</v>
      </c>
      <c r="O69" s="175" t="s">
        <v>382</v>
      </c>
      <c r="P69" s="175" t="s">
        <v>717</v>
      </c>
      <c r="Q69" s="175" t="s">
        <v>1201</v>
      </c>
      <c r="R69" s="175" t="s">
        <v>339</v>
      </c>
      <c r="S69" s="175" t="s">
        <v>19</v>
      </c>
      <c r="T69" s="175" t="s">
        <v>703</v>
      </c>
      <c r="U69" s="176">
        <v>15</v>
      </c>
      <c r="V69" s="176">
        <v>116</v>
      </c>
      <c r="W69" s="176">
        <v>12</v>
      </c>
      <c r="X69" s="179">
        <f t="shared" si="11"/>
        <v>128</v>
      </c>
      <c r="Y69" s="176">
        <v>4</v>
      </c>
      <c r="Z69" s="176" t="s">
        <v>20</v>
      </c>
      <c r="AA69" s="176" t="s">
        <v>18</v>
      </c>
      <c r="AB69" s="176" t="s">
        <v>18</v>
      </c>
      <c r="AC69" s="186" t="s">
        <v>2179</v>
      </c>
      <c r="AD69" s="181" t="s">
        <v>2033</v>
      </c>
      <c r="AE69" s="179" t="s">
        <v>18</v>
      </c>
      <c r="AF69" s="191"/>
      <c r="AG69" s="174" t="s">
        <v>990</v>
      </c>
      <c r="AH69" s="179">
        <v>32</v>
      </c>
      <c r="AI69" s="179">
        <v>1</v>
      </c>
      <c r="AJ69" s="200">
        <f t="shared" si="12"/>
        <v>1920</v>
      </c>
      <c r="AK69" s="183">
        <f t="shared" si="13"/>
        <v>5074</v>
      </c>
      <c r="AL69" s="179">
        <f t="shared" si="19"/>
        <v>32</v>
      </c>
      <c r="AM69" s="183">
        <v>0</v>
      </c>
      <c r="AN69" s="183">
        <f t="shared" si="20"/>
        <v>1920000</v>
      </c>
      <c r="AO69" s="183">
        <f t="shared" si="14"/>
        <v>0</v>
      </c>
      <c r="AP69" s="183">
        <f t="shared" si="15"/>
        <v>0</v>
      </c>
      <c r="AQ69" s="183">
        <f t="shared" si="16"/>
        <v>9742080</v>
      </c>
      <c r="AR69" s="183"/>
      <c r="AS69" s="183">
        <f t="shared" si="17"/>
        <v>0</v>
      </c>
      <c r="AT69" s="183">
        <f t="shared" si="18"/>
        <v>11662080</v>
      </c>
      <c r="AU69" s="175" t="s">
        <v>1535</v>
      </c>
      <c r="AV69" s="175" t="s">
        <v>1536</v>
      </c>
      <c r="AW69" s="175" t="s">
        <v>2036</v>
      </c>
      <c r="AX69" s="175" t="s">
        <v>2037</v>
      </c>
    </row>
    <row r="70" spans="1:50" s="179" customFormat="1" ht="24.95" hidden="1" customHeight="1" x14ac:dyDescent="0.25">
      <c r="A70" s="175">
        <v>14467</v>
      </c>
      <c r="B70" s="175" t="s">
        <v>83</v>
      </c>
      <c r="C70" s="175" t="s">
        <v>1022</v>
      </c>
      <c r="D70" s="176">
        <v>1</v>
      </c>
      <c r="E70" s="176">
        <v>2025</v>
      </c>
      <c r="F70" s="176">
        <v>2025</v>
      </c>
      <c r="G70" s="175" t="s">
        <v>23</v>
      </c>
      <c r="H70" s="175" t="s">
        <v>83</v>
      </c>
      <c r="I70" s="175" t="s">
        <v>102</v>
      </c>
      <c r="J70" s="177" t="s">
        <v>2180</v>
      </c>
      <c r="K70" s="175" t="s">
        <v>992</v>
      </c>
      <c r="L70" s="175" t="s">
        <v>345</v>
      </c>
      <c r="M70" s="175" t="s">
        <v>346</v>
      </c>
      <c r="N70" s="175">
        <v>13</v>
      </c>
      <c r="O70" s="175" t="s">
        <v>382</v>
      </c>
      <c r="P70" s="175" t="s">
        <v>717</v>
      </c>
      <c r="Q70" s="175" t="s">
        <v>1201</v>
      </c>
      <c r="R70" s="175" t="s">
        <v>339</v>
      </c>
      <c r="S70" s="175" t="s">
        <v>19</v>
      </c>
      <c r="T70" s="175" t="s">
        <v>784</v>
      </c>
      <c r="U70" s="176">
        <v>15</v>
      </c>
      <c r="V70" s="176">
        <v>116</v>
      </c>
      <c r="W70" s="176">
        <v>12</v>
      </c>
      <c r="X70" s="179">
        <f t="shared" si="11"/>
        <v>128</v>
      </c>
      <c r="Y70" s="176">
        <v>4</v>
      </c>
      <c r="Z70" s="176" t="s">
        <v>20</v>
      </c>
      <c r="AA70" s="176" t="s">
        <v>18</v>
      </c>
      <c r="AB70" s="176" t="s">
        <v>20</v>
      </c>
      <c r="AC70" s="186" t="s">
        <v>2181</v>
      </c>
      <c r="AD70" s="181" t="s">
        <v>2033</v>
      </c>
      <c r="AE70" s="179" t="s">
        <v>18</v>
      </c>
      <c r="AF70" s="191"/>
      <c r="AG70" s="174" t="s">
        <v>990</v>
      </c>
      <c r="AH70" s="179">
        <v>32</v>
      </c>
      <c r="AI70" s="179">
        <v>1</v>
      </c>
      <c r="AJ70" s="200">
        <f t="shared" si="12"/>
        <v>1920</v>
      </c>
      <c r="AK70" s="183">
        <f t="shared" si="13"/>
        <v>5074</v>
      </c>
      <c r="AL70" s="179">
        <f t="shared" si="19"/>
        <v>32</v>
      </c>
      <c r="AM70" s="183">
        <v>0</v>
      </c>
      <c r="AN70" s="183">
        <f t="shared" si="20"/>
        <v>1920000</v>
      </c>
      <c r="AO70" s="183">
        <f t="shared" si="14"/>
        <v>0</v>
      </c>
      <c r="AP70" s="183">
        <f t="shared" si="15"/>
        <v>4050000</v>
      </c>
      <c r="AQ70" s="183">
        <f t="shared" si="16"/>
        <v>9742080</v>
      </c>
      <c r="AR70" s="183"/>
      <c r="AS70" s="183">
        <f t="shared" si="17"/>
        <v>0</v>
      </c>
      <c r="AT70" s="183">
        <f t="shared" si="18"/>
        <v>15712080</v>
      </c>
      <c r="AU70" s="175" t="s">
        <v>1535</v>
      </c>
      <c r="AV70" s="175" t="s">
        <v>1536</v>
      </c>
      <c r="AW70" s="175" t="s">
        <v>2036</v>
      </c>
      <c r="AX70" s="175" t="s">
        <v>2037</v>
      </c>
    </row>
    <row r="71" spans="1:50" s="179" customFormat="1" ht="24.95" hidden="1" customHeight="1" x14ac:dyDescent="0.25">
      <c r="A71" s="175">
        <v>14468</v>
      </c>
      <c r="B71" s="175" t="s">
        <v>83</v>
      </c>
      <c r="C71" s="175" t="s">
        <v>1022</v>
      </c>
      <c r="D71" s="176">
        <v>1</v>
      </c>
      <c r="E71" s="176">
        <v>2025</v>
      </c>
      <c r="F71" s="176">
        <v>2025</v>
      </c>
      <c r="G71" s="175" t="s">
        <v>23</v>
      </c>
      <c r="H71" s="175" t="s">
        <v>83</v>
      </c>
      <c r="I71" s="175" t="s">
        <v>102</v>
      </c>
      <c r="J71" s="177" t="s">
        <v>2180</v>
      </c>
      <c r="K71" s="175" t="s">
        <v>992</v>
      </c>
      <c r="L71" s="175" t="s">
        <v>345</v>
      </c>
      <c r="M71" s="175" t="s">
        <v>346</v>
      </c>
      <c r="N71" s="175">
        <v>13</v>
      </c>
      <c r="O71" s="175" t="s">
        <v>382</v>
      </c>
      <c r="P71" s="175" t="s">
        <v>717</v>
      </c>
      <c r="Q71" s="175" t="s">
        <v>1201</v>
      </c>
      <c r="R71" s="175" t="s">
        <v>339</v>
      </c>
      <c r="S71" s="175" t="s">
        <v>19</v>
      </c>
      <c r="T71" s="175" t="s">
        <v>703</v>
      </c>
      <c r="U71" s="176">
        <v>15</v>
      </c>
      <c r="V71" s="176">
        <v>116</v>
      </c>
      <c r="W71" s="176">
        <v>12</v>
      </c>
      <c r="X71" s="179">
        <f t="shared" si="11"/>
        <v>128</v>
      </c>
      <c r="Y71" s="176">
        <v>4</v>
      </c>
      <c r="Z71" s="176" t="s">
        <v>20</v>
      </c>
      <c r="AA71" s="176" t="s">
        <v>18</v>
      </c>
      <c r="AB71" s="176" t="s">
        <v>20</v>
      </c>
      <c r="AC71" s="186" t="s">
        <v>2181</v>
      </c>
      <c r="AD71" s="181" t="s">
        <v>2033</v>
      </c>
      <c r="AE71" s="179" t="s">
        <v>18</v>
      </c>
      <c r="AF71" s="191"/>
      <c r="AG71" s="174" t="s">
        <v>990</v>
      </c>
      <c r="AH71" s="179">
        <v>32</v>
      </c>
      <c r="AI71" s="179">
        <v>1</v>
      </c>
      <c r="AJ71" s="200">
        <f t="shared" si="12"/>
        <v>1920</v>
      </c>
      <c r="AK71" s="183">
        <f t="shared" si="13"/>
        <v>5074</v>
      </c>
      <c r="AL71" s="179">
        <f t="shared" si="19"/>
        <v>32</v>
      </c>
      <c r="AM71" s="183">
        <v>0</v>
      </c>
      <c r="AN71" s="183">
        <f t="shared" si="20"/>
        <v>1920000</v>
      </c>
      <c r="AO71" s="183">
        <f t="shared" si="14"/>
        <v>0</v>
      </c>
      <c r="AP71" s="183">
        <f t="shared" si="15"/>
        <v>4050000</v>
      </c>
      <c r="AQ71" s="183">
        <f t="shared" si="16"/>
        <v>9742080</v>
      </c>
      <c r="AR71" s="183"/>
      <c r="AS71" s="183">
        <f t="shared" si="17"/>
        <v>0</v>
      </c>
      <c r="AT71" s="183">
        <f t="shared" si="18"/>
        <v>15712080</v>
      </c>
      <c r="AU71" s="175" t="s">
        <v>1535</v>
      </c>
      <c r="AV71" s="175" t="s">
        <v>1536</v>
      </c>
      <c r="AW71" s="175" t="s">
        <v>2036</v>
      </c>
      <c r="AX71" s="175" t="s">
        <v>2037</v>
      </c>
    </row>
    <row r="72" spans="1:50" s="179" customFormat="1" ht="24.95" hidden="1" customHeight="1" x14ac:dyDescent="0.25">
      <c r="A72" s="175">
        <v>14469</v>
      </c>
      <c r="B72" s="175" t="s">
        <v>83</v>
      </c>
      <c r="C72" s="175" t="s">
        <v>1022</v>
      </c>
      <c r="D72" s="176">
        <v>1</v>
      </c>
      <c r="E72" s="176">
        <v>2025</v>
      </c>
      <c r="F72" s="176">
        <v>2025</v>
      </c>
      <c r="G72" s="175" t="s">
        <v>23</v>
      </c>
      <c r="H72" s="175" t="s">
        <v>83</v>
      </c>
      <c r="I72" s="175" t="s">
        <v>102</v>
      </c>
      <c r="J72" s="177" t="s">
        <v>2180</v>
      </c>
      <c r="K72" s="175" t="s">
        <v>992</v>
      </c>
      <c r="L72" s="175" t="s">
        <v>345</v>
      </c>
      <c r="M72" s="175" t="s">
        <v>346</v>
      </c>
      <c r="N72" s="175">
        <v>13</v>
      </c>
      <c r="O72" s="175" t="s">
        <v>382</v>
      </c>
      <c r="P72" s="175" t="s">
        <v>416</v>
      </c>
      <c r="Q72" s="175" t="s">
        <v>1201</v>
      </c>
      <c r="R72" s="175" t="s">
        <v>339</v>
      </c>
      <c r="S72" s="175" t="s">
        <v>19</v>
      </c>
      <c r="T72" s="175" t="s">
        <v>703</v>
      </c>
      <c r="U72" s="176">
        <v>15</v>
      </c>
      <c r="V72" s="176">
        <v>116</v>
      </c>
      <c r="W72" s="176">
        <v>12</v>
      </c>
      <c r="X72" s="179">
        <f t="shared" si="11"/>
        <v>128</v>
      </c>
      <c r="Y72" s="176">
        <v>4</v>
      </c>
      <c r="Z72" s="176" t="s">
        <v>20</v>
      </c>
      <c r="AA72" s="176" t="s">
        <v>18</v>
      </c>
      <c r="AB72" s="176" t="s">
        <v>18</v>
      </c>
      <c r="AC72" s="186" t="s">
        <v>2181</v>
      </c>
      <c r="AD72" s="181" t="s">
        <v>2033</v>
      </c>
      <c r="AE72" s="179" t="s">
        <v>18</v>
      </c>
      <c r="AF72" s="191"/>
      <c r="AG72" s="174" t="s">
        <v>990</v>
      </c>
      <c r="AH72" s="179">
        <v>32</v>
      </c>
      <c r="AI72" s="179">
        <v>1</v>
      </c>
      <c r="AJ72" s="200">
        <f t="shared" si="12"/>
        <v>1920</v>
      </c>
      <c r="AK72" s="183">
        <f t="shared" si="13"/>
        <v>5074</v>
      </c>
      <c r="AL72" s="179">
        <f t="shared" si="19"/>
        <v>32</v>
      </c>
      <c r="AM72" s="183">
        <v>0</v>
      </c>
      <c r="AN72" s="183">
        <f t="shared" si="20"/>
        <v>1920000</v>
      </c>
      <c r="AO72" s="183">
        <f t="shared" si="14"/>
        <v>0</v>
      </c>
      <c r="AP72" s="183">
        <f t="shared" si="15"/>
        <v>0</v>
      </c>
      <c r="AQ72" s="183">
        <f t="shared" si="16"/>
        <v>9742080</v>
      </c>
      <c r="AR72" s="183"/>
      <c r="AS72" s="183">
        <f t="shared" si="17"/>
        <v>0</v>
      </c>
      <c r="AT72" s="183">
        <f t="shared" si="18"/>
        <v>11662080</v>
      </c>
      <c r="AU72" s="175" t="s">
        <v>1535</v>
      </c>
      <c r="AV72" s="175" t="s">
        <v>1536</v>
      </c>
      <c r="AW72" s="175" t="s">
        <v>2036</v>
      </c>
      <c r="AX72" s="175" t="s">
        <v>2037</v>
      </c>
    </row>
    <row r="73" spans="1:50" s="179" customFormat="1" ht="24.95" hidden="1" customHeight="1" x14ac:dyDescent="0.25">
      <c r="A73" s="175">
        <v>14398</v>
      </c>
      <c r="B73" s="175" t="s">
        <v>83</v>
      </c>
      <c r="C73" s="175" t="s">
        <v>1022</v>
      </c>
      <c r="D73" s="176">
        <v>1</v>
      </c>
      <c r="E73" s="176">
        <v>2025</v>
      </c>
      <c r="F73" s="176">
        <v>2025</v>
      </c>
      <c r="G73" s="175" t="s">
        <v>23</v>
      </c>
      <c r="H73" s="175" t="s">
        <v>83</v>
      </c>
      <c r="I73" s="175" t="s">
        <v>102</v>
      </c>
      <c r="J73" s="177" t="s">
        <v>2183</v>
      </c>
      <c r="K73" s="175" t="s">
        <v>992</v>
      </c>
      <c r="L73" s="175" t="s">
        <v>345</v>
      </c>
      <c r="M73" s="175" t="s">
        <v>346</v>
      </c>
      <c r="N73" s="175">
        <v>13</v>
      </c>
      <c r="O73" s="175" t="s">
        <v>382</v>
      </c>
      <c r="P73" s="175" t="s">
        <v>730</v>
      </c>
      <c r="Q73" s="175" t="s">
        <v>1201</v>
      </c>
      <c r="R73" s="175" t="s">
        <v>339</v>
      </c>
      <c r="S73" s="175" t="s">
        <v>19</v>
      </c>
      <c r="T73" s="175" t="s">
        <v>784</v>
      </c>
      <c r="U73" s="176">
        <v>12</v>
      </c>
      <c r="V73" s="176">
        <v>80</v>
      </c>
      <c r="W73" s="176">
        <v>12</v>
      </c>
      <c r="X73" s="179">
        <f t="shared" si="11"/>
        <v>92</v>
      </c>
      <c r="Y73" s="176">
        <v>4</v>
      </c>
      <c r="Z73" s="176" t="s">
        <v>20</v>
      </c>
      <c r="AA73" s="176" t="s">
        <v>18</v>
      </c>
      <c r="AB73" s="176" t="s">
        <v>18</v>
      </c>
      <c r="AC73" s="186" t="s">
        <v>2184</v>
      </c>
      <c r="AD73" s="181" t="s">
        <v>2185</v>
      </c>
      <c r="AE73" s="179" t="s">
        <v>18</v>
      </c>
      <c r="AF73" s="191"/>
      <c r="AG73" s="174" t="s">
        <v>990</v>
      </c>
      <c r="AH73" s="179">
        <v>23</v>
      </c>
      <c r="AI73" s="179">
        <v>2</v>
      </c>
      <c r="AJ73" s="200">
        <f t="shared" si="12"/>
        <v>1104</v>
      </c>
      <c r="AK73" s="183">
        <f t="shared" si="13"/>
        <v>6372</v>
      </c>
      <c r="AL73" s="179">
        <f t="shared" si="19"/>
        <v>23</v>
      </c>
      <c r="AM73" s="183">
        <v>0</v>
      </c>
      <c r="AN73" s="183">
        <f t="shared" si="20"/>
        <v>1104000</v>
      </c>
      <c r="AO73" s="183">
        <f t="shared" si="14"/>
        <v>0</v>
      </c>
      <c r="AP73" s="183">
        <f t="shared" si="15"/>
        <v>0</v>
      </c>
      <c r="AQ73" s="183">
        <f t="shared" si="16"/>
        <v>7034688</v>
      </c>
      <c r="AR73" s="183"/>
      <c r="AS73" s="183">
        <f t="shared" si="17"/>
        <v>0</v>
      </c>
      <c r="AT73" s="183">
        <f t="shared" si="18"/>
        <v>8138688</v>
      </c>
      <c r="AU73" s="175" t="s">
        <v>1535</v>
      </c>
      <c r="AV73" s="175" t="s">
        <v>1536</v>
      </c>
      <c r="AW73" s="175" t="s">
        <v>2036</v>
      </c>
      <c r="AX73" s="175" t="s">
        <v>2037</v>
      </c>
    </row>
    <row r="74" spans="1:50" s="179" customFormat="1" ht="24.95" hidden="1" customHeight="1" x14ac:dyDescent="0.25">
      <c r="A74" s="175">
        <v>14382</v>
      </c>
      <c r="B74" s="175" t="s">
        <v>83</v>
      </c>
      <c r="C74" s="175" t="s">
        <v>1022</v>
      </c>
      <c r="D74" s="176">
        <v>1</v>
      </c>
      <c r="E74" s="176">
        <v>2025</v>
      </c>
      <c r="F74" s="176">
        <v>2025</v>
      </c>
      <c r="G74" s="175" t="s">
        <v>23</v>
      </c>
      <c r="H74" s="175" t="s">
        <v>83</v>
      </c>
      <c r="I74" s="175" t="s">
        <v>102</v>
      </c>
      <c r="J74" s="177" t="s">
        <v>2186</v>
      </c>
      <c r="K74" s="175" t="s">
        <v>992</v>
      </c>
      <c r="L74" s="175" t="s">
        <v>345</v>
      </c>
      <c r="M74" s="175" t="s">
        <v>346</v>
      </c>
      <c r="N74" s="175">
        <v>13</v>
      </c>
      <c r="O74" s="175" t="s">
        <v>382</v>
      </c>
      <c r="P74" s="175" t="s">
        <v>730</v>
      </c>
      <c r="Q74" s="175" t="s">
        <v>1201</v>
      </c>
      <c r="R74" s="175" t="s">
        <v>339</v>
      </c>
      <c r="S74" s="175" t="s">
        <v>19</v>
      </c>
      <c r="T74" s="175" t="s">
        <v>777</v>
      </c>
      <c r="U74" s="176">
        <v>12</v>
      </c>
      <c r="V74" s="176">
        <v>60</v>
      </c>
      <c r="W74" s="176">
        <v>12</v>
      </c>
      <c r="X74" s="179">
        <f t="shared" si="11"/>
        <v>72</v>
      </c>
      <c r="Y74" s="176">
        <v>4</v>
      </c>
      <c r="Z74" s="176" t="s">
        <v>20</v>
      </c>
      <c r="AA74" s="176" t="s">
        <v>18</v>
      </c>
      <c r="AB74" s="185" t="s">
        <v>18</v>
      </c>
      <c r="AC74" s="186" t="s">
        <v>2187</v>
      </c>
      <c r="AD74" s="181" t="s">
        <v>2185</v>
      </c>
      <c r="AE74" s="179" t="s">
        <v>18</v>
      </c>
      <c r="AF74" s="191"/>
      <c r="AG74" s="174" t="s">
        <v>990</v>
      </c>
      <c r="AH74" s="179">
        <v>18</v>
      </c>
      <c r="AI74" s="179">
        <v>2</v>
      </c>
      <c r="AJ74" s="200">
        <f t="shared" si="12"/>
        <v>864</v>
      </c>
      <c r="AK74" s="183">
        <f t="shared" si="13"/>
        <v>6372</v>
      </c>
      <c r="AL74" s="179">
        <f t="shared" si="19"/>
        <v>18</v>
      </c>
      <c r="AM74" s="183">
        <v>0</v>
      </c>
      <c r="AN74" s="183">
        <f t="shared" si="20"/>
        <v>864000</v>
      </c>
      <c r="AO74" s="183">
        <f t="shared" si="14"/>
        <v>0</v>
      </c>
      <c r="AP74" s="183">
        <f t="shared" si="15"/>
        <v>0</v>
      </c>
      <c r="AQ74" s="183">
        <f t="shared" si="16"/>
        <v>5505408</v>
      </c>
      <c r="AR74" s="183"/>
      <c r="AS74" s="183">
        <f t="shared" si="17"/>
        <v>0</v>
      </c>
      <c r="AT74" s="183">
        <f t="shared" si="18"/>
        <v>6369408</v>
      </c>
      <c r="AU74" s="175" t="s">
        <v>1535</v>
      </c>
      <c r="AV74" s="175" t="s">
        <v>1536</v>
      </c>
      <c r="AW74" s="175" t="s">
        <v>2036</v>
      </c>
      <c r="AX74" s="175" t="s">
        <v>2037</v>
      </c>
    </row>
    <row r="75" spans="1:50" s="179" customFormat="1" ht="24.95" hidden="1" customHeight="1" x14ac:dyDescent="0.25">
      <c r="A75" s="175">
        <v>14475</v>
      </c>
      <c r="B75" s="175" t="s">
        <v>83</v>
      </c>
      <c r="C75" s="175" t="s">
        <v>1022</v>
      </c>
      <c r="D75" s="176">
        <v>1</v>
      </c>
      <c r="E75" s="176">
        <v>2025</v>
      </c>
      <c r="F75" s="176">
        <v>2025</v>
      </c>
      <c r="G75" s="175" t="s">
        <v>23</v>
      </c>
      <c r="H75" s="175" t="s">
        <v>83</v>
      </c>
      <c r="I75" s="175" t="s">
        <v>102</v>
      </c>
      <c r="J75" s="177" t="s">
        <v>2208</v>
      </c>
      <c r="K75" s="175" t="s">
        <v>992</v>
      </c>
      <c r="L75" s="175" t="s">
        <v>345</v>
      </c>
      <c r="M75" s="175" t="s">
        <v>346</v>
      </c>
      <c r="N75" s="175">
        <v>13</v>
      </c>
      <c r="O75" s="175" t="s">
        <v>382</v>
      </c>
      <c r="P75" s="175" t="s">
        <v>416</v>
      </c>
      <c r="Q75" s="175" t="s">
        <v>1201</v>
      </c>
      <c r="R75" s="175" t="s">
        <v>339</v>
      </c>
      <c r="S75" s="175" t="s">
        <v>19</v>
      </c>
      <c r="T75" s="175" t="s">
        <v>393</v>
      </c>
      <c r="U75" s="176">
        <v>12</v>
      </c>
      <c r="V75" s="176">
        <v>60</v>
      </c>
      <c r="W75" s="176">
        <v>12</v>
      </c>
      <c r="X75" s="179">
        <f t="shared" si="11"/>
        <v>72</v>
      </c>
      <c r="Y75" s="176">
        <v>4</v>
      </c>
      <c r="Z75" s="176" t="s">
        <v>20</v>
      </c>
      <c r="AA75" s="176" t="s">
        <v>18</v>
      </c>
      <c r="AB75" s="185" t="s">
        <v>18</v>
      </c>
      <c r="AC75" s="186" t="s">
        <v>2209</v>
      </c>
      <c r="AD75" s="181" t="s">
        <v>2210</v>
      </c>
      <c r="AE75" s="179" t="s">
        <v>18</v>
      </c>
      <c r="AF75" s="191"/>
      <c r="AG75" s="174" t="s">
        <v>990</v>
      </c>
      <c r="AH75" s="179">
        <v>18</v>
      </c>
      <c r="AI75" s="179">
        <v>2</v>
      </c>
      <c r="AJ75" s="200">
        <f t="shared" si="12"/>
        <v>864</v>
      </c>
      <c r="AK75" s="183">
        <f t="shared" si="13"/>
        <v>6372</v>
      </c>
      <c r="AL75" s="179">
        <f t="shared" si="19"/>
        <v>18</v>
      </c>
      <c r="AM75" s="183">
        <v>0</v>
      </c>
      <c r="AN75" s="183">
        <f t="shared" si="20"/>
        <v>864000</v>
      </c>
      <c r="AO75" s="183">
        <f t="shared" si="14"/>
        <v>0</v>
      </c>
      <c r="AP75" s="183">
        <f t="shared" si="15"/>
        <v>0</v>
      </c>
      <c r="AQ75" s="183">
        <f t="shared" si="16"/>
        <v>5505408</v>
      </c>
      <c r="AR75" s="183"/>
      <c r="AS75" s="183">
        <f t="shared" si="17"/>
        <v>0</v>
      </c>
      <c r="AT75" s="183">
        <f t="shared" si="18"/>
        <v>6369408</v>
      </c>
      <c r="AU75" s="175" t="s">
        <v>1535</v>
      </c>
      <c r="AV75" s="175" t="s">
        <v>1536</v>
      </c>
      <c r="AW75" s="175" t="s">
        <v>2036</v>
      </c>
      <c r="AX75" s="175" t="s">
        <v>2037</v>
      </c>
    </row>
    <row r="76" spans="1:50" s="179" customFormat="1" ht="24.95" hidden="1" customHeight="1" x14ac:dyDescent="0.25">
      <c r="A76" s="175">
        <v>14478</v>
      </c>
      <c r="B76" s="175" t="s">
        <v>83</v>
      </c>
      <c r="C76" s="175" t="s">
        <v>1022</v>
      </c>
      <c r="D76" s="176">
        <v>1</v>
      </c>
      <c r="E76" s="176">
        <v>2025</v>
      </c>
      <c r="F76" s="176">
        <v>2025</v>
      </c>
      <c r="G76" s="175" t="s">
        <v>23</v>
      </c>
      <c r="H76" s="175" t="s">
        <v>83</v>
      </c>
      <c r="I76" s="175" t="s">
        <v>102</v>
      </c>
      <c r="J76" s="177" t="s">
        <v>2208</v>
      </c>
      <c r="K76" s="175" t="s">
        <v>992</v>
      </c>
      <c r="L76" s="175" t="s">
        <v>345</v>
      </c>
      <c r="M76" s="175" t="s">
        <v>346</v>
      </c>
      <c r="N76" s="175">
        <v>13</v>
      </c>
      <c r="O76" s="175" t="s">
        <v>382</v>
      </c>
      <c r="P76" s="175" t="s">
        <v>416</v>
      </c>
      <c r="Q76" s="175" t="s">
        <v>1201</v>
      </c>
      <c r="R76" s="175" t="s">
        <v>339</v>
      </c>
      <c r="S76" s="175" t="s">
        <v>19</v>
      </c>
      <c r="T76" s="175" t="s">
        <v>703</v>
      </c>
      <c r="U76" s="176">
        <v>12</v>
      </c>
      <c r="V76" s="176">
        <v>60</v>
      </c>
      <c r="W76" s="176">
        <v>12</v>
      </c>
      <c r="X76" s="179">
        <f t="shared" si="11"/>
        <v>72</v>
      </c>
      <c r="Y76" s="176">
        <v>4</v>
      </c>
      <c r="Z76" s="176" t="s">
        <v>20</v>
      </c>
      <c r="AA76" s="176" t="s">
        <v>18</v>
      </c>
      <c r="AB76" s="185" t="s">
        <v>18</v>
      </c>
      <c r="AC76" s="186" t="s">
        <v>2209</v>
      </c>
      <c r="AD76" s="181" t="s">
        <v>2210</v>
      </c>
      <c r="AE76" s="179" t="s">
        <v>18</v>
      </c>
      <c r="AF76" s="191"/>
      <c r="AG76" s="174" t="s">
        <v>990</v>
      </c>
      <c r="AH76" s="179">
        <v>18</v>
      </c>
      <c r="AI76" s="179">
        <v>2</v>
      </c>
      <c r="AJ76" s="200">
        <f t="shared" si="12"/>
        <v>864</v>
      </c>
      <c r="AK76" s="183">
        <f t="shared" si="13"/>
        <v>6372</v>
      </c>
      <c r="AL76" s="179">
        <f t="shared" si="19"/>
        <v>18</v>
      </c>
      <c r="AM76" s="183">
        <v>0</v>
      </c>
      <c r="AN76" s="183">
        <f t="shared" si="20"/>
        <v>864000</v>
      </c>
      <c r="AO76" s="183">
        <f t="shared" si="14"/>
        <v>0</v>
      </c>
      <c r="AP76" s="183">
        <f t="shared" si="15"/>
        <v>0</v>
      </c>
      <c r="AQ76" s="183">
        <f t="shared" si="16"/>
        <v>5505408</v>
      </c>
      <c r="AR76" s="183"/>
      <c r="AS76" s="183">
        <f t="shared" si="17"/>
        <v>0</v>
      </c>
      <c r="AT76" s="183">
        <f t="shared" si="18"/>
        <v>6369408</v>
      </c>
      <c r="AU76" s="175" t="s">
        <v>1535</v>
      </c>
      <c r="AV76" s="175" t="s">
        <v>1536</v>
      </c>
      <c r="AW76" s="175" t="s">
        <v>2036</v>
      </c>
      <c r="AX76" s="175" t="s">
        <v>2037</v>
      </c>
    </row>
    <row r="77" spans="1:50" s="179" customFormat="1" ht="24.95" hidden="1" customHeight="1" x14ac:dyDescent="0.25">
      <c r="A77" s="175">
        <v>14380</v>
      </c>
      <c r="B77" s="175" t="s">
        <v>83</v>
      </c>
      <c r="C77" s="175" t="s">
        <v>1022</v>
      </c>
      <c r="D77" s="176">
        <v>1</v>
      </c>
      <c r="E77" s="176">
        <v>2025</v>
      </c>
      <c r="F77" s="176">
        <v>2025</v>
      </c>
      <c r="G77" s="175" t="s">
        <v>23</v>
      </c>
      <c r="H77" s="175" t="s">
        <v>83</v>
      </c>
      <c r="I77" s="175" t="s">
        <v>102</v>
      </c>
      <c r="J77" s="177" t="s">
        <v>2214</v>
      </c>
      <c r="K77" s="175" t="s">
        <v>992</v>
      </c>
      <c r="L77" s="175" t="s">
        <v>345</v>
      </c>
      <c r="M77" s="175" t="s">
        <v>346</v>
      </c>
      <c r="N77" s="175">
        <v>13</v>
      </c>
      <c r="O77" s="175" t="s">
        <v>382</v>
      </c>
      <c r="P77" s="175" t="s">
        <v>416</v>
      </c>
      <c r="Q77" s="175" t="s">
        <v>1201</v>
      </c>
      <c r="R77" s="175" t="s">
        <v>339</v>
      </c>
      <c r="S77" s="175" t="s">
        <v>19</v>
      </c>
      <c r="T77" s="175" t="s">
        <v>784</v>
      </c>
      <c r="U77" s="176">
        <v>15</v>
      </c>
      <c r="V77" s="176">
        <v>24</v>
      </c>
      <c r="W77" s="176">
        <v>12</v>
      </c>
      <c r="X77" s="179">
        <f t="shared" si="11"/>
        <v>36</v>
      </c>
      <c r="Y77" s="176">
        <v>4</v>
      </c>
      <c r="Z77" s="176" t="s">
        <v>20</v>
      </c>
      <c r="AA77" s="176" t="s">
        <v>18</v>
      </c>
      <c r="AB77" s="185" t="s">
        <v>18</v>
      </c>
      <c r="AC77" s="186" t="s">
        <v>2215</v>
      </c>
      <c r="AD77" s="181" t="s">
        <v>2216</v>
      </c>
      <c r="AE77" s="179" t="s">
        <v>18</v>
      </c>
      <c r="AF77" s="191"/>
      <c r="AG77" s="174" t="s">
        <v>990</v>
      </c>
      <c r="AH77" s="179">
        <v>9</v>
      </c>
      <c r="AI77" s="179">
        <v>1</v>
      </c>
      <c r="AJ77" s="200">
        <f t="shared" si="12"/>
        <v>540</v>
      </c>
      <c r="AK77" s="183">
        <f t="shared" si="13"/>
        <v>5074</v>
      </c>
      <c r="AL77" s="179">
        <f t="shared" si="19"/>
        <v>9</v>
      </c>
      <c r="AM77" s="183">
        <v>0</v>
      </c>
      <c r="AN77" s="183">
        <f t="shared" si="20"/>
        <v>540000</v>
      </c>
      <c r="AO77" s="183">
        <f t="shared" si="14"/>
        <v>0</v>
      </c>
      <c r="AP77" s="183">
        <f t="shared" si="15"/>
        <v>0</v>
      </c>
      <c r="AQ77" s="183">
        <f t="shared" si="16"/>
        <v>2739960</v>
      </c>
      <c r="AR77" s="183"/>
      <c r="AS77" s="183">
        <f t="shared" si="17"/>
        <v>0</v>
      </c>
      <c r="AT77" s="183">
        <f t="shared" si="18"/>
        <v>3279960</v>
      </c>
      <c r="AU77" s="175" t="s">
        <v>1535</v>
      </c>
      <c r="AV77" s="175" t="s">
        <v>1536</v>
      </c>
      <c r="AW77" s="175" t="s">
        <v>2036</v>
      </c>
      <c r="AX77" s="175" t="s">
        <v>2037</v>
      </c>
    </row>
    <row r="78" spans="1:50" s="179" customFormat="1" ht="24.95" hidden="1" customHeight="1" x14ac:dyDescent="0.25">
      <c r="A78" s="175">
        <v>14381</v>
      </c>
      <c r="B78" s="175" t="s">
        <v>83</v>
      </c>
      <c r="C78" s="175" t="s">
        <v>1022</v>
      </c>
      <c r="D78" s="176">
        <v>1</v>
      </c>
      <c r="E78" s="176">
        <v>2025</v>
      </c>
      <c r="F78" s="176">
        <v>2025</v>
      </c>
      <c r="G78" s="175" t="s">
        <v>23</v>
      </c>
      <c r="H78" s="175" t="s">
        <v>83</v>
      </c>
      <c r="I78" s="175" t="s">
        <v>102</v>
      </c>
      <c r="J78" s="177" t="s">
        <v>2214</v>
      </c>
      <c r="K78" s="175" t="s">
        <v>992</v>
      </c>
      <c r="L78" s="175" t="s">
        <v>345</v>
      </c>
      <c r="M78" s="175" t="s">
        <v>346</v>
      </c>
      <c r="N78" s="175">
        <v>13</v>
      </c>
      <c r="O78" s="175" t="s">
        <v>382</v>
      </c>
      <c r="P78" s="175" t="s">
        <v>416</v>
      </c>
      <c r="Q78" s="175" t="s">
        <v>1201</v>
      </c>
      <c r="R78" s="175" t="s">
        <v>339</v>
      </c>
      <c r="S78" s="175" t="s">
        <v>19</v>
      </c>
      <c r="T78" s="175" t="s">
        <v>777</v>
      </c>
      <c r="U78" s="176">
        <v>15</v>
      </c>
      <c r="V78" s="176">
        <v>24</v>
      </c>
      <c r="W78" s="176">
        <v>12</v>
      </c>
      <c r="X78" s="179">
        <f t="shared" si="11"/>
        <v>36</v>
      </c>
      <c r="Y78" s="176">
        <v>4</v>
      </c>
      <c r="Z78" s="176" t="s">
        <v>20</v>
      </c>
      <c r="AA78" s="176" t="s">
        <v>18</v>
      </c>
      <c r="AB78" s="185" t="s">
        <v>18</v>
      </c>
      <c r="AC78" s="186" t="s">
        <v>2215</v>
      </c>
      <c r="AD78" s="181" t="s">
        <v>2217</v>
      </c>
      <c r="AE78" s="179" t="s">
        <v>18</v>
      </c>
      <c r="AF78" s="191"/>
      <c r="AG78" s="174" t="s">
        <v>990</v>
      </c>
      <c r="AH78" s="179">
        <v>9</v>
      </c>
      <c r="AI78" s="179">
        <v>1</v>
      </c>
      <c r="AJ78" s="200">
        <f t="shared" si="12"/>
        <v>540</v>
      </c>
      <c r="AK78" s="183">
        <f t="shared" si="13"/>
        <v>5074</v>
      </c>
      <c r="AL78" s="179">
        <f t="shared" si="19"/>
        <v>9</v>
      </c>
      <c r="AM78" s="183">
        <v>0</v>
      </c>
      <c r="AN78" s="183">
        <f t="shared" si="20"/>
        <v>540000</v>
      </c>
      <c r="AO78" s="183">
        <f t="shared" si="14"/>
        <v>0</v>
      </c>
      <c r="AP78" s="183">
        <f t="shared" si="15"/>
        <v>0</v>
      </c>
      <c r="AQ78" s="183">
        <f t="shared" si="16"/>
        <v>2739960</v>
      </c>
      <c r="AR78" s="183"/>
      <c r="AS78" s="183">
        <f t="shared" si="17"/>
        <v>0</v>
      </c>
      <c r="AT78" s="183">
        <f t="shared" si="18"/>
        <v>3279960</v>
      </c>
      <c r="AU78" s="175" t="s">
        <v>1535</v>
      </c>
      <c r="AV78" s="175" t="s">
        <v>1536</v>
      </c>
      <c r="AW78" s="175" t="s">
        <v>2036</v>
      </c>
      <c r="AX78" s="175" t="s">
        <v>2037</v>
      </c>
    </row>
    <row r="79" spans="1:50" s="179" customFormat="1" ht="24.95" hidden="1" customHeight="1" x14ac:dyDescent="0.25">
      <c r="A79" s="175">
        <v>14400</v>
      </c>
      <c r="B79" s="175" t="s">
        <v>83</v>
      </c>
      <c r="C79" s="175" t="s">
        <v>1022</v>
      </c>
      <c r="D79" s="176">
        <v>1</v>
      </c>
      <c r="E79" s="176">
        <v>2025</v>
      </c>
      <c r="F79" s="176">
        <v>2025</v>
      </c>
      <c r="G79" s="175" t="s">
        <v>23</v>
      </c>
      <c r="H79" s="175" t="s">
        <v>83</v>
      </c>
      <c r="I79" s="175" t="s">
        <v>102</v>
      </c>
      <c r="J79" s="177" t="s">
        <v>2228</v>
      </c>
      <c r="K79" s="175" t="s">
        <v>992</v>
      </c>
      <c r="L79" s="175" t="s">
        <v>345</v>
      </c>
      <c r="M79" s="175" t="s">
        <v>346</v>
      </c>
      <c r="N79" s="175">
        <v>13</v>
      </c>
      <c r="O79" s="175" t="s">
        <v>382</v>
      </c>
      <c r="P79" s="175" t="s">
        <v>730</v>
      </c>
      <c r="Q79" s="175" t="s">
        <v>1201</v>
      </c>
      <c r="R79" s="175" t="s">
        <v>339</v>
      </c>
      <c r="S79" s="175" t="s">
        <v>19</v>
      </c>
      <c r="T79" s="175" t="s">
        <v>393</v>
      </c>
      <c r="U79" s="176">
        <v>12</v>
      </c>
      <c r="V79" s="176">
        <v>100</v>
      </c>
      <c r="W79" s="176">
        <v>12</v>
      </c>
      <c r="X79" s="179">
        <f t="shared" si="11"/>
        <v>112</v>
      </c>
      <c r="Y79" s="176">
        <v>4</v>
      </c>
      <c r="Z79" s="176" t="s">
        <v>20</v>
      </c>
      <c r="AA79" s="176" t="s">
        <v>18</v>
      </c>
      <c r="AB79" s="176" t="s">
        <v>18</v>
      </c>
      <c r="AC79" s="186" t="s">
        <v>2229</v>
      </c>
      <c r="AD79" s="181" t="s">
        <v>2230</v>
      </c>
      <c r="AE79" s="179" t="s">
        <v>18</v>
      </c>
      <c r="AF79" s="191"/>
      <c r="AG79" s="174" t="s">
        <v>990</v>
      </c>
      <c r="AH79" s="179">
        <v>28</v>
      </c>
      <c r="AI79" s="179">
        <v>2</v>
      </c>
      <c r="AJ79" s="200">
        <f t="shared" si="12"/>
        <v>1344</v>
      </c>
      <c r="AK79" s="183">
        <f t="shared" si="13"/>
        <v>6372</v>
      </c>
      <c r="AL79" s="179">
        <f t="shared" si="19"/>
        <v>28</v>
      </c>
      <c r="AM79" s="183">
        <v>0</v>
      </c>
      <c r="AN79" s="183">
        <f t="shared" si="20"/>
        <v>1344000</v>
      </c>
      <c r="AO79" s="183">
        <f t="shared" si="14"/>
        <v>0</v>
      </c>
      <c r="AP79" s="183">
        <f t="shared" si="15"/>
        <v>0</v>
      </c>
      <c r="AQ79" s="183">
        <f t="shared" si="16"/>
        <v>8563968</v>
      </c>
      <c r="AR79" s="183"/>
      <c r="AS79" s="183">
        <f t="shared" si="17"/>
        <v>0</v>
      </c>
      <c r="AT79" s="183">
        <f t="shared" si="18"/>
        <v>9907968</v>
      </c>
      <c r="AU79" s="175" t="s">
        <v>1535</v>
      </c>
      <c r="AV79" s="175" t="s">
        <v>1536</v>
      </c>
      <c r="AW79" s="175" t="s">
        <v>2036</v>
      </c>
      <c r="AX79" s="175" t="s">
        <v>2037</v>
      </c>
    </row>
    <row r="80" spans="1:50" s="179" customFormat="1" ht="24.95" hidden="1" customHeight="1" x14ac:dyDescent="0.25">
      <c r="A80" s="175">
        <v>14403</v>
      </c>
      <c r="B80" s="175" t="s">
        <v>83</v>
      </c>
      <c r="C80" s="175" t="s">
        <v>1022</v>
      </c>
      <c r="D80" s="176">
        <v>1</v>
      </c>
      <c r="E80" s="176">
        <v>2025</v>
      </c>
      <c r="F80" s="176">
        <v>2025</v>
      </c>
      <c r="G80" s="175" t="s">
        <v>23</v>
      </c>
      <c r="H80" s="175" t="s">
        <v>83</v>
      </c>
      <c r="I80" s="175" t="s">
        <v>102</v>
      </c>
      <c r="J80" s="177" t="s">
        <v>2228</v>
      </c>
      <c r="K80" s="175" t="s">
        <v>992</v>
      </c>
      <c r="L80" s="175" t="s">
        <v>345</v>
      </c>
      <c r="M80" s="175" t="s">
        <v>346</v>
      </c>
      <c r="N80" s="175">
        <v>13</v>
      </c>
      <c r="O80" s="175" t="s">
        <v>382</v>
      </c>
      <c r="P80" s="175" t="s">
        <v>730</v>
      </c>
      <c r="Q80" s="175" t="s">
        <v>1201</v>
      </c>
      <c r="R80" s="175" t="s">
        <v>339</v>
      </c>
      <c r="S80" s="175" t="s">
        <v>19</v>
      </c>
      <c r="T80" s="175" t="s">
        <v>703</v>
      </c>
      <c r="U80" s="176">
        <v>12</v>
      </c>
      <c r="V80" s="176">
        <v>100</v>
      </c>
      <c r="W80" s="176">
        <v>12</v>
      </c>
      <c r="X80" s="179">
        <f t="shared" si="11"/>
        <v>112</v>
      </c>
      <c r="Y80" s="176">
        <v>4</v>
      </c>
      <c r="Z80" s="176" t="s">
        <v>20</v>
      </c>
      <c r="AA80" s="176" t="s">
        <v>18</v>
      </c>
      <c r="AB80" s="176" t="s">
        <v>18</v>
      </c>
      <c r="AC80" s="186" t="s">
        <v>2229</v>
      </c>
      <c r="AD80" s="181" t="s">
        <v>2230</v>
      </c>
      <c r="AE80" s="179" t="s">
        <v>18</v>
      </c>
      <c r="AF80" s="191"/>
      <c r="AG80" s="174" t="s">
        <v>990</v>
      </c>
      <c r="AH80" s="179">
        <v>28</v>
      </c>
      <c r="AI80" s="179">
        <v>2</v>
      </c>
      <c r="AJ80" s="200">
        <f t="shared" si="12"/>
        <v>1344</v>
      </c>
      <c r="AK80" s="183">
        <f t="shared" si="13"/>
        <v>6372</v>
      </c>
      <c r="AL80" s="179">
        <f t="shared" si="19"/>
        <v>28</v>
      </c>
      <c r="AM80" s="183">
        <v>0</v>
      </c>
      <c r="AN80" s="183">
        <f t="shared" si="20"/>
        <v>1344000</v>
      </c>
      <c r="AO80" s="183">
        <f t="shared" si="14"/>
        <v>0</v>
      </c>
      <c r="AP80" s="183">
        <f t="shared" si="15"/>
        <v>0</v>
      </c>
      <c r="AQ80" s="183">
        <f t="shared" si="16"/>
        <v>8563968</v>
      </c>
      <c r="AR80" s="183"/>
      <c r="AS80" s="183">
        <f t="shared" si="17"/>
        <v>0</v>
      </c>
      <c r="AT80" s="183">
        <f t="shared" si="18"/>
        <v>9907968</v>
      </c>
      <c r="AU80" s="175" t="s">
        <v>1535</v>
      </c>
      <c r="AV80" s="175" t="s">
        <v>1536</v>
      </c>
      <c r="AW80" s="175" t="s">
        <v>2036</v>
      </c>
      <c r="AX80" s="175" t="s">
        <v>2037</v>
      </c>
    </row>
    <row r="81" spans="1:50" s="179" customFormat="1" ht="24.95" hidden="1" customHeight="1" x14ac:dyDescent="0.25">
      <c r="A81" s="175">
        <v>14408</v>
      </c>
      <c r="B81" s="175" t="s">
        <v>83</v>
      </c>
      <c r="C81" s="175" t="s">
        <v>1022</v>
      </c>
      <c r="D81" s="176">
        <v>1</v>
      </c>
      <c r="E81" s="176">
        <v>2025</v>
      </c>
      <c r="F81" s="176">
        <v>2025</v>
      </c>
      <c r="G81" s="175" t="s">
        <v>23</v>
      </c>
      <c r="H81" s="175" t="s">
        <v>83</v>
      </c>
      <c r="I81" s="175" t="s">
        <v>102</v>
      </c>
      <c r="J81" s="177" t="s">
        <v>2228</v>
      </c>
      <c r="K81" s="175" t="s">
        <v>992</v>
      </c>
      <c r="L81" s="175" t="s">
        <v>345</v>
      </c>
      <c r="M81" s="175" t="s">
        <v>346</v>
      </c>
      <c r="N81" s="175">
        <v>13</v>
      </c>
      <c r="O81" s="175" t="s">
        <v>382</v>
      </c>
      <c r="P81" s="175" t="s">
        <v>730</v>
      </c>
      <c r="Q81" s="175" t="s">
        <v>1201</v>
      </c>
      <c r="R81" s="175" t="s">
        <v>339</v>
      </c>
      <c r="S81" s="175" t="s">
        <v>19</v>
      </c>
      <c r="T81" s="175" t="s">
        <v>393</v>
      </c>
      <c r="U81" s="176">
        <v>12</v>
      </c>
      <c r="V81" s="176">
        <v>100</v>
      </c>
      <c r="W81" s="176">
        <v>12</v>
      </c>
      <c r="X81" s="179">
        <f t="shared" si="11"/>
        <v>112</v>
      </c>
      <c r="Y81" s="176">
        <v>4</v>
      </c>
      <c r="Z81" s="176" t="s">
        <v>20</v>
      </c>
      <c r="AA81" s="176" t="s">
        <v>18</v>
      </c>
      <c r="AB81" s="176" t="s">
        <v>18</v>
      </c>
      <c r="AC81" s="186" t="s">
        <v>2229</v>
      </c>
      <c r="AD81" s="181" t="s">
        <v>2230</v>
      </c>
      <c r="AE81" s="179" t="s">
        <v>18</v>
      </c>
      <c r="AF81" s="191"/>
      <c r="AG81" s="174" t="s">
        <v>990</v>
      </c>
      <c r="AH81" s="179">
        <v>28</v>
      </c>
      <c r="AI81" s="179">
        <v>2</v>
      </c>
      <c r="AJ81" s="200">
        <f t="shared" si="12"/>
        <v>1344</v>
      </c>
      <c r="AK81" s="183">
        <f t="shared" si="13"/>
        <v>6372</v>
      </c>
      <c r="AL81" s="179">
        <f t="shared" si="19"/>
        <v>28</v>
      </c>
      <c r="AM81" s="183">
        <v>0</v>
      </c>
      <c r="AN81" s="183">
        <f t="shared" si="20"/>
        <v>1344000</v>
      </c>
      <c r="AO81" s="183">
        <f t="shared" si="14"/>
        <v>0</v>
      </c>
      <c r="AP81" s="183">
        <f t="shared" si="15"/>
        <v>0</v>
      </c>
      <c r="AQ81" s="183">
        <f t="shared" si="16"/>
        <v>8563968</v>
      </c>
      <c r="AR81" s="183"/>
      <c r="AS81" s="183">
        <f t="shared" si="17"/>
        <v>0</v>
      </c>
      <c r="AT81" s="183">
        <f t="shared" si="18"/>
        <v>9907968</v>
      </c>
      <c r="AU81" s="175" t="s">
        <v>1535</v>
      </c>
      <c r="AV81" s="175" t="s">
        <v>1536</v>
      </c>
      <c r="AW81" s="175" t="s">
        <v>2036</v>
      </c>
      <c r="AX81" s="175" t="s">
        <v>2037</v>
      </c>
    </row>
    <row r="82" spans="1:50" s="179" customFormat="1" ht="24.95" hidden="1" customHeight="1" x14ac:dyDescent="0.25">
      <c r="A82" s="175">
        <v>14410</v>
      </c>
      <c r="B82" s="175" t="s">
        <v>83</v>
      </c>
      <c r="C82" s="175" t="s">
        <v>1022</v>
      </c>
      <c r="D82" s="176">
        <v>1</v>
      </c>
      <c r="E82" s="176">
        <v>2025</v>
      </c>
      <c r="F82" s="176">
        <v>2025</v>
      </c>
      <c r="G82" s="175" t="s">
        <v>23</v>
      </c>
      <c r="H82" s="175" t="s">
        <v>83</v>
      </c>
      <c r="I82" s="175" t="s">
        <v>102</v>
      </c>
      <c r="J82" s="177" t="s">
        <v>2228</v>
      </c>
      <c r="K82" s="175" t="s">
        <v>992</v>
      </c>
      <c r="L82" s="175" t="s">
        <v>345</v>
      </c>
      <c r="M82" s="175" t="s">
        <v>346</v>
      </c>
      <c r="N82" s="175">
        <v>13</v>
      </c>
      <c r="O82" s="175" t="s">
        <v>382</v>
      </c>
      <c r="P82" s="175" t="s">
        <v>730</v>
      </c>
      <c r="Q82" s="175" t="s">
        <v>1201</v>
      </c>
      <c r="R82" s="175" t="s">
        <v>339</v>
      </c>
      <c r="S82" s="175" t="s">
        <v>19</v>
      </c>
      <c r="T82" s="175" t="s">
        <v>703</v>
      </c>
      <c r="U82" s="176">
        <v>12</v>
      </c>
      <c r="V82" s="176">
        <v>100</v>
      </c>
      <c r="W82" s="176">
        <v>12</v>
      </c>
      <c r="X82" s="179">
        <f t="shared" si="11"/>
        <v>112</v>
      </c>
      <c r="Y82" s="176">
        <v>4</v>
      </c>
      <c r="Z82" s="176" t="s">
        <v>20</v>
      </c>
      <c r="AA82" s="176" t="s">
        <v>18</v>
      </c>
      <c r="AB82" s="176" t="s">
        <v>18</v>
      </c>
      <c r="AC82" s="186" t="s">
        <v>2229</v>
      </c>
      <c r="AD82" s="181" t="s">
        <v>2230</v>
      </c>
      <c r="AE82" s="179" t="s">
        <v>18</v>
      </c>
      <c r="AF82" s="191"/>
      <c r="AG82" s="174" t="s">
        <v>990</v>
      </c>
      <c r="AH82" s="179">
        <v>28</v>
      </c>
      <c r="AI82" s="179">
        <v>2</v>
      </c>
      <c r="AJ82" s="200">
        <f t="shared" si="12"/>
        <v>1344</v>
      </c>
      <c r="AK82" s="183">
        <f t="shared" si="13"/>
        <v>6372</v>
      </c>
      <c r="AL82" s="179">
        <f t="shared" si="19"/>
        <v>28</v>
      </c>
      <c r="AM82" s="183">
        <v>0</v>
      </c>
      <c r="AN82" s="183">
        <f t="shared" si="20"/>
        <v>1344000</v>
      </c>
      <c r="AO82" s="183">
        <f t="shared" si="14"/>
        <v>0</v>
      </c>
      <c r="AP82" s="183">
        <f t="shared" si="15"/>
        <v>0</v>
      </c>
      <c r="AQ82" s="183">
        <f t="shared" si="16"/>
        <v>8563968</v>
      </c>
      <c r="AR82" s="183"/>
      <c r="AS82" s="183">
        <f t="shared" si="17"/>
        <v>0</v>
      </c>
      <c r="AT82" s="183">
        <f t="shared" si="18"/>
        <v>9907968</v>
      </c>
      <c r="AU82" s="175" t="s">
        <v>1535</v>
      </c>
      <c r="AV82" s="175" t="s">
        <v>1536</v>
      </c>
      <c r="AW82" s="175" t="s">
        <v>2036</v>
      </c>
      <c r="AX82" s="175" t="s">
        <v>2037</v>
      </c>
    </row>
    <row r="83" spans="1:50" s="179" customFormat="1" ht="24.95" hidden="1" customHeight="1" x14ac:dyDescent="0.25">
      <c r="A83" s="175">
        <v>14519</v>
      </c>
      <c r="B83" s="175" t="s">
        <v>83</v>
      </c>
      <c r="C83" s="175" t="s">
        <v>1022</v>
      </c>
      <c r="D83" s="176">
        <v>1</v>
      </c>
      <c r="E83" s="176">
        <v>2025</v>
      </c>
      <c r="F83" s="176">
        <v>2025</v>
      </c>
      <c r="G83" s="175" t="s">
        <v>23</v>
      </c>
      <c r="H83" s="175" t="s">
        <v>83</v>
      </c>
      <c r="I83" s="175" t="s">
        <v>102</v>
      </c>
      <c r="J83" s="177" t="s">
        <v>832</v>
      </c>
      <c r="K83" s="175" t="s">
        <v>831</v>
      </c>
      <c r="L83" s="175" t="s">
        <v>21</v>
      </c>
      <c r="M83" s="175" t="s">
        <v>21</v>
      </c>
      <c r="N83" s="175">
        <v>8</v>
      </c>
      <c r="O83" s="175" t="s">
        <v>709</v>
      </c>
      <c r="P83" s="175" t="s">
        <v>710</v>
      </c>
      <c r="Q83" s="175" t="s">
        <v>1201</v>
      </c>
      <c r="R83" s="175" t="s">
        <v>339</v>
      </c>
      <c r="S83" s="175" t="s">
        <v>22</v>
      </c>
      <c r="T83" s="175" t="s">
        <v>337</v>
      </c>
      <c r="U83" s="176">
        <v>15</v>
      </c>
      <c r="V83" s="176">
        <v>176</v>
      </c>
      <c r="W83" s="176" t="s">
        <v>21</v>
      </c>
      <c r="X83" s="179">
        <f t="shared" si="11"/>
        <v>176</v>
      </c>
      <c r="Y83" s="176">
        <v>5</v>
      </c>
      <c r="Z83" s="176" t="s">
        <v>20</v>
      </c>
      <c r="AA83" s="176" t="s">
        <v>18</v>
      </c>
      <c r="AB83" s="185" t="s">
        <v>18</v>
      </c>
      <c r="AC83" s="186" t="s">
        <v>21</v>
      </c>
      <c r="AD83" s="181" t="s">
        <v>2303</v>
      </c>
      <c r="AE83" s="179" t="s">
        <v>20</v>
      </c>
      <c r="AF83" s="181" t="s">
        <v>996</v>
      </c>
      <c r="AG83" s="174" t="s">
        <v>990</v>
      </c>
      <c r="AH83" s="179">
        <v>36</v>
      </c>
      <c r="AI83" s="179">
        <f>VLOOKUP(K83,[1]TRAMO!$A:$B,2,0)</f>
        <v>3</v>
      </c>
      <c r="AJ83" s="200">
        <f t="shared" si="12"/>
        <v>2640</v>
      </c>
      <c r="AK83" s="183">
        <f t="shared" si="13"/>
        <v>7434</v>
      </c>
      <c r="AL83" s="179">
        <f t="shared" si="19"/>
        <v>35.200000000000003</v>
      </c>
      <c r="AM83" s="183">
        <v>60000</v>
      </c>
      <c r="AN83" s="183">
        <f t="shared" si="20"/>
        <v>2160000</v>
      </c>
      <c r="AO83" s="183">
        <f t="shared" si="14"/>
        <v>0</v>
      </c>
      <c r="AP83" s="183">
        <f t="shared" si="15"/>
        <v>0</v>
      </c>
      <c r="AQ83" s="183">
        <f t="shared" si="16"/>
        <v>19625760</v>
      </c>
      <c r="AR83" s="183"/>
      <c r="AS83" s="183">
        <f t="shared" si="17"/>
        <v>900000</v>
      </c>
      <c r="AT83" s="183">
        <f t="shared" si="18"/>
        <v>22685760</v>
      </c>
      <c r="AU83" s="175" t="s">
        <v>1535</v>
      </c>
      <c r="AV83" s="175" t="s">
        <v>1536</v>
      </c>
      <c r="AW83" s="175" t="s">
        <v>1594</v>
      </c>
      <c r="AX83" s="175" t="s">
        <v>1595</v>
      </c>
    </row>
    <row r="84" spans="1:50" s="179" customFormat="1" ht="24.95" hidden="1" customHeight="1" x14ac:dyDescent="0.25">
      <c r="A84" s="184">
        <v>14546</v>
      </c>
      <c r="B84" s="184" t="s">
        <v>1491</v>
      </c>
      <c r="C84" s="184" t="s">
        <v>1492</v>
      </c>
      <c r="D84" s="179">
        <v>1</v>
      </c>
      <c r="E84" s="179">
        <v>2025</v>
      </c>
      <c r="F84" s="179">
        <v>2025</v>
      </c>
      <c r="G84" s="177" t="s">
        <v>1466</v>
      </c>
      <c r="H84" s="184" t="s">
        <v>336</v>
      </c>
      <c r="I84" s="184" t="s">
        <v>1467</v>
      </c>
      <c r="J84" s="177" t="s">
        <v>745</v>
      </c>
      <c r="K84" s="110" t="s">
        <v>744</v>
      </c>
      <c r="L84" s="184" t="s">
        <v>345</v>
      </c>
      <c r="M84" s="184" t="s">
        <v>346</v>
      </c>
      <c r="N84" s="184">
        <v>9</v>
      </c>
      <c r="O84" s="184" t="s">
        <v>424</v>
      </c>
      <c r="P84" s="184" t="s">
        <v>871</v>
      </c>
      <c r="Q84" s="184" t="s">
        <v>1493</v>
      </c>
      <c r="R84" s="184" t="s">
        <v>339</v>
      </c>
      <c r="S84" s="184" t="s">
        <v>19</v>
      </c>
      <c r="T84" s="184" t="s">
        <v>337</v>
      </c>
      <c r="U84" s="185">
        <v>20</v>
      </c>
      <c r="V84" s="185">
        <v>260</v>
      </c>
      <c r="W84" s="185">
        <v>12</v>
      </c>
      <c r="X84" s="179">
        <f t="shared" si="11"/>
        <v>272</v>
      </c>
      <c r="Y84" s="185">
        <v>4</v>
      </c>
      <c r="Z84" s="185" t="s">
        <v>20</v>
      </c>
      <c r="AA84" s="185" t="s">
        <v>20</v>
      </c>
      <c r="AB84" s="185" t="s">
        <v>20</v>
      </c>
      <c r="AC84" s="186" t="s">
        <v>21</v>
      </c>
      <c r="AD84" s="181" t="s">
        <v>1494</v>
      </c>
      <c r="AE84" s="179" t="s">
        <v>20</v>
      </c>
      <c r="AF84" s="186" t="s">
        <v>995</v>
      </c>
      <c r="AG84" s="184" t="s">
        <v>989</v>
      </c>
      <c r="AH84" s="179">
        <v>68</v>
      </c>
      <c r="AI84" s="179">
        <v>2</v>
      </c>
      <c r="AJ84" s="200">
        <f t="shared" si="12"/>
        <v>5440</v>
      </c>
      <c r="AK84" s="183">
        <f t="shared" si="13"/>
        <v>6372</v>
      </c>
      <c r="AL84" s="179">
        <f t="shared" si="19"/>
        <v>68</v>
      </c>
      <c r="AM84" s="183">
        <v>300000</v>
      </c>
      <c r="AN84" s="183">
        <f t="shared" si="20"/>
        <v>5440000</v>
      </c>
      <c r="AO84" s="183">
        <f t="shared" si="14"/>
        <v>6800000</v>
      </c>
      <c r="AP84" s="183">
        <f t="shared" si="15"/>
        <v>5400000</v>
      </c>
      <c r="AQ84" s="183">
        <f t="shared" si="16"/>
        <v>34663680</v>
      </c>
      <c r="AR84" s="183"/>
      <c r="AS84" s="183">
        <f t="shared" si="17"/>
        <v>6000000</v>
      </c>
      <c r="AT84" s="183">
        <f t="shared" si="18"/>
        <v>58303680</v>
      </c>
    </row>
    <row r="85" spans="1:50" s="179" customFormat="1" ht="24.95" hidden="1" customHeight="1" x14ac:dyDescent="0.25">
      <c r="A85" s="184">
        <v>14547</v>
      </c>
      <c r="B85" s="184" t="s">
        <v>1491</v>
      </c>
      <c r="C85" s="184" t="s">
        <v>1492</v>
      </c>
      <c r="D85" s="179">
        <v>1</v>
      </c>
      <c r="E85" s="179">
        <v>2025</v>
      </c>
      <c r="F85" s="179">
        <v>2025</v>
      </c>
      <c r="G85" s="177" t="s">
        <v>1466</v>
      </c>
      <c r="H85" s="184" t="s">
        <v>336</v>
      </c>
      <c r="I85" s="184" t="s">
        <v>1467</v>
      </c>
      <c r="J85" s="177" t="s">
        <v>745</v>
      </c>
      <c r="K85" s="110" t="s">
        <v>744</v>
      </c>
      <c r="L85" s="184" t="s">
        <v>345</v>
      </c>
      <c r="M85" s="184" t="s">
        <v>346</v>
      </c>
      <c r="N85" s="184">
        <v>9</v>
      </c>
      <c r="O85" s="184" t="s">
        <v>424</v>
      </c>
      <c r="P85" s="184" t="s">
        <v>1496</v>
      </c>
      <c r="Q85" s="184" t="s">
        <v>1493</v>
      </c>
      <c r="R85" s="184" t="s">
        <v>339</v>
      </c>
      <c r="S85" s="184" t="s">
        <v>19</v>
      </c>
      <c r="T85" s="184" t="s">
        <v>337</v>
      </c>
      <c r="U85" s="185">
        <v>20</v>
      </c>
      <c r="V85" s="185">
        <v>260</v>
      </c>
      <c r="W85" s="185">
        <v>12</v>
      </c>
      <c r="X85" s="179">
        <f t="shared" si="11"/>
        <v>272</v>
      </c>
      <c r="Y85" s="185">
        <v>4</v>
      </c>
      <c r="Z85" s="185" t="s">
        <v>20</v>
      </c>
      <c r="AA85" s="185" t="s">
        <v>20</v>
      </c>
      <c r="AB85" s="185" t="s">
        <v>20</v>
      </c>
      <c r="AC85" s="186" t="s">
        <v>21</v>
      </c>
      <c r="AD85" s="181" t="s">
        <v>1494</v>
      </c>
      <c r="AE85" s="179" t="s">
        <v>20</v>
      </c>
      <c r="AF85" s="186" t="s">
        <v>995</v>
      </c>
      <c r="AG85" s="184" t="s">
        <v>989</v>
      </c>
      <c r="AH85" s="179">
        <v>68</v>
      </c>
      <c r="AI85" s="179">
        <v>2</v>
      </c>
      <c r="AJ85" s="200">
        <f t="shared" si="12"/>
        <v>5440</v>
      </c>
      <c r="AK85" s="183">
        <f t="shared" si="13"/>
        <v>6372</v>
      </c>
      <c r="AL85" s="179">
        <f t="shared" si="19"/>
        <v>68</v>
      </c>
      <c r="AM85" s="183">
        <v>300000</v>
      </c>
      <c r="AN85" s="183">
        <f t="shared" si="20"/>
        <v>5440000</v>
      </c>
      <c r="AO85" s="183">
        <f t="shared" si="14"/>
        <v>6800000</v>
      </c>
      <c r="AP85" s="183">
        <f t="shared" si="15"/>
        <v>5400000</v>
      </c>
      <c r="AQ85" s="183">
        <f t="shared" si="16"/>
        <v>34663680</v>
      </c>
      <c r="AR85" s="183"/>
      <c r="AS85" s="183">
        <f t="shared" si="17"/>
        <v>6000000</v>
      </c>
      <c r="AT85" s="183">
        <f t="shared" si="18"/>
        <v>58303680</v>
      </c>
    </row>
    <row r="86" spans="1:50" s="179" customFormat="1" ht="24.95" hidden="1" customHeight="1" x14ac:dyDescent="0.25">
      <c r="A86" s="184">
        <v>14548</v>
      </c>
      <c r="B86" s="184" t="s">
        <v>1491</v>
      </c>
      <c r="C86" s="184" t="s">
        <v>1492</v>
      </c>
      <c r="D86" s="179">
        <v>1</v>
      </c>
      <c r="E86" s="179">
        <v>2025</v>
      </c>
      <c r="F86" s="179">
        <v>2025</v>
      </c>
      <c r="G86" s="177" t="s">
        <v>1466</v>
      </c>
      <c r="H86" s="184" t="s">
        <v>336</v>
      </c>
      <c r="I86" s="184" t="s">
        <v>1467</v>
      </c>
      <c r="J86" s="177" t="s">
        <v>745</v>
      </c>
      <c r="K86" s="110" t="s">
        <v>744</v>
      </c>
      <c r="L86" s="184" t="s">
        <v>345</v>
      </c>
      <c r="M86" s="184" t="s">
        <v>346</v>
      </c>
      <c r="N86" s="184">
        <v>9</v>
      </c>
      <c r="O86" s="184" t="s">
        <v>424</v>
      </c>
      <c r="P86" s="184" t="s">
        <v>1497</v>
      </c>
      <c r="Q86" s="184" t="s">
        <v>1493</v>
      </c>
      <c r="R86" s="184" t="s">
        <v>339</v>
      </c>
      <c r="S86" s="184" t="s">
        <v>19</v>
      </c>
      <c r="T86" s="184" t="s">
        <v>337</v>
      </c>
      <c r="U86" s="185">
        <v>20</v>
      </c>
      <c r="V86" s="185">
        <v>260</v>
      </c>
      <c r="W86" s="185">
        <v>12</v>
      </c>
      <c r="X86" s="179">
        <f t="shared" si="11"/>
        <v>272</v>
      </c>
      <c r="Y86" s="185">
        <v>4</v>
      </c>
      <c r="Z86" s="185" t="s">
        <v>20</v>
      </c>
      <c r="AA86" s="185" t="s">
        <v>20</v>
      </c>
      <c r="AB86" s="185" t="s">
        <v>20</v>
      </c>
      <c r="AC86" s="186" t="s">
        <v>21</v>
      </c>
      <c r="AD86" s="181" t="s">
        <v>1494</v>
      </c>
      <c r="AE86" s="179" t="s">
        <v>20</v>
      </c>
      <c r="AF86" s="186" t="s">
        <v>995</v>
      </c>
      <c r="AG86" s="184" t="s">
        <v>989</v>
      </c>
      <c r="AH86" s="179">
        <v>68</v>
      </c>
      <c r="AI86" s="179">
        <v>2</v>
      </c>
      <c r="AJ86" s="200">
        <f t="shared" si="12"/>
        <v>5440</v>
      </c>
      <c r="AK86" s="183">
        <f t="shared" si="13"/>
        <v>6372</v>
      </c>
      <c r="AL86" s="179">
        <f t="shared" si="19"/>
        <v>68</v>
      </c>
      <c r="AM86" s="183">
        <v>300000</v>
      </c>
      <c r="AN86" s="183">
        <f t="shared" si="20"/>
        <v>5440000</v>
      </c>
      <c r="AO86" s="183">
        <f t="shared" si="14"/>
        <v>6800000</v>
      </c>
      <c r="AP86" s="183">
        <f t="shared" si="15"/>
        <v>5400000</v>
      </c>
      <c r="AQ86" s="183">
        <f t="shared" si="16"/>
        <v>34663680</v>
      </c>
      <c r="AR86" s="183"/>
      <c r="AS86" s="183">
        <f t="shared" si="17"/>
        <v>6000000</v>
      </c>
      <c r="AT86" s="183">
        <f t="shared" si="18"/>
        <v>58303680</v>
      </c>
    </row>
    <row r="87" spans="1:50" s="179" customFormat="1" ht="24.95" hidden="1" customHeight="1" x14ac:dyDescent="0.25">
      <c r="A87" s="184">
        <v>14537</v>
      </c>
      <c r="B87" s="184" t="s">
        <v>1491</v>
      </c>
      <c r="C87" s="184" t="s">
        <v>1492</v>
      </c>
      <c r="D87" s="179">
        <v>1</v>
      </c>
      <c r="E87" s="179">
        <v>2025</v>
      </c>
      <c r="F87" s="179">
        <v>2025</v>
      </c>
      <c r="G87" s="177" t="s">
        <v>1466</v>
      </c>
      <c r="H87" s="184" t="s">
        <v>336</v>
      </c>
      <c r="I87" s="184" t="s">
        <v>1467</v>
      </c>
      <c r="J87" s="177" t="s">
        <v>741</v>
      </c>
      <c r="K87" s="184" t="s">
        <v>357</v>
      </c>
      <c r="L87" s="184" t="s">
        <v>21</v>
      </c>
      <c r="M87" s="184" t="s">
        <v>21</v>
      </c>
      <c r="N87" s="184">
        <v>9</v>
      </c>
      <c r="O87" s="184" t="s">
        <v>424</v>
      </c>
      <c r="P87" s="184" t="s">
        <v>921</v>
      </c>
      <c r="Q87" s="184" t="s">
        <v>1493</v>
      </c>
      <c r="R87" s="184" t="s">
        <v>339</v>
      </c>
      <c r="S87" s="184" t="s">
        <v>22</v>
      </c>
      <c r="T87" s="184" t="s">
        <v>337</v>
      </c>
      <c r="U87" s="185">
        <v>20</v>
      </c>
      <c r="V87" s="185">
        <v>90</v>
      </c>
      <c r="W87" s="185" t="s">
        <v>21</v>
      </c>
      <c r="X87" s="179">
        <f t="shared" si="11"/>
        <v>90</v>
      </c>
      <c r="Y87" s="185">
        <v>4</v>
      </c>
      <c r="Z87" s="185" t="s">
        <v>20</v>
      </c>
      <c r="AA87" s="185" t="s">
        <v>20</v>
      </c>
      <c r="AB87" s="185" t="s">
        <v>18</v>
      </c>
      <c r="AC87" s="186" t="s">
        <v>21</v>
      </c>
      <c r="AD87" s="181" t="s">
        <v>1531</v>
      </c>
      <c r="AE87" s="179" t="s">
        <v>20</v>
      </c>
      <c r="AF87" s="186" t="s">
        <v>1532</v>
      </c>
      <c r="AG87" s="184" t="s">
        <v>989</v>
      </c>
      <c r="AH87" s="179">
        <v>23</v>
      </c>
      <c r="AI87" s="179">
        <v>2</v>
      </c>
      <c r="AJ87" s="200">
        <f t="shared" si="12"/>
        <v>1800</v>
      </c>
      <c r="AK87" s="183">
        <f t="shared" si="13"/>
        <v>6372</v>
      </c>
      <c r="AL87" s="179">
        <f t="shared" si="19"/>
        <v>22.5</v>
      </c>
      <c r="AM87" s="183">
        <v>20000</v>
      </c>
      <c r="AN87" s="183">
        <f t="shared" si="20"/>
        <v>1840000</v>
      </c>
      <c r="AO87" s="183">
        <f t="shared" si="14"/>
        <v>2300000</v>
      </c>
      <c r="AP87" s="183">
        <f t="shared" si="15"/>
        <v>0</v>
      </c>
      <c r="AQ87" s="183">
        <f t="shared" si="16"/>
        <v>11469600</v>
      </c>
      <c r="AR87" s="183"/>
      <c r="AS87" s="183">
        <f t="shared" si="17"/>
        <v>400000</v>
      </c>
      <c r="AT87" s="183">
        <f t="shared" si="18"/>
        <v>16009600</v>
      </c>
    </row>
    <row r="88" spans="1:50" s="179" customFormat="1" ht="24.95" hidden="1" customHeight="1" x14ac:dyDescent="0.25">
      <c r="A88" s="184">
        <v>14538</v>
      </c>
      <c r="B88" s="184" t="s">
        <v>1491</v>
      </c>
      <c r="C88" s="184" t="s">
        <v>1492</v>
      </c>
      <c r="D88" s="179">
        <v>1</v>
      </c>
      <c r="E88" s="179">
        <v>2025</v>
      </c>
      <c r="F88" s="179">
        <v>2025</v>
      </c>
      <c r="G88" s="177" t="s">
        <v>1466</v>
      </c>
      <c r="H88" s="184" t="s">
        <v>336</v>
      </c>
      <c r="I88" s="184" t="s">
        <v>1467</v>
      </c>
      <c r="J88" s="177" t="s">
        <v>741</v>
      </c>
      <c r="K88" s="184" t="s">
        <v>357</v>
      </c>
      <c r="L88" s="184" t="s">
        <v>21</v>
      </c>
      <c r="M88" s="184" t="s">
        <v>21</v>
      </c>
      <c r="N88" s="184">
        <v>9</v>
      </c>
      <c r="O88" s="184" t="s">
        <v>424</v>
      </c>
      <c r="P88" s="184" t="s">
        <v>872</v>
      </c>
      <c r="Q88" s="184" t="s">
        <v>1493</v>
      </c>
      <c r="R88" s="184" t="s">
        <v>339</v>
      </c>
      <c r="S88" s="184" t="s">
        <v>22</v>
      </c>
      <c r="T88" s="184" t="s">
        <v>337</v>
      </c>
      <c r="U88" s="185">
        <v>20</v>
      </c>
      <c r="V88" s="185">
        <v>90</v>
      </c>
      <c r="W88" s="185" t="s">
        <v>21</v>
      </c>
      <c r="X88" s="179">
        <f t="shared" si="11"/>
        <v>90</v>
      </c>
      <c r="Y88" s="185">
        <v>4</v>
      </c>
      <c r="Z88" s="185" t="s">
        <v>20</v>
      </c>
      <c r="AA88" s="185" t="s">
        <v>20</v>
      </c>
      <c r="AB88" s="185" t="s">
        <v>18</v>
      </c>
      <c r="AC88" s="186" t="s">
        <v>21</v>
      </c>
      <c r="AD88" s="181" t="s">
        <v>1531</v>
      </c>
      <c r="AE88" s="179" t="s">
        <v>20</v>
      </c>
      <c r="AF88" s="186" t="s">
        <v>1532</v>
      </c>
      <c r="AG88" s="184" t="s">
        <v>989</v>
      </c>
      <c r="AH88" s="179">
        <v>23</v>
      </c>
      <c r="AI88" s="179">
        <v>2</v>
      </c>
      <c r="AJ88" s="200">
        <f t="shared" si="12"/>
        <v>1800</v>
      </c>
      <c r="AK88" s="183">
        <f t="shared" si="13"/>
        <v>6372</v>
      </c>
      <c r="AL88" s="179">
        <f t="shared" si="19"/>
        <v>22.5</v>
      </c>
      <c r="AM88" s="183">
        <v>20000</v>
      </c>
      <c r="AN88" s="183">
        <f t="shared" si="20"/>
        <v>1840000</v>
      </c>
      <c r="AO88" s="183">
        <f t="shared" si="14"/>
        <v>2300000</v>
      </c>
      <c r="AP88" s="183">
        <f t="shared" si="15"/>
        <v>0</v>
      </c>
      <c r="AQ88" s="183">
        <f t="shared" si="16"/>
        <v>11469600</v>
      </c>
      <c r="AR88" s="183"/>
      <c r="AS88" s="183">
        <f t="shared" si="17"/>
        <v>400000</v>
      </c>
      <c r="AT88" s="183">
        <f t="shared" si="18"/>
        <v>16009600</v>
      </c>
    </row>
    <row r="89" spans="1:50" s="179" customFormat="1" ht="24.95" hidden="1" customHeight="1" x14ac:dyDescent="0.25">
      <c r="A89" s="184">
        <v>14539</v>
      </c>
      <c r="B89" s="184" t="s">
        <v>1491</v>
      </c>
      <c r="C89" s="184" t="s">
        <v>1492</v>
      </c>
      <c r="D89" s="179">
        <v>1</v>
      </c>
      <c r="E89" s="179">
        <v>2025</v>
      </c>
      <c r="F89" s="179">
        <v>2025</v>
      </c>
      <c r="G89" s="177" t="s">
        <v>1466</v>
      </c>
      <c r="H89" s="184" t="s">
        <v>336</v>
      </c>
      <c r="I89" s="184" t="s">
        <v>1467</v>
      </c>
      <c r="J89" s="177" t="s">
        <v>741</v>
      </c>
      <c r="K89" s="184" t="s">
        <v>357</v>
      </c>
      <c r="L89" s="184" t="s">
        <v>21</v>
      </c>
      <c r="M89" s="184" t="s">
        <v>21</v>
      </c>
      <c r="N89" s="184">
        <v>9</v>
      </c>
      <c r="O89" s="184" t="s">
        <v>424</v>
      </c>
      <c r="P89" s="184" t="s">
        <v>1533</v>
      </c>
      <c r="Q89" s="184" t="s">
        <v>1493</v>
      </c>
      <c r="R89" s="184" t="s">
        <v>339</v>
      </c>
      <c r="S89" s="184" t="s">
        <v>22</v>
      </c>
      <c r="T89" s="184" t="s">
        <v>337</v>
      </c>
      <c r="U89" s="185">
        <v>20</v>
      </c>
      <c r="V89" s="185">
        <v>90</v>
      </c>
      <c r="W89" s="185" t="s">
        <v>21</v>
      </c>
      <c r="X89" s="179">
        <f t="shared" si="11"/>
        <v>90</v>
      </c>
      <c r="Y89" s="185">
        <v>4</v>
      </c>
      <c r="Z89" s="185" t="s">
        <v>20</v>
      </c>
      <c r="AA89" s="185" t="s">
        <v>20</v>
      </c>
      <c r="AB89" s="185" t="s">
        <v>18</v>
      </c>
      <c r="AC89" s="186" t="s">
        <v>21</v>
      </c>
      <c r="AD89" s="181" t="s">
        <v>1531</v>
      </c>
      <c r="AE89" s="179" t="s">
        <v>20</v>
      </c>
      <c r="AF89" s="186" t="s">
        <v>1532</v>
      </c>
      <c r="AG89" s="184" t="s">
        <v>989</v>
      </c>
      <c r="AH89" s="179">
        <v>23</v>
      </c>
      <c r="AI89" s="179">
        <v>2</v>
      </c>
      <c r="AJ89" s="200">
        <f t="shared" si="12"/>
        <v>1800</v>
      </c>
      <c r="AK89" s="183">
        <f t="shared" si="13"/>
        <v>6372</v>
      </c>
      <c r="AL89" s="179">
        <f t="shared" si="19"/>
        <v>22.5</v>
      </c>
      <c r="AM89" s="183">
        <v>20000</v>
      </c>
      <c r="AN89" s="183">
        <f t="shared" si="20"/>
        <v>1840000</v>
      </c>
      <c r="AO89" s="183">
        <f t="shared" si="14"/>
        <v>2300000</v>
      </c>
      <c r="AP89" s="183">
        <f t="shared" si="15"/>
        <v>0</v>
      </c>
      <c r="AQ89" s="183">
        <f t="shared" si="16"/>
        <v>11469600</v>
      </c>
      <c r="AR89" s="183"/>
      <c r="AS89" s="183">
        <f t="shared" si="17"/>
        <v>400000</v>
      </c>
      <c r="AT89" s="183">
        <f t="shared" si="18"/>
        <v>16009600</v>
      </c>
    </row>
    <row r="90" spans="1:50" s="179" customFormat="1" ht="24.95" hidden="1" customHeight="1" x14ac:dyDescent="0.25">
      <c r="A90" s="184">
        <v>14540</v>
      </c>
      <c r="B90" s="184" t="s">
        <v>1491</v>
      </c>
      <c r="C90" s="184" t="s">
        <v>1492</v>
      </c>
      <c r="D90" s="179">
        <v>1</v>
      </c>
      <c r="E90" s="179">
        <v>2025</v>
      </c>
      <c r="F90" s="179">
        <v>2025</v>
      </c>
      <c r="G90" s="177" t="s">
        <v>1466</v>
      </c>
      <c r="H90" s="184" t="s">
        <v>336</v>
      </c>
      <c r="I90" s="184" t="s">
        <v>1467</v>
      </c>
      <c r="J90" s="177" t="s">
        <v>741</v>
      </c>
      <c r="K90" s="184" t="s">
        <v>357</v>
      </c>
      <c r="L90" s="184" t="s">
        <v>21</v>
      </c>
      <c r="M90" s="184" t="s">
        <v>21</v>
      </c>
      <c r="N90" s="184">
        <v>9</v>
      </c>
      <c r="O90" s="184" t="s">
        <v>424</v>
      </c>
      <c r="P90" s="184" t="s">
        <v>835</v>
      </c>
      <c r="Q90" s="184" t="s">
        <v>1493</v>
      </c>
      <c r="R90" s="184" t="s">
        <v>339</v>
      </c>
      <c r="S90" s="184" t="s">
        <v>22</v>
      </c>
      <c r="T90" s="184" t="s">
        <v>337</v>
      </c>
      <c r="U90" s="185">
        <v>20</v>
      </c>
      <c r="V90" s="185">
        <v>90</v>
      </c>
      <c r="W90" s="185" t="s">
        <v>21</v>
      </c>
      <c r="X90" s="179">
        <f t="shared" si="11"/>
        <v>90</v>
      </c>
      <c r="Y90" s="185">
        <v>4</v>
      </c>
      <c r="Z90" s="185" t="s">
        <v>20</v>
      </c>
      <c r="AA90" s="185" t="s">
        <v>20</v>
      </c>
      <c r="AB90" s="185" t="s">
        <v>18</v>
      </c>
      <c r="AC90" s="186" t="s">
        <v>21</v>
      </c>
      <c r="AD90" s="181" t="s">
        <v>1531</v>
      </c>
      <c r="AE90" s="179" t="s">
        <v>20</v>
      </c>
      <c r="AF90" s="186" t="s">
        <v>1532</v>
      </c>
      <c r="AG90" s="184" t="s">
        <v>989</v>
      </c>
      <c r="AH90" s="179">
        <v>23</v>
      </c>
      <c r="AI90" s="179">
        <v>2</v>
      </c>
      <c r="AJ90" s="200">
        <f t="shared" si="12"/>
        <v>1800</v>
      </c>
      <c r="AK90" s="183">
        <f t="shared" si="13"/>
        <v>6372</v>
      </c>
      <c r="AL90" s="179">
        <f t="shared" si="19"/>
        <v>22.5</v>
      </c>
      <c r="AM90" s="183">
        <v>20000</v>
      </c>
      <c r="AN90" s="183">
        <f t="shared" si="20"/>
        <v>1840000</v>
      </c>
      <c r="AO90" s="183">
        <f t="shared" si="14"/>
        <v>2300000</v>
      </c>
      <c r="AP90" s="183">
        <f t="shared" si="15"/>
        <v>0</v>
      </c>
      <c r="AQ90" s="183">
        <f t="shared" si="16"/>
        <v>11469600</v>
      </c>
      <c r="AR90" s="183"/>
      <c r="AS90" s="183">
        <f t="shared" si="17"/>
        <v>400000</v>
      </c>
      <c r="AT90" s="183">
        <f t="shared" si="18"/>
        <v>16009600</v>
      </c>
    </row>
    <row r="91" spans="1:50" s="179" customFormat="1" ht="24.95" hidden="1" customHeight="1" x14ac:dyDescent="0.25">
      <c r="A91" s="184">
        <v>14544</v>
      </c>
      <c r="B91" s="184" t="s">
        <v>1491</v>
      </c>
      <c r="C91" s="184" t="s">
        <v>1492</v>
      </c>
      <c r="D91" s="179">
        <v>1</v>
      </c>
      <c r="E91" s="179">
        <v>2025</v>
      </c>
      <c r="F91" s="179">
        <v>2025</v>
      </c>
      <c r="G91" s="177" t="s">
        <v>1466</v>
      </c>
      <c r="H91" s="184" t="s">
        <v>336</v>
      </c>
      <c r="I91" s="184" t="s">
        <v>1467</v>
      </c>
      <c r="J91" s="177" t="s">
        <v>740</v>
      </c>
      <c r="K91" s="184" t="s">
        <v>739</v>
      </c>
      <c r="L91" s="184" t="s">
        <v>21</v>
      </c>
      <c r="M91" s="184" t="s">
        <v>21</v>
      </c>
      <c r="N91" s="184">
        <v>9</v>
      </c>
      <c r="O91" s="184" t="s">
        <v>424</v>
      </c>
      <c r="P91" s="184" t="s">
        <v>844</v>
      </c>
      <c r="Q91" s="184" t="s">
        <v>1493</v>
      </c>
      <c r="R91" s="184" t="s">
        <v>339</v>
      </c>
      <c r="S91" s="184" t="s">
        <v>22</v>
      </c>
      <c r="T91" s="184" t="s">
        <v>337</v>
      </c>
      <c r="U91" s="185">
        <v>20</v>
      </c>
      <c r="V91" s="185">
        <v>160</v>
      </c>
      <c r="W91" s="185" t="s">
        <v>21</v>
      </c>
      <c r="X91" s="179">
        <f t="shared" si="11"/>
        <v>160</v>
      </c>
      <c r="Y91" s="185">
        <v>4</v>
      </c>
      <c r="Z91" s="185" t="s">
        <v>20</v>
      </c>
      <c r="AA91" s="185" t="s">
        <v>20</v>
      </c>
      <c r="AB91" s="185" t="s">
        <v>18</v>
      </c>
      <c r="AC91" s="186" t="s">
        <v>21</v>
      </c>
      <c r="AD91" s="181" t="s">
        <v>1605</v>
      </c>
      <c r="AE91" s="179" t="s">
        <v>20</v>
      </c>
      <c r="AF91" s="186" t="s">
        <v>1348</v>
      </c>
      <c r="AG91" s="184" t="s">
        <v>989</v>
      </c>
      <c r="AH91" s="179">
        <v>40</v>
      </c>
      <c r="AI91" s="179">
        <v>2</v>
      </c>
      <c r="AJ91" s="200">
        <f t="shared" si="12"/>
        <v>3200</v>
      </c>
      <c r="AK91" s="183">
        <f t="shared" si="13"/>
        <v>6372</v>
      </c>
      <c r="AL91" s="179">
        <f t="shared" si="19"/>
        <v>40</v>
      </c>
      <c r="AM91" s="183">
        <v>60000</v>
      </c>
      <c r="AN91" s="183">
        <f t="shared" si="20"/>
        <v>3200000</v>
      </c>
      <c r="AO91" s="183">
        <f t="shared" si="14"/>
        <v>4000000</v>
      </c>
      <c r="AP91" s="183">
        <f t="shared" si="15"/>
        <v>0</v>
      </c>
      <c r="AQ91" s="183">
        <f t="shared" si="16"/>
        <v>20390400</v>
      </c>
      <c r="AR91" s="183"/>
      <c r="AS91" s="183">
        <f t="shared" si="17"/>
        <v>1200000</v>
      </c>
      <c r="AT91" s="183">
        <f t="shared" si="18"/>
        <v>28790400</v>
      </c>
    </row>
    <row r="92" spans="1:50" s="179" customFormat="1" ht="24.95" hidden="1" customHeight="1" x14ac:dyDescent="0.25">
      <c r="A92" s="184">
        <v>14536</v>
      </c>
      <c r="B92" s="184" t="s">
        <v>1491</v>
      </c>
      <c r="C92" s="184" t="s">
        <v>1492</v>
      </c>
      <c r="D92" s="179">
        <v>1</v>
      </c>
      <c r="E92" s="179">
        <v>2025</v>
      </c>
      <c r="F92" s="179">
        <v>2025</v>
      </c>
      <c r="G92" s="177" t="s">
        <v>1466</v>
      </c>
      <c r="H92" s="184" t="s">
        <v>336</v>
      </c>
      <c r="I92" s="184" t="s">
        <v>1467</v>
      </c>
      <c r="J92" s="177" t="s">
        <v>413</v>
      </c>
      <c r="K92" s="184" t="s">
        <v>414</v>
      </c>
      <c r="L92" s="184" t="s">
        <v>345</v>
      </c>
      <c r="M92" s="184" t="s">
        <v>346</v>
      </c>
      <c r="N92" s="184">
        <v>9</v>
      </c>
      <c r="O92" s="184" t="s">
        <v>424</v>
      </c>
      <c r="P92" s="184" t="s">
        <v>834</v>
      </c>
      <c r="Q92" s="184" t="s">
        <v>1493</v>
      </c>
      <c r="R92" s="184" t="s">
        <v>339</v>
      </c>
      <c r="S92" s="184" t="s">
        <v>19</v>
      </c>
      <c r="T92" s="184" t="s">
        <v>337</v>
      </c>
      <c r="U92" s="185">
        <v>20</v>
      </c>
      <c r="V92" s="185">
        <v>100</v>
      </c>
      <c r="W92" s="185">
        <v>12</v>
      </c>
      <c r="X92" s="179">
        <f t="shared" si="11"/>
        <v>112</v>
      </c>
      <c r="Y92" s="185">
        <v>4</v>
      </c>
      <c r="Z92" s="185" t="s">
        <v>20</v>
      </c>
      <c r="AA92" s="185" t="s">
        <v>20</v>
      </c>
      <c r="AB92" s="185" t="s">
        <v>20</v>
      </c>
      <c r="AC92" s="186" t="s">
        <v>21</v>
      </c>
      <c r="AD92" s="181" t="s">
        <v>1663</v>
      </c>
      <c r="AE92" s="179" t="s">
        <v>18</v>
      </c>
      <c r="AF92" s="186"/>
      <c r="AG92" s="184" t="s">
        <v>989</v>
      </c>
      <c r="AH92" s="179">
        <v>28</v>
      </c>
      <c r="AI92" s="179">
        <v>2</v>
      </c>
      <c r="AJ92" s="200">
        <f t="shared" si="12"/>
        <v>2240</v>
      </c>
      <c r="AK92" s="183">
        <f t="shared" si="13"/>
        <v>6372</v>
      </c>
      <c r="AL92" s="179">
        <f t="shared" si="19"/>
        <v>28</v>
      </c>
      <c r="AM92" s="183">
        <v>0</v>
      </c>
      <c r="AN92" s="183">
        <f t="shared" si="20"/>
        <v>2240000</v>
      </c>
      <c r="AO92" s="183">
        <f t="shared" si="14"/>
        <v>2800000</v>
      </c>
      <c r="AP92" s="183">
        <f t="shared" si="15"/>
        <v>5400000</v>
      </c>
      <c r="AQ92" s="183">
        <f t="shared" si="16"/>
        <v>14273280</v>
      </c>
      <c r="AR92" s="183"/>
      <c r="AS92" s="183">
        <f t="shared" si="17"/>
        <v>0</v>
      </c>
      <c r="AT92" s="183">
        <f t="shared" si="18"/>
        <v>24713280</v>
      </c>
    </row>
    <row r="93" spans="1:50" s="179" customFormat="1" ht="24.95" hidden="1" customHeight="1" x14ac:dyDescent="0.25">
      <c r="A93" s="184">
        <v>14541</v>
      </c>
      <c r="B93" s="184" t="s">
        <v>1491</v>
      </c>
      <c r="C93" s="184" t="s">
        <v>1492</v>
      </c>
      <c r="D93" s="179">
        <v>1</v>
      </c>
      <c r="E93" s="179">
        <v>2025</v>
      </c>
      <c r="F93" s="179">
        <v>2025</v>
      </c>
      <c r="G93" s="177" t="s">
        <v>1466</v>
      </c>
      <c r="H93" s="184" t="s">
        <v>336</v>
      </c>
      <c r="I93" s="184" t="s">
        <v>1467</v>
      </c>
      <c r="J93" s="177" t="s">
        <v>413</v>
      </c>
      <c r="K93" s="184" t="s">
        <v>414</v>
      </c>
      <c r="L93" s="184" t="s">
        <v>345</v>
      </c>
      <c r="M93" s="184" t="s">
        <v>346</v>
      </c>
      <c r="N93" s="184">
        <v>9</v>
      </c>
      <c r="O93" s="184" t="s">
        <v>424</v>
      </c>
      <c r="P93" s="184" t="s">
        <v>1664</v>
      </c>
      <c r="Q93" s="184" t="s">
        <v>1493</v>
      </c>
      <c r="R93" s="184" t="s">
        <v>339</v>
      </c>
      <c r="S93" s="184" t="s">
        <v>19</v>
      </c>
      <c r="T93" s="184" t="s">
        <v>337</v>
      </c>
      <c r="U93" s="185">
        <v>20</v>
      </c>
      <c r="V93" s="185">
        <v>100</v>
      </c>
      <c r="W93" s="185">
        <v>12</v>
      </c>
      <c r="X93" s="179">
        <f t="shared" si="11"/>
        <v>112</v>
      </c>
      <c r="Y93" s="185">
        <v>4</v>
      </c>
      <c r="Z93" s="185" t="s">
        <v>20</v>
      </c>
      <c r="AA93" s="185" t="s">
        <v>20</v>
      </c>
      <c r="AB93" s="185" t="s">
        <v>20</v>
      </c>
      <c r="AC93" s="186" t="s">
        <v>21</v>
      </c>
      <c r="AD93" s="181" t="s">
        <v>1663</v>
      </c>
      <c r="AE93" s="179" t="s">
        <v>18</v>
      </c>
      <c r="AF93" s="186"/>
      <c r="AG93" s="184" t="s">
        <v>989</v>
      </c>
      <c r="AH93" s="179">
        <v>28</v>
      </c>
      <c r="AI93" s="179">
        <v>2</v>
      </c>
      <c r="AJ93" s="200">
        <f t="shared" si="12"/>
        <v>2240</v>
      </c>
      <c r="AK93" s="183">
        <f t="shared" si="13"/>
        <v>6372</v>
      </c>
      <c r="AL93" s="179">
        <f t="shared" si="19"/>
        <v>28</v>
      </c>
      <c r="AM93" s="183">
        <v>0</v>
      </c>
      <c r="AN93" s="183">
        <f t="shared" si="20"/>
        <v>2240000</v>
      </c>
      <c r="AO93" s="183">
        <f t="shared" si="14"/>
        <v>2800000</v>
      </c>
      <c r="AP93" s="183">
        <f t="shared" si="15"/>
        <v>5400000</v>
      </c>
      <c r="AQ93" s="183">
        <f t="shared" si="16"/>
        <v>14273280</v>
      </c>
      <c r="AR93" s="183"/>
      <c r="AS93" s="183">
        <f t="shared" si="17"/>
        <v>0</v>
      </c>
      <c r="AT93" s="183">
        <f t="shared" si="18"/>
        <v>24713280</v>
      </c>
    </row>
    <row r="94" spans="1:50" s="179" customFormat="1" ht="24.95" hidden="1" customHeight="1" x14ac:dyDescent="0.25">
      <c r="A94" s="184">
        <v>14545</v>
      </c>
      <c r="B94" s="184" t="s">
        <v>1491</v>
      </c>
      <c r="C94" s="184" t="s">
        <v>1492</v>
      </c>
      <c r="D94" s="179">
        <v>1</v>
      </c>
      <c r="E94" s="179">
        <v>2025</v>
      </c>
      <c r="F94" s="179">
        <v>2025</v>
      </c>
      <c r="G94" s="177" t="s">
        <v>1466</v>
      </c>
      <c r="H94" s="184" t="s">
        <v>336</v>
      </c>
      <c r="I94" s="184" t="s">
        <v>1467</v>
      </c>
      <c r="J94" s="177" t="s">
        <v>1665</v>
      </c>
      <c r="K94" s="184" t="s">
        <v>1666</v>
      </c>
      <c r="L94" s="184" t="s">
        <v>21</v>
      </c>
      <c r="M94" s="184" t="s">
        <v>21</v>
      </c>
      <c r="N94" s="184">
        <v>9</v>
      </c>
      <c r="O94" s="184" t="s">
        <v>424</v>
      </c>
      <c r="P94" s="184" t="s">
        <v>421</v>
      </c>
      <c r="Q94" s="184" t="s">
        <v>1667</v>
      </c>
      <c r="R94" s="184" t="s">
        <v>339</v>
      </c>
      <c r="S94" s="184" t="s">
        <v>19</v>
      </c>
      <c r="T94" s="184" t="s">
        <v>337</v>
      </c>
      <c r="U94" s="185">
        <v>20</v>
      </c>
      <c r="V94" s="185">
        <v>72</v>
      </c>
      <c r="W94" s="185" t="s">
        <v>21</v>
      </c>
      <c r="X94" s="179">
        <f t="shared" si="11"/>
        <v>72</v>
      </c>
      <c r="Y94" s="185">
        <v>4</v>
      </c>
      <c r="Z94" s="185" t="s">
        <v>20</v>
      </c>
      <c r="AA94" s="185" t="s">
        <v>20</v>
      </c>
      <c r="AB94" s="185" t="s">
        <v>18</v>
      </c>
      <c r="AC94" s="186" t="s">
        <v>21</v>
      </c>
      <c r="AD94" s="181" t="s">
        <v>1668</v>
      </c>
      <c r="AE94" s="179" t="s">
        <v>18</v>
      </c>
      <c r="AF94" s="186"/>
      <c r="AG94" s="174" t="s">
        <v>990</v>
      </c>
      <c r="AH94" s="179">
        <v>18</v>
      </c>
      <c r="AI94" s="179">
        <v>2</v>
      </c>
      <c r="AJ94" s="200">
        <f t="shared" si="12"/>
        <v>1440</v>
      </c>
      <c r="AK94" s="183">
        <f t="shared" si="13"/>
        <v>6372</v>
      </c>
      <c r="AL94" s="179">
        <f t="shared" si="19"/>
        <v>18</v>
      </c>
      <c r="AM94" s="183">
        <v>0</v>
      </c>
      <c r="AN94" s="183">
        <f t="shared" si="20"/>
        <v>1440000</v>
      </c>
      <c r="AO94" s="183">
        <f t="shared" si="14"/>
        <v>1800000</v>
      </c>
      <c r="AP94" s="183">
        <f t="shared" si="15"/>
        <v>0</v>
      </c>
      <c r="AQ94" s="183">
        <f t="shared" si="16"/>
        <v>9175680</v>
      </c>
      <c r="AR94" s="183"/>
      <c r="AS94" s="183">
        <f t="shared" si="17"/>
        <v>0</v>
      </c>
      <c r="AT94" s="183">
        <f t="shared" si="18"/>
        <v>12415680</v>
      </c>
    </row>
    <row r="95" spans="1:50" s="179" customFormat="1" ht="24.95" hidden="1" customHeight="1" x14ac:dyDescent="0.25">
      <c r="A95" s="184">
        <v>14549</v>
      </c>
      <c r="B95" s="184" t="s">
        <v>1491</v>
      </c>
      <c r="C95" s="184" t="s">
        <v>1492</v>
      </c>
      <c r="D95" s="179">
        <v>1</v>
      </c>
      <c r="E95" s="179">
        <v>2025</v>
      </c>
      <c r="F95" s="179">
        <v>2025</v>
      </c>
      <c r="G95" s="177" t="s">
        <v>1466</v>
      </c>
      <c r="H95" s="184" t="s">
        <v>336</v>
      </c>
      <c r="I95" s="184" t="s">
        <v>1467</v>
      </c>
      <c r="J95" s="177" t="s">
        <v>1481</v>
      </c>
      <c r="K95" s="184" t="s">
        <v>1482</v>
      </c>
      <c r="L95" s="184" t="s">
        <v>345</v>
      </c>
      <c r="M95" s="184" t="s">
        <v>346</v>
      </c>
      <c r="N95" s="184">
        <v>9</v>
      </c>
      <c r="O95" s="184" t="s">
        <v>424</v>
      </c>
      <c r="P95" s="184" t="s">
        <v>1669</v>
      </c>
      <c r="Q95" s="184" t="s">
        <v>1493</v>
      </c>
      <c r="R95" s="184" t="s">
        <v>339</v>
      </c>
      <c r="S95" s="184" t="s">
        <v>19</v>
      </c>
      <c r="T95" s="184" t="s">
        <v>337</v>
      </c>
      <c r="U95" s="185">
        <v>20</v>
      </c>
      <c r="V95" s="185">
        <v>170</v>
      </c>
      <c r="W95" s="185">
        <v>12</v>
      </c>
      <c r="X95" s="179">
        <f t="shared" si="11"/>
        <v>182</v>
      </c>
      <c r="Y95" s="185">
        <v>4</v>
      </c>
      <c r="Z95" s="185" t="s">
        <v>20</v>
      </c>
      <c r="AA95" s="185" t="s">
        <v>20</v>
      </c>
      <c r="AB95" s="185" t="s">
        <v>20</v>
      </c>
      <c r="AC95" s="186" t="s">
        <v>21</v>
      </c>
      <c r="AD95" s="181" t="s">
        <v>1605</v>
      </c>
      <c r="AE95" s="179" t="s">
        <v>18</v>
      </c>
      <c r="AF95" s="186"/>
      <c r="AG95" s="184" t="s">
        <v>989</v>
      </c>
      <c r="AH95" s="179">
        <v>46</v>
      </c>
      <c r="AI95" s="179">
        <v>2</v>
      </c>
      <c r="AJ95" s="200">
        <f t="shared" si="12"/>
        <v>3640</v>
      </c>
      <c r="AK95" s="183">
        <f t="shared" si="13"/>
        <v>6372</v>
      </c>
      <c r="AL95" s="179">
        <f t="shared" si="19"/>
        <v>45.5</v>
      </c>
      <c r="AM95" s="183">
        <v>0</v>
      </c>
      <c r="AN95" s="183">
        <f t="shared" si="20"/>
        <v>3680000</v>
      </c>
      <c r="AO95" s="183">
        <f t="shared" si="14"/>
        <v>4600000</v>
      </c>
      <c r="AP95" s="183">
        <f t="shared" si="15"/>
        <v>5400000</v>
      </c>
      <c r="AQ95" s="183">
        <f t="shared" si="16"/>
        <v>23194080</v>
      </c>
      <c r="AR95" s="183"/>
      <c r="AS95" s="183">
        <f t="shared" si="17"/>
        <v>0</v>
      </c>
      <c r="AT95" s="183">
        <f t="shared" si="18"/>
        <v>36874080</v>
      </c>
    </row>
    <row r="96" spans="1:50" s="179" customFormat="1" ht="24.95" hidden="1" customHeight="1" x14ac:dyDescent="0.25">
      <c r="A96" s="184">
        <v>14550</v>
      </c>
      <c r="B96" s="184" t="s">
        <v>1491</v>
      </c>
      <c r="C96" s="184" t="s">
        <v>1492</v>
      </c>
      <c r="D96" s="179">
        <v>1</v>
      </c>
      <c r="E96" s="179">
        <v>2025</v>
      </c>
      <c r="F96" s="179">
        <v>2025</v>
      </c>
      <c r="G96" s="177" t="s">
        <v>1466</v>
      </c>
      <c r="H96" s="184" t="s">
        <v>336</v>
      </c>
      <c r="I96" s="184" t="s">
        <v>1467</v>
      </c>
      <c r="J96" s="177" t="s">
        <v>1481</v>
      </c>
      <c r="K96" s="184" t="s">
        <v>1482</v>
      </c>
      <c r="L96" s="184" t="s">
        <v>345</v>
      </c>
      <c r="M96" s="184" t="s">
        <v>346</v>
      </c>
      <c r="N96" s="184">
        <v>9</v>
      </c>
      <c r="O96" s="184" t="s">
        <v>424</v>
      </c>
      <c r="P96" s="184" t="s">
        <v>1670</v>
      </c>
      <c r="Q96" s="184" t="s">
        <v>1493</v>
      </c>
      <c r="R96" s="184" t="s">
        <v>339</v>
      </c>
      <c r="S96" s="184" t="s">
        <v>19</v>
      </c>
      <c r="T96" s="184" t="s">
        <v>337</v>
      </c>
      <c r="U96" s="185">
        <v>20</v>
      </c>
      <c r="V96" s="185">
        <v>170</v>
      </c>
      <c r="W96" s="185">
        <v>12</v>
      </c>
      <c r="X96" s="179">
        <f t="shared" si="11"/>
        <v>182</v>
      </c>
      <c r="Y96" s="185">
        <v>4</v>
      </c>
      <c r="Z96" s="185" t="s">
        <v>20</v>
      </c>
      <c r="AA96" s="185" t="s">
        <v>20</v>
      </c>
      <c r="AB96" s="185" t="s">
        <v>20</v>
      </c>
      <c r="AC96" s="186" t="s">
        <v>21</v>
      </c>
      <c r="AD96" s="181" t="s">
        <v>1605</v>
      </c>
      <c r="AE96" s="179" t="s">
        <v>18</v>
      </c>
      <c r="AF96" s="186"/>
      <c r="AG96" s="184" t="s">
        <v>989</v>
      </c>
      <c r="AH96" s="179">
        <v>46</v>
      </c>
      <c r="AI96" s="179">
        <v>2</v>
      </c>
      <c r="AJ96" s="200">
        <f t="shared" si="12"/>
        <v>3640</v>
      </c>
      <c r="AK96" s="183">
        <f t="shared" si="13"/>
        <v>6372</v>
      </c>
      <c r="AL96" s="179">
        <f t="shared" si="19"/>
        <v>45.5</v>
      </c>
      <c r="AM96" s="183">
        <v>0</v>
      </c>
      <c r="AN96" s="183">
        <f t="shared" si="20"/>
        <v>3680000</v>
      </c>
      <c r="AO96" s="183">
        <f t="shared" si="14"/>
        <v>4600000</v>
      </c>
      <c r="AP96" s="183">
        <f t="shared" si="15"/>
        <v>5400000</v>
      </c>
      <c r="AQ96" s="183">
        <f t="shared" si="16"/>
        <v>23194080</v>
      </c>
      <c r="AR96" s="183"/>
      <c r="AS96" s="183">
        <f t="shared" si="17"/>
        <v>0</v>
      </c>
      <c r="AT96" s="183">
        <f t="shared" si="18"/>
        <v>36874080</v>
      </c>
    </row>
    <row r="97" spans="1:50" s="179" customFormat="1" ht="24.95" hidden="1" customHeight="1" x14ac:dyDescent="0.25">
      <c r="A97" s="184">
        <v>14551</v>
      </c>
      <c r="B97" s="184" t="s">
        <v>1491</v>
      </c>
      <c r="C97" s="184" t="s">
        <v>1492</v>
      </c>
      <c r="D97" s="179">
        <v>1</v>
      </c>
      <c r="E97" s="179">
        <v>2025</v>
      </c>
      <c r="F97" s="179">
        <v>2025</v>
      </c>
      <c r="G97" s="177" t="s">
        <v>1466</v>
      </c>
      <c r="H97" s="184" t="s">
        <v>336</v>
      </c>
      <c r="I97" s="184" t="s">
        <v>1467</v>
      </c>
      <c r="J97" s="177" t="s">
        <v>1481</v>
      </c>
      <c r="K97" s="184" t="s">
        <v>1482</v>
      </c>
      <c r="L97" s="184" t="s">
        <v>345</v>
      </c>
      <c r="M97" s="184" t="s">
        <v>346</v>
      </c>
      <c r="N97" s="184">
        <v>9</v>
      </c>
      <c r="O97" s="184" t="s">
        <v>424</v>
      </c>
      <c r="P97" s="184" t="s">
        <v>862</v>
      </c>
      <c r="Q97" s="184" t="s">
        <v>1493</v>
      </c>
      <c r="R97" s="184" t="s">
        <v>339</v>
      </c>
      <c r="S97" s="184" t="s">
        <v>19</v>
      </c>
      <c r="T97" s="184" t="s">
        <v>337</v>
      </c>
      <c r="U97" s="185">
        <v>20</v>
      </c>
      <c r="V97" s="185">
        <v>170</v>
      </c>
      <c r="W97" s="185">
        <v>12</v>
      </c>
      <c r="X97" s="179">
        <f t="shared" si="11"/>
        <v>182</v>
      </c>
      <c r="Y97" s="185">
        <v>4</v>
      </c>
      <c r="Z97" s="185" t="s">
        <v>20</v>
      </c>
      <c r="AA97" s="185" t="s">
        <v>20</v>
      </c>
      <c r="AB97" s="185" t="s">
        <v>20</v>
      </c>
      <c r="AC97" s="186" t="s">
        <v>21</v>
      </c>
      <c r="AD97" s="181" t="s">
        <v>1605</v>
      </c>
      <c r="AE97" s="179" t="s">
        <v>18</v>
      </c>
      <c r="AF97" s="186"/>
      <c r="AG97" s="184" t="s">
        <v>989</v>
      </c>
      <c r="AH97" s="179">
        <v>46</v>
      </c>
      <c r="AI97" s="179">
        <v>2</v>
      </c>
      <c r="AJ97" s="200">
        <f t="shared" si="12"/>
        <v>3640</v>
      </c>
      <c r="AK97" s="183">
        <f t="shared" si="13"/>
        <v>6372</v>
      </c>
      <c r="AL97" s="179">
        <f t="shared" si="19"/>
        <v>45.5</v>
      </c>
      <c r="AM97" s="183">
        <v>0</v>
      </c>
      <c r="AN97" s="183">
        <f t="shared" si="20"/>
        <v>3680000</v>
      </c>
      <c r="AO97" s="183">
        <f t="shared" si="14"/>
        <v>4600000</v>
      </c>
      <c r="AP97" s="183">
        <f t="shared" si="15"/>
        <v>5400000</v>
      </c>
      <c r="AQ97" s="183">
        <f t="shared" si="16"/>
        <v>23194080</v>
      </c>
      <c r="AR97" s="183"/>
      <c r="AS97" s="183">
        <f t="shared" si="17"/>
        <v>0</v>
      </c>
      <c r="AT97" s="183">
        <f t="shared" si="18"/>
        <v>36874080</v>
      </c>
    </row>
    <row r="98" spans="1:50" s="179" customFormat="1" ht="24.95" hidden="1" customHeight="1" x14ac:dyDescent="0.25">
      <c r="A98" s="184">
        <v>14552</v>
      </c>
      <c r="B98" s="184" t="s">
        <v>1491</v>
      </c>
      <c r="C98" s="184" t="s">
        <v>1492</v>
      </c>
      <c r="D98" s="179">
        <v>1</v>
      </c>
      <c r="E98" s="179">
        <v>2025</v>
      </c>
      <c r="F98" s="179">
        <v>2025</v>
      </c>
      <c r="G98" s="177" t="s">
        <v>1466</v>
      </c>
      <c r="H98" s="184" t="s">
        <v>336</v>
      </c>
      <c r="I98" s="184" t="s">
        <v>1467</v>
      </c>
      <c r="J98" s="177" t="s">
        <v>1671</v>
      </c>
      <c r="K98" s="184" t="s">
        <v>1672</v>
      </c>
      <c r="L98" s="184" t="s">
        <v>345</v>
      </c>
      <c r="M98" s="184" t="s">
        <v>346</v>
      </c>
      <c r="N98" s="184">
        <v>9</v>
      </c>
      <c r="O98" s="184" t="s">
        <v>424</v>
      </c>
      <c r="P98" s="184" t="s">
        <v>867</v>
      </c>
      <c r="Q98" s="184" t="s">
        <v>1493</v>
      </c>
      <c r="R98" s="184" t="s">
        <v>339</v>
      </c>
      <c r="S98" s="184" t="s">
        <v>19</v>
      </c>
      <c r="T98" s="184" t="s">
        <v>337</v>
      </c>
      <c r="U98" s="185">
        <v>20</v>
      </c>
      <c r="V98" s="185">
        <v>130</v>
      </c>
      <c r="W98" s="185">
        <v>12</v>
      </c>
      <c r="X98" s="179">
        <f t="shared" ref="X98:X129" si="21">(SUM(V98:W98))*1</f>
        <v>142</v>
      </c>
      <c r="Y98" s="185">
        <v>4</v>
      </c>
      <c r="Z98" s="185" t="s">
        <v>20</v>
      </c>
      <c r="AA98" s="185" t="s">
        <v>20</v>
      </c>
      <c r="AB98" s="185" t="s">
        <v>20</v>
      </c>
      <c r="AC98" s="186" t="s">
        <v>21</v>
      </c>
      <c r="AD98" s="181" t="s">
        <v>1605</v>
      </c>
      <c r="AE98" s="179" t="s">
        <v>18</v>
      </c>
      <c r="AF98" s="186"/>
      <c r="AG98" s="184" t="s">
        <v>989</v>
      </c>
      <c r="AH98" s="179">
        <v>36</v>
      </c>
      <c r="AI98" s="179">
        <v>2</v>
      </c>
      <c r="AJ98" s="200">
        <f t="shared" si="12"/>
        <v>2840</v>
      </c>
      <c r="AK98" s="183">
        <f t="shared" si="13"/>
        <v>6372</v>
      </c>
      <c r="AL98" s="179">
        <f t="shared" si="19"/>
        <v>35.5</v>
      </c>
      <c r="AM98" s="183">
        <v>0</v>
      </c>
      <c r="AN98" s="183">
        <f t="shared" si="20"/>
        <v>2880000</v>
      </c>
      <c r="AO98" s="183">
        <f t="shared" si="14"/>
        <v>3600000</v>
      </c>
      <c r="AP98" s="183">
        <f t="shared" si="15"/>
        <v>5400000</v>
      </c>
      <c r="AQ98" s="183">
        <f t="shared" si="16"/>
        <v>18096480</v>
      </c>
      <c r="AR98" s="183"/>
      <c r="AS98" s="183">
        <f t="shared" si="17"/>
        <v>0</v>
      </c>
      <c r="AT98" s="183">
        <f t="shared" si="18"/>
        <v>29976480</v>
      </c>
    </row>
    <row r="99" spans="1:50" s="179" customFormat="1" ht="24.95" hidden="1" customHeight="1" x14ac:dyDescent="0.25">
      <c r="A99" s="184">
        <v>14553</v>
      </c>
      <c r="B99" s="184" t="s">
        <v>1491</v>
      </c>
      <c r="C99" s="184" t="s">
        <v>1492</v>
      </c>
      <c r="D99" s="179">
        <v>1</v>
      </c>
      <c r="E99" s="179">
        <v>2025</v>
      </c>
      <c r="F99" s="179">
        <v>2025</v>
      </c>
      <c r="G99" s="177" t="s">
        <v>1466</v>
      </c>
      <c r="H99" s="184" t="s">
        <v>336</v>
      </c>
      <c r="I99" s="184" t="s">
        <v>1467</v>
      </c>
      <c r="J99" s="177" t="s">
        <v>1671</v>
      </c>
      <c r="K99" s="184" t="s">
        <v>1672</v>
      </c>
      <c r="L99" s="184" t="s">
        <v>345</v>
      </c>
      <c r="M99" s="184" t="s">
        <v>346</v>
      </c>
      <c r="N99" s="184">
        <v>9</v>
      </c>
      <c r="O99" s="184" t="s">
        <v>424</v>
      </c>
      <c r="P99" s="184" t="s">
        <v>1673</v>
      </c>
      <c r="Q99" s="184" t="s">
        <v>1493</v>
      </c>
      <c r="R99" s="184" t="s">
        <v>339</v>
      </c>
      <c r="S99" s="184" t="s">
        <v>19</v>
      </c>
      <c r="T99" s="184" t="s">
        <v>337</v>
      </c>
      <c r="U99" s="185">
        <v>20</v>
      </c>
      <c r="V99" s="185">
        <v>130</v>
      </c>
      <c r="W99" s="185">
        <v>12</v>
      </c>
      <c r="X99" s="179">
        <f t="shared" si="21"/>
        <v>142</v>
      </c>
      <c r="Y99" s="185">
        <v>4</v>
      </c>
      <c r="Z99" s="185" t="s">
        <v>20</v>
      </c>
      <c r="AA99" s="185" t="s">
        <v>20</v>
      </c>
      <c r="AB99" s="185" t="s">
        <v>20</v>
      </c>
      <c r="AC99" s="186" t="s">
        <v>21</v>
      </c>
      <c r="AD99" s="181" t="s">
        <v>1605</v>
      </c>
      <c r="AE99" s="179" t="s">
        <v>18</v>
      </c>
      <c r="AF99" s="186"/>
      <c r="AG99" s="184" t="s">
        <v>989</v>
      </c>
      <c r="AH99" s="179">
        <v>36</v>
      </c>
      <c r="AI99" s="179">
        <v>2</v>
      </c>
      <c r="AJ99" s="200">
        <f t="shared" si="12"/>
        <v>2840</v>
      </c>
      <c r="AK99" s="183">
        <f t="shared" si="13"/>
        <v>6372</v>
      </c>
      <c r="AL99" s="179">
        <f t="shared" si="19"/>
        <v>35.5</v>
      </c>
      <c r="AM99" s="183">
        <v>0</v>
      </c>
      <c r="AN99" s="183">
        <f t="shared" si="20"/>
        <v>2880000</v>
      </c>
      <c r="AO99" s="183">
        <f t="shared" si="14"/>
        <v>3600000</v>
      </c>
      <c r="AP99" s="183">
        <f t="shared" si="15"/>
        <v>5400000</v>
      </c>
      <c r="AQ99" s="183">
        <f t="shared" si="16"/>
        <v>18096480</v>
      </c>
      <c r="AR99" s="183"/>
      <c r="AS99" s="183">
        <f t="shared" si="17"/>
        <v>0</v>
      </c>
      <c r="AT99" s="183">
        <f t="shared" si="18"/>
        <v>29976480</v>
      </c>
    </row>
    <row r="100" spans="1:50" s="179" customFormat="1" ht="24.95" hidden="1" customHeight="1" x14ac:dyDescent="0.25">
      <c r="A100" s="184">
        <v>14554</v>
      </c>
      <c r="B100" s="184" t="s">
        <v>1491</v>
      </c>
      <c r="C100" s="184" t="s">
        <v>1492</v>
      </c>
      <c r="D100" s="179">
        <v>1</v>
      </c>
      <c r="E100" s="179">
        <v>2025</v>
      </c>
      <c r="F100" s="179">
        <v>2025</v>
      </c>
      <c r="G100" s="177" t="s">
        <v>1466</v>
      </c>
      <c r="H100" s="184" t="s">
        <v>336</v>
      </c>
      <c r="I100" s="184" t="s">
        <v>1467</v>
      </c>
      <c r="J100" s="177" t="s">
        <v>1671</v>
      </c>
      <c r="K100" s="184" t="s">
        <v>1672</v>
      </c>
      <c r="L100" s="184" t="s">
        <v>345</v>
      </c>
      <c r="M100" s="184" t="s">
        <v>346</v>
      </c>
      <c r="N100" s="184">
        <v>9</v>
      </c>
      <c r="O100" s="184" t="s">
        <v>424</v>
      </c>
      <c r="P100" s="184" t="s">
        <v>863</v>
      </c>
      <c r="Q100" s="184" t="s">
        <v>1493</v>
      </c>
      <c r="R100" s="184" t="s">
        <v>339</v>
      </c>
      <c r="S100" s="184" t="s">
        <v>19</v>
      </c>
      <c r="T100" s="184" t="s">
        <v>337</v>
      </c>
      <c r="U100" s="185">
        <v>20</v>
      </c>
      <c r="V100" s="185">
        <v>130</v>
      </c>
      <c r="W100" s="185">
        <v>12</v>
      </c>
      <c r="X100" s="179">
        <f t="shared" si="21"/>
        <v>142</v>
      </c>
      <c r="Y100" s="185">
        <v>4</v>
      </c>
      <c r="Z100" s="185" t="s">
        <v>20</v>
      </c>
      <c r="AA100" s="185" t="s">
        <v>20</v>
      </c>
      <c r="AB100" s="185" t="s">
        <v>20</v>
      </c>
      <c r="AC100" s="186" t="s">
        <v>21</v>
      </c>
      <c r="AD100" s="181" t="s">
        <v>1605</v>
      </c>
      <c r="AE100" s="179" t="s">
        <v>18</v>
      </c>
      <c r="AF100" s="186"/>
      <c r="AG100" s="184" t="s">
        <v>989</v>
      </c>
      <c r="AH100" s="179">
        <v>36</v>
      </c>
      <c r="AI100" s="179">
        <v>2</v>
      </c>
      <c r="AJ100" s="200">
        <f t="shared" si="12"/>
        <v>2840</v>
      </c>
      <c r="AK100" s="183">
        <f t="shared" si="13"/>
        <v>6372</v>
      </c>
      <c r="AL100" s="179">
        <f t="shared" si="19"/>
        <v>35.5</v>
      </c>
      <c r="AM100" s="183">
        <v>0</v>
      </c>
      <c r="AN100" s="183">
        <f t="shared" si="20"/>
        <v>2880000</v>
      </c>
      <c r="AO100" s="183">
        <f t="shared" si="14"/>
        <v>3600000</v>
      </c>
      <c r="AP100" s="183">
        <f t="shared" si="15"/>
        <v>5400000</v>
      </c>
      <c r="AQ100" s="183">
        <f t="shared" si="16"/>
        <v>18096480</v>
      </c>
      <c r="AR100" s="183"/>
      <c r="AS100" s="183">
        <f t="shared" si="17"/>
        <v>0</v>
      </c>
      <c r="AT100" s="183">
        <f t="shared" si="18"/>
        <v>29976480</v>
      </c>
    </row>
    <row r="101" spans="1:50" s="179" customFormat="1" ht="24.95" hidden="1" customHeight="1" x14ac:dyDescent="0.25">
      <c r="A101" s="184">
        <v>14555</v>
      </c>
      <c r="B101" s="184" t="s">
        <v>1491</v>
      </c>
      <c r="C101" s="184" t="s">
        <v>1492</v>
      </c>
      <c r="D101" s="179">
        <v>1</v>
      </c>
      <c r="E101" s="179">
        <v>2025</v>
      </c>
      <c r="F101" s="179">
        <v>2025</v>
      </c>
      <c r="G101" s="177" t="s">
        <v>1466</v>
      </c>
      <c r="H101" s="184" t="s">
        <v>336</v>
      </c>
      <c r="I101" s="184" t="s">
        <v>1467</v>
      </c>
      <c r="J101" s="177" t="s">
        <v>836</v>
      </c>
      <c r="K101" s="184" t="s">
        <v>1674</v>
      </c>
      <c r="L101" s="184" t="s">
        <v>345</v>
      </c>
      <c r="M101" s="184" t="s">
        <v>346</v>
      </c>
      <c r="N101" s="184">
        <v>9</v>
      </c>
      <c r="O101" s="184" t="s">
        <v>424</v>
      </c>
      <c r="P101" s="184" t="s">
        <v>878</v>
      </c>
      <c r="Q101" s="184" t="s">
        <v>1493</v>
      </c>
      <c r="R101" s="184" t="s">
        <v>339</v>
      </c>
      <c r="S101" s="184" t="s">
        <v>19</v>
      </c>
      <c r="T101" s="184" t="s">
        <v>337</v>
      </c>
      <c r="U101" s="185">
        <v>20</v>
      </c>
      <c r="V101" s="185">
        <v>145</v>
      </c>
      <c r="W101" s="185">
        <v>12</v>
      </c>
      <c r="X101" s="179">
        <f t="shared" si="21"/>
        <v>157</v>
      </c>
      <c r="Y101" s="185">
        <v>4</v>
      </c>
      <c r="Z101" s="185" t="s">
        <v>20</v>
      </c>
      <c r="AA101" s="185" t="s">
        <v>20</v>
      </c>
      <c r="AB101" s="185" t="s">
        <v>20</v>
      </c>
      <c r="AC101" s="186" t="s">
        <v>21</v>
      </c>
      <c r="AD101" s="181" t="s">
        <v>1675</v>
      </c>
      <c r="AE101" s="179" t="s">
        <v>18</v>
      </c>
      <c r="AF101" s="186"/>
      <c r="AG101" s="184" t="s">
        <v>989</v>
      </c>
      <c r="AH101" s="179">
        <v>40</v>
      </c>
      <c r="AI101" s="179">
        <v>2</v>
      </c>
      <c r="AJ101" s="200">
        <f t="shared" si="12"/>
        <v>3140</v>
      </c>
      <c r="AK101" s="183">
        <f t="shared" si="13"/>
        <v>6372</v>
      </c>
      <c r="AL101" s="179">
        <f t="shared" si="19"/>
        <v>39.25</v>
      </c>
      <c r="AM101" s="183">
        <v>0</v>
      </c>
      <c r="AN101" s="183">
        <f t="shared" si="20"/>
        <v>3200000</v>
      </c>
      <c r="AO101" s="183">
        <f t="shared" si="14"/>
        <v>4000000</v>
      </c>
      <c r="AP101" s="183">
        <f t="shared" si="15"/>
        <v>5400000</v>
      </c>
      <c r="AQ101" s="183">
        <f t="shared" si="16"/>
        <v>20008080</v>
      </c>
      <c r="AR101" s="183"/>
      <c r="AS101" s="183">
        <f t="shared" si="17"/>
        <v>0</v>
      </c>
      <c r="AT101" s="183">
        <f t="shared" si="18"/>
        <v>32608080</v>
      </c>
    </row>
    <row r="102" spans="1:50" s="179" customFormat="1" ht="24.95" hidden="1" customHeight="1" x14ac:dyDescent="0.25">
      <c r="A102" s="184">
        <v>14556</v>
      </c>
      <c r="B102" s="184" t="s">
        <v>1491</v>
      </c>
      <c r="C102" s="184" t="s">
        <v>1492</v>
      </c>
      <c r="D102" s="179">
        <v>1</v>
      </c>
      <c r="E102" s="179">
        <v>2025</v>
      </c>
      <c r="F102" s="179">
        <v>2025</v>
      </c>
      <c r="G102" s="177" t="s">
        <v>1466</v>
      </c>
      <c r="H102" s="184" t="s">
        <v>336</v>
      </c>
      <c r="I102" s="184" t="s">
        <v>1467</v>
      </c>
      <c r="J102" s="177" t="s">
        <v>836</v>
      </c>
      <c r="K102" s="184" t="s">
        <v>1674</v>
      </c>
      <c r="L102" s="184" t="s">
        <v>345</v>
      </c>
      <c r="M102" s="184" t="s">
        <v>346</v>
      </c>
      <c r="N102" s="184">
        <v>9</v>
      </c>
      <c r="O102" s="184" t="s">
        <v>424</v>
      </c>
      <c r="P102" s="184" t="s">
        <v>1676</v>
      </c>
      <c r="Q102" s="184" t="s">
        <v>1493</v>
      </c>
      <c r="R102" s="184" t="s">
        <v>339</v>
      </c>
      <c r="S102" s="184" t="s">
        <v>19</v>
      </c>
      <c r="T102" s="184" t="s">
        <v>337</v>
      </c>
      <c r="U102" s="185">
        <v>20</v>
      </c>
      <c r="V102" s="185">
        <v>145</v>
      </c>
      <c r="W102" s="185">
        <v>12</v>
      </c>
      <c r="X102" s="179">
        <f t="shared" si="21"/>
        <v>157</v>
      </c>
      <c r="Y102" s="185">
        <v>4</v>
      </c>
      <c r="Z102" s="185" t="s">
        <v>20</v>
      </c>
      <c r="AA102" s="185" t="s">
        <v>20</v>
      </c>
      <c r="AB102" s="185" t="s">
        <v>20</v>
      </c>
      <c r="AC102" s="186" t="s">
        <v>21</v>
      </c>
      <c r="AD102" s="181" t="s">
        <v>1675</v>
      </c>
      <c r="AE102" s="179" t="s">
        <v>18</v>
      </c>
      <c r="AF102" s="186"/>
      <c r="AG102" s="184" t="s">
        <v>989</v>
      </c>
      <c r="AH102" s="179">
        <v>40</v>
      </c>
      <c r="AI102" s="179">
        <v>2</v>
      </c>
      <c r="AJ102" s="200">
        <f t="shared" si="12"/>
        <v>3140</v>
      </c>
      <c r="AK102" s="183">
        <f t="shared" si="13"/>
        <v>6372</v>
      </c>
      <c r="AL102" s="179">
        <f t="shared" si="19"/>
        <v>39.25</v>
      </c>
      <c r="AM102" s="183">
        <v>0</v>
      </c>
      <c r="AN102" s="183">
        <f t="shared" si="20"/>
        <v>3200000</v>
      </c>
      <c r="AO102" s="183">
        <f t="shared" si="14"/>
        <v>4000000</v>
      </c>
      <c r="AP102" s="183">
        <f t="shared" si="15"/>
        <v>5400000</v>
      </c>
      <c r="AQ102" s="183">
        <f t="shared" si="16"/>
        <v>20008080</v>
      </c>
      <c r="AR102" s="183"/>
      <c r="AS102" s="183">
        <f t="shared" si="17"/>
        <v>0</v>
      </c>
      <c r="AT102" s="183">
        <f t="shared" si="18"/>
        <v>32608080</v>
      </c>
    </row>
    <row r="103" spans="1:50" s="179" customFormat="1" ht="24.95" hidden="1" customHeight="1" x14ac:dyDescent="0.25">
      <c r="A103" s="184">
        <v>14557</v>
      </c>
      <c r="B103" s="184" t="s">
        <v>1491</v>
      </c>
      <c r="C103" s="184" t="s">
        <v>1492</v>
      </c>
      <c r="D103" s="179">
        <v>1</v>
      </c>
      <c r="E103" s="179">
        <v>2025</v>
      </c>
      <c r="F103" s="179">
        <v>2025</v>
      </c>
      <c r="G103" s="177" t="s">
        <v>1466</v>
      </c>
      <c r="H103" s="184" t="s">
        <v>336</v>
      </c>
      <c r="I103" s="184" t="s">
        <v>1467</v>
      </c>
      <c r="J103" s="177" t="s">
        <v>836</v>
      </c>
      <c r="K103" s="184" t="s">
        <v>1674</v>
      </c>
      <c r="L103" s="184" t="s">
        <v>345</v>
      </c>
      <c r="M103" s="184" t="s">
        <v>346</v>
      </c>
      <c r="N103" s="184">
        <v>9</v>
      </c>
      <c r="O103" s="184" t="s">
        <v>424</v>
      </c>
      <c r="P103" s="184" t="s">
        <v>1677</v>
      </c>
      <c r="Q103" s="184" t="s">
        <v>1493</v>
      </c>
      <c r="R103" s="184" t="s">
        <v>339</v>
      </c>
      <c r="S103" s="184" t="s">
        <v>19</v>
      </c>
      <c r="T103" s="184" t="s">
        <v>337</v>
      </c>
      <c r="U103" s="185">
        <v>20</v>
      </c>
      <c r="V103" s="185">
        <v>145</v>
      </c>
      <c r="W103" s="185">
        <v>12</v>
      </c>
      <c r="X103" s="179">
        <f t="shared" si="21"/>
        <v>157</v>
      </c>
      <c r="Y103" s="185">
        <v>4</v>
      </c>
      <c r="Z103" s="185" t="s">
        <v>20</v>
      </c>
      <c r="AA103" s="185" t="s">
        <v>20</v>
      </c>
      <c r="AB103" s="185" t="s">
        <v>20</v>
      </c>
      <c r="AC103" s="186" t="s">
        <v>21</v>
      </c>
      <c r="AD103" s="181" t="s">
        <v>1675</v>
      </c>
      <c r="AE103" s="179" t="s">
        <v>18</v>
      </c>
      <c r="AF103" s="186"/>
      <c r="AG103" s="184" t="s">
        <v>989</v>
      </c>
      <c r="AH103" s="179">
        <v>40</v>
      </c>
      <c r="AI103" s="179">
        <v>2</v>
      </c>
      <c r="AJ103" s="200">
        <f t="shared" si="12"/>
        <v>3140</v>
      </c>
      <c r="AK103" s="183">
        <f t="shared" si="13"/>
        <v>6372</v>
      </c>
      <c r="AL103" s="179">
        <f t="shared" si="19"/>
        <v>39.25</v>
      </c>
      <c r="AM103" s="183">
        <v>0</v>
      </c>
      <c r="AN103" s="183">
        <f t="shared" si="20"/>
        <v>3200000</v>
      </c>
      <c r="AO103" s="183">
        <f t="shared" si="14"/>
        <v>4000000</v>
      </c>
      <c r="AP103" s="183">
        <f t="shared" si="15"/>
        <v>5400000</v>
      </c>
      <c r="AQ103" s="183">
        <f t="shared" si="16"/>
        <v>20008080</v>
      </c>
      <c r="AR103" s="183"/>
      <c r="AS103" s="183">
        <f t="shared" si="17"/>
        <v>0</v>
      </c>
      <c r="AT103" s="183">
        <f t="shared" si="18"/>
        <v>32608080</v>
      </c>
    </row>
    <row r="104" spans="1:50" s="179" customFormat="1" ht="24.95" hidden="1" customHeight="1" x14ac:dyDescent="0.25">
      <c r="A104" s="184">
        <v>14542</v>
      </c>
      <c r="B104" s="184" t="s">
        <v>1491</v>
      </c>
      <c r="C104" s="184" t="s">
        <v>1492</v>
      </c>
      <c r="D104" s="179">
        <v>1</v>
      </c>
      <c r="E104" s="179">
        <v>2025</v>
      </c>
      <c r="F104" s="179">
        <v>2025</v>
      </c>
      <c r="G104" s="177" t="s">
        <v>1466</v>
      </c>
      <c r="H104" s="184" t="s">
        <v>336</v>
      </c>
      <c r="I104" s="184" t="s">
        <v>1467</v>
      </c>
      <c r="J104" s="177" t="s">
        <v>410</v>
      </c>
      <c r="K104" s="184" t="s">
        <v>411</v>
      </c>
      <c r="L104" s="184" t="s">
        <v>345</v>
      </c>
      <c r="M104" s="184" t="s">
        <v>346</v>
      </c>
      <c r="N104" s="184">
        <v>9</v>
      </c>
      <c r="O104" s="184" t="s">
        <v>424</v>
      </c>
      <c r="P104" s="184" t="s">
        <v>2282</v>
      </c>
      <c r="Q104" s="184" t="s">
        <v>1493</v>
      </c>
      <c r="R104" s="184" t="s">
        <v>339</v>
      </c>
      <c r="S104" s="184" t="s">
        <v>19</v>
      </c>
      <c r="T104" s="184" t="s">
        <v>337</v>
      </c>
      <c r="U104" s="185">
        <v>20</v>
      </c>
      <c r="V104" s="185">
        <v>260</v>
      </c>
      <c r="W104" s="185">
        <v>12</v>
      </c>
      <c r="X104" s="179">
        <f t="shared" si="21"/>
        <v>272</v>
      </c>
      <c r="Y104" s="185">
        <v>4</v>
      </c>
      <c r="Z104" s="185" t="s">
        <v>20</v>
      </c>
      <c r="AA104" s="185" t="s">
        <v>20</v>
      </c>
      <c r="AB104" s="185" t="s">
        <v>20</v>
      </c>
      <c r="AC104" s="186"/>
      <c r="AD104" s="181" t="s">
        <v>2283</v>
      </c>
      <c r="AE104" s="185" t="s">
        <v>20</v>
      </c>
      <c r="AF104" s="186" t="s">
        <v>2284</v>
      </c>
      <c r="AG104" s="184" t="s">
        <v>989</v>
      </c>
      <c r="AH104" s="179">
        <v>68</v>
      </c>
      <c r="AI104" s="179">
        <v>2</v>
      </c>
      <c r="AJ104" s="200">
        <f t="shared" si="12"/>
        <v>5440</v>
      </c>
      <c r="AK104" s="183">
        <f t="shared" si="13"/>
        <v>6372</v>
      </c>
      <c r="AL104" s="179">
        <f t="shared" si="19"/>
        <v>68</v>
      </c>
      <c r="AM104" s="183">
        <v>300000</v>
      </c>
      <c r="AN104" s="183">
        <f t="shared" si="20"/>
        <v>5440000</v>
      </c>
      <c r="AO104" s="183">
        <f t="shared" si="14"/>
        <v>6800000</v>
      </c>
      <c r="AP104" s="183">
        <f t="shared" si="15"/>
        <v>5400000</v>
      </c>
      <c r="AQ104" s="183">
        <f t="shared" si="16"/>
        <v>34663680</v>
      </c>
      <c r="AR104" s="183"/>
      <c r="AS104" s="183">
        <f t="shared" si="17"/>
        <v>6000000</v>
      </c>
      <c r="AT104" s="183">
        <f t="shared" si="18"/>
        <v>58303680</v>
      </c>
    </row>
    <row r="105" spans="1:50" s="179" customFormat="1" ht="24.95" hidden="1" customHeight="1" x14ac:dyDescent="0.25">
      <c r="A105" s="184">
        <v>14543</v>
      </c>
      <c r="B105" s="184" t="s">
        <v>1491</v>
      </c>
      <c r="C105" s="184" t="s">
        <v>1492</v>
      </c>
      <c r="D105" s="179">
        <v>1</v>
      </c>
      <c r="E105" s="179">
        <v>2025</v>
      </c>
      <c r="F105" s="179">
        <v>2025</v>
      </c>
      <c r="G105" s="177" t="s">
        <v>1466</v>
      </c>
      <c r="H105" s="184" t="s">
        <v>336</v>
      </c>
      <c r="I105" s="184" t="s">
        <v>1467</v>
      </c>
      <c r="J105" s="177" t="s">
        <v>410</v>
      </c>
      <c r="K105" s="184" t="s">
        <v>411</v>
      </c>
      <c r="L105" s="184" t="s">
        <v>345</v>
      </c>
      <c r="M105" s="184" t="s">
        <v>346</v>
      </c>
      <c r="N105" s="184">
        <v>9</v>
      </c>
      <c r="O105" s="184" t="s">
        <v>424</v>
      </c>
      <c r="P105" s="184" t="s">
        <v>2302</v>
      </c>
      <c r="Q105" s="184" t="s">
        <v>1493</v>
      </c>
      <c r="R105" s="184" t="s">
        <v>339</v>
      </c>
      <c r="S105" s="184" t="s">
        <v>19</v>
      </c>
      <c r="T105" s="184" t="s">
        <v>337</v>
      </c>
      <c r="U105" s="185">
        <v>20</v>
      </c>
      <c r="V105" s="185">
        <v>260</v>
      </c>
      <c r="W105" s="185">
        <v>12</v>
      </c>
      <c r="X105" s="179">
        <f t="shared" si="21"/>
        <v>272</v>
      </c>
      <c r="Y105" s="185">
        <v>4</v>
      </c>
      <c r="Z105" s="185" t="s">
        <v>20</v>
      </c>
      <c r="AA105" s="185" t="s">
        <v>20</v>
      </c>
      <c r="AB105" s="185" t="s">
        <v>20</v>
      </c>
      <c r="AC105" s="186"/>
      <c r="AD105" s="181" t="s">
        <v>2283</v>
      </c>
      <c r="AE105" s="185" t="s">
        <v>20</v>
      </c>
      <c r="AF105" s="186" t="s">
        <v>2284</v>
      </c>
      <c r="AG105" s="184" t="s">
        <v>989</v>
      </c>
      <c r="AH105" s="179">
        <v>68</v>
      </c>
      <c r="AI105" s="179">
        <v>2</v>
      </c>
      <c r="AJ105" s="200">
        <f t="shared" si="12"/>
        <v>5440</v>
      </c>
      <c r="AK105" s="183">
        <f t="shared" si="13"/>
        <v>6372</v>
      </c>
      <c r="AL105" s="179">
        <f t="shared" si="19"/>
        <v>68</v>
      </c>
      <c r="AM105" s="183">
        <v>300000</v>
      </c>
      <c r="AN105" s="183">
        <f t="shared" si="20"/>
        <v>5440000</v>
      </c>
      <c r="AO105" s="183">
        <f t="shared" si="14"/>
        <v>6800000</v>
      </c>
      <c r="AP105" s="183">
        <f t="shared" si="15"/>
        <v>5400000</v>
      </c>
      <c r="AQ105" s="183">
        <f t="shared" si="16"/>
        <v>34663680</v>
      </c>
      <c r="AR105" s="183"/>
      <c r="AS105" s="183">
        <f t="shared" si="17"/>
        <v>6000000</v>
      </c>
      <c r="AT105" s="183">
        <f t="shared" si="18"/>
        <v>58303680</v>
      </c>
    </row>
    <row r="106" spans="1:50" s="179" customFormat="1" ht="24.95" hidden="1" customHeight="1" x14ac:dyDescent="0.25">
      <c r="A106" s="175">
        <v>14345</v>
      </c>
      <c r="B106" s="175" t="s">
        <v>86</v>
      </c>
      <c r="C106" s="175" t="s">
        <v>29</v>
      </c>
      <c r="D106" s="176">
        <v>1</v>
      </c>
      <c r="E106" s="176">
        <v>2025</v>
      </c>
      <c r="F106" s="176">
        <v>2025</v>
      </c>
      <c r="G106" s="175" t="s">
        <v>23</v>
      </c>
      <c r="H106" s="175" t="s">
        <v>86</v>
      </c>
      <c r="I106" s="175" t="s">
        <v>105</v>
      </c>
      <c r="J106" s="177" t="s">
        <v>1502</v>
      </c>
      <c r="K106" s="175" t="s">
        <v>1503</v>
      </c>
      <c r="L106" s="175" t="s">
        <v>21</v>
      </c>
      <c r="M106" s="175" t="s">
        <v>21</v>
      </c>
      <c r="N106" s="175">
        <v>2</v>
      </c>
      <c r="O106" s="175" t="s">
        <v>798</v>
      </c>
      <c r="P106" s="175" t="s">
        <v>797</v>
      </c>
      <c r="Q106" s="175" t="s">
        <v>1504</v>
      </c>
      <c r="R106" s="175" t="s">
        <v>339</v>
      </c>
      <c r="S106" s="175" t="s">
        <v>22</v>
      </c>
      <c r="T106" s="175" t="s">
        <v>337</v>
      </c>
      <c r="U106" s="176">
        <v>10</v>
      </c>
      <c r="V106" s="176">
        <v>176</v>
      </c>
      <c r="W106" s="176" t="s">
        <v>21</v>
      </c>
      <c r="X106" s="179">
        <f t="shared" si="21"/>
        <v>176</v>
      </c>
      <c r="Y106" s="176">
        <v>4</v>
      </c>
      <c r="Z106" s="176" t="s">
        <v>20</v>
      </c>
      <c r="AA106" s="176" t="s">
        <v>18</v>
      </c>
      <c r="AB106" s="185" t="s">
        <v>18</v>
      </c>
      <c r="AC106" s="186" t="s">
        <v>21</v>
      </c>
      <c r="AD106" s="181" t="s">
        <v>1505</v>
      </c>
      <c r="AE106" s="179" t="s">
        <v>20</v>
      </c>
      <c r="AF106" s="181" t="s">
        <v>995</v>
      </c>
      <c r="AG106" s="174" t="s">
        <v>990</v>
      </c>
      <c r="AH106" s="179">
        <v>44</v>
      </c>
      <c r="AI106" s="179">
        <v>3</v>
      </c>
      <c r="AJ106" s="200">
        <f t="shared" si="12"/>
        <v>1760</v>
      </c>
      <c r="AK106" s="183">
        <f t="shared" si="13"/>
        <v>7434</v>
      </c>
      <c r="AL106" s="179">
        <f t="shared" si="19"/>
        <v>44</v>
      </c>
      <c r="AM106" s="183">
        <v>300000</v>
      </c>
      <c r="AN106" s="183">
        <f t="shared" si="20"/>
        <v>1760000</v>
      </c>
      <c r="AO106" s="183">
        <f t="shared" si="14"/>
        <v>0</v>
      </c>
      <c r="AP106" s="183">
        <f t="shared" si="15"/>
        <v>0</v>
      </c>
      <c r="AQ106" s="183">
        <f t="shared" si="16"/>
        <v>13083840</v>
      </c>
      <c r="AR106" s="183"/>
      <c r="AS106" s="183">
        <f t="shared" si="17"/>
        <v>3000000</v>
      </c>
      <c r="AT106" s="183">
        <f t="shared" si="18"/>
        <v>17843840</v>
      </c>
      <c r="AU106" s="175" t="s">
        <v>1506</v>
      </c>
      <c r="AV106" s="175" t="s">
        <v>1507</v>
      </c>
      <c r="AW106" s="175" t="s">
        <v>1508</v>
      </c>
      <c r="AX106" s="175" t="s">
        <v>1509</v>
      </c>
    </row>
    <row r="107" spans="1:50" s="179" customFormat="1" ht="24.95" hidden="1" customHeight="1" x14ac:dyDescent="0.25">
      <c r="A107" s="175">
        <v>14269</v>
      </c>
      <c r="B107" s="175" t="s">
        <v>86</v>
      </c>
      <c r="C107" s="175" t="s">
        <v>29</v>
      </c>
      <c r="D107" s="176">
        <v>1</v>
      </c>
      <c r="E107" s="176">
        <v>2025</v>
      </c>
      <c r="F107" s="176">
        <v>2025</v>
      </c>
      <c r="G107" s="175" t="s">
        <v>23</v>
      </c>
      <c r="H107" s="175" t="s">
        <v>86</v>
      </c>
      <c r="I107" s="175" t="s">
        <v>105</v>
      </c>
      <c r="J107" s="177" t="s">
        <v>391</v>
      </c>
      <c r="K107" s="175" t="s">
        <v>987</v>
      </c>
      <c r="L107" s="175" t="s">
        <v>407</v>
      </c>
      <c r="M107" s="175" t="s">
        <v>408</v>
      </c>
      <c r="N107" s="175">
        <v>4</v>
      </c>
      <c r="O107" s="175" t="s">
        <v>415</v>
      </c>
      <c r="P107" s="175" t="s">
        <v>884</v>
      </c>
      <c r="Q107" s="175" t="s">
        <v>1201</v>
      </c>
      <c r="R107" s="175" t="s">
        <v>339</v>
      </c>
      <c r="S107" s="175" t="s">
        <v>19</v>
      </c>
      <c r="T107" s="175" t="s">
        <v>1598</v>
      </c>
      <c r="U107" s="176">
        <v>20</v>
      </c>
      <c r="V107" s="176">
        <v>24</v>
      </c>
      <c r="W107" s="176">
        <v>12</v>
      </c>
      <c r="X107" s="179">
        <f t="shared" si="21"/>
        <v>36</v>
      </c>
      <c r="Y107" s="176">
        <v>4</v>
      </c>
      <c r="Z107" s="176" t="s">
        <v>20</v>
      </c>
      <c r="AA107" s="176" t="s">
        <v>18</v>
      </c>
      <c r="AB107" s="185" t="s">
        <v>18</v>
      </c>
      <c r="AC107" s="186" t="s">
        <v>21</v>
      </c>
      <c r="AD107" s="181" t="s">
        <v>1599</v>
      </c>
      <c r="AE107" s="179" t="s">
        <v>20</v>
      </c>
      <c r="AF107" s="181" t="s">
        <v>988</v>
      </c>
      <c r="AG107" s="174" t="s">
        <v>990</v>
      </c>
      <c r="AH107" s="179">
        <v>19</v>
      </c>
      <c r="AI107" s="179">
        <f>VLOOKUP(K107,[1]TRAMO!$A:$B,2,0)</f>
        <v>2</v>
      </c>
      <c r="AJ107" s="200">
        <f t="shared" si="12"/>
        <v>720</v>
      </c>
      <c r="AK107" s="183">
        <f t="shared" si="13"/>
        <v>6372</v>
      </c>
      <c r="AL107" s="179">
        <f t="shared" si="19"/>
        <v>9</v>
      </c>
      <c r="AM107" s="183">
        <v>60000</v>
      </c>
      <c r="AN107" s="183">
        <f t="shared" si="20"/>
        <v>1520000</v>
      </c>
      <c r="AO107" s="183">
        <f t="shared" si="14"/>
        <v>0</v>
      </c>
      <c r="AP107" s="183">
        <f t="shared" si="15"/>
        <v>0</v>
      </c>
      <c r="AQ107" s="183">
        <f t="shared" si="16"/>
        <v>4587840</v>
      </c>
      <c r="AR107" s="183"/>
      <c r="AS107" s="183">
        <f t="shared" si="17"/>
        <v>1200000</v>
      </c>
      <c r="AT107" s="183">
        <f t="shared" si="18"/>
        <v>7307840</v>
      </c>
      <c r="AU107" s="175" t="s">
        <v>1600</v>
      </c>
      <c r="AV107" s="175" t="s">
        <v>1601</v>
      </c>
      <c r="AW107" s="175" t="s">
        <v>1602</v>
      </c>
      <c r="AX107" s="175" t="s">
        <v>1029</v>
      </c>
    </row>
    <row r="108" spans="1:50" s="179" customFormat="1" ht="24.95" hidden="1" customHeight="1" x14ac:dyDescent="0.25">
      <c r="A108" s="175">
        <v>14270</v>
      </c>
      <c r="B108" s="175" t="s">
        <v>86</v>
      </c>
      <c r="C108" s="175" t="s">
        <v>29</v>
      </c>
      <c r="D108" s="176">
        <v>1</v>
      </c>
      <c r="E108" s="176">
        <v>2025</v>
      </c>
      <c r="F108" s="176">
        <v>2025</v>
      </c>
      <c r="G108" s="175" t="s">
        <v>23</v>
      </c>
      <c r="H108" s="175" t="s">
        <v>86</v>
      </c>
      <c r="I108" s="175" t="s">
        <v>105</v>
      </c>
      <c r="J108" s="177" t="s">
        <v>391</v>
      </c>
      <c r="K108" s="175" t="s">
        <v>987</v>
      </c>
      <c r="L108" s="175" t="s">
        <v>407</v>
      </c>
      <c r="M108" s="175" t="s">
        <v>408</v>
      </c>
      <c r="N108" s="175">
        <v>4</v>
      </c>
      <c r="O108" s="175" t="s">
        <v>415</v>
      </c>
      <c r="P108" s="175" t="s">
        <v>884</v>
      </c>
      <c r="Q108" s="175" t="s">
        <v>1201</v>
      </c>
      <c r="R108" s="175" t="s">
        <v>339</v>
      </c>
      <c r="S108" s="175" t="s">
        <v>19</v>
      </c>
      <c r="T108" s="175" t="s">
        <v>1598</v>
      </c>
      <c r="U108" s="176">
        <v>20</v>
      </c>
      <c r="V108" s="176">
        <v>24</v>
      </c>
      <c r="W108" s="176">
        <v>12</v>
      </c>
      <c r="X108" s="179">
        <f t="shared" si="21"/>
        <v>36</v>
      </c>
      <c r="Y108" s="176">
        <v>4</v>
      </c>
      <c r="Z108" s="176" t="s">
        <v>20</v>
      </c>
      <c r="AA108" s="176" t="s">
        <v>18</v>
      </c>
      <c r="AB108" s="185" t="s">
        <v>18</v>
      </c>
      <c r="AC108" s="186" t="s">
        <v>21</v>
      </c>
      <c r="AD108" s="181" t="s">
        <v>1603</v>
      </c>
      <c r="AE108" s="179" t="s">
        <v>20</v>
      </c>
      <c r="AF108" s="181" t="s">
        <v>988</v>
      </c>
      <c r="AG108" s="174" t="s">
        <v>990</v>
      </c>
      <c r="AH108" s="179">
        <v>19</v>
      </c>
      <c r="AI108" s="179">
        <f>VLOOKUP(K108,[1]TRAMO!$A:$B,2,0)</f>
        <v>2</v>
      </c>
      <c r="AJ108" s="200">
        <f t="shared" si="12"/>
        <v>720</v>
      </c>
      <c r="AK108" s="183">
        <f t="shared" si="13"/>
        <v>6372</v>
      </c>
      <c r="AL108" s="179">
        <f t="shared" si="19"/>
        <v>9</v>
      </c>
      <c r="AM108" s="183">
        <v>60000</v>
      </c>
      <c r="AN108" s="183">
        <f t="shared" si="20"/>
        <v>1520000</v>
      </c>
      <c r="AO108" s="183">
        <f t="shared" si="14"/>
        <v>0</v>
      </c>
      <c r="AP108" s="183">
        <f t="shared" si="15"/>
        <v>0</v>
      </c>
      <c r="AQ108" s="183">
        <f t="shared" si="16"/>
        <v>4587840</v>
      </c>
      <c r="AR108" s="183"/>
      <c r="AS108" s="183">
        <f t="shared" si="17"/>
        <v>1200000</v>
      </c>
      <c r="AT108" s="183">
        <f t="shared" si="18"/>
        <v>7307840</v>
      </c>
      <c r="AU108" s="175" t="s">
        <v>1600</v>
      </c>
      <c r="AV108" s="175" t="s">
        <v>1601</v>
      </c>
      <c r="AW108" s="175" t="s">
        <v>1602</v>
      </c>
      <c r="AX108" s="175" t="s">
        <v>1604</v>
      </c>
    </row>
    <row r="109" spans="1:50" s="179" customFormat="1" ht="24.95" hidden="1" customHeight="1" x14ac:dyDescent="0.25">
      <c r="A109" s="175">
        <v>14231</v>
      </c>
      <c r="B109" s="175" t="s">
        <v>86</v>
      </c>
      <c r="C109" s="175" t="s">
        <v>29</v>
      </c>
      <c r="D109" s="176">
        <v>1</v>
      </c>
      <c r="E109" s="176">
        <v>2025</v>
      </c>
      <c r="F109" s="176">
        <v>2025</v>
      </c>
      <c r="G109" s="175" t="s">
        <v>23</v>
      </c>
      <c r="H109" s="175" t="s">
        <v>86</v>
      </c>
      <c r="I109" s="175" t="s">
        <v>105</v>
      </c>
      <c r="J109" s="177" t="s">
        <v>740</v>
      </c>
      <c r="K109" s="175" t="s">
        <v>739</v>
      </c>
      <c r="L109" s="175" t="s">
        <v>407</v>
      </c>
      <c r="M109" s="175" t="s">
        <v>408</v>
      </c>
      <c r="N109" s="175">
        <v>5</v>
      </c>
      <c r="O109" s="175" t="s">
        <v>395</v>
      </c>
      <c r="P109" s="175" t="s">
        <v>1630</v>
      </c>
      <c r="Q109" s="175" t="s">
        <v>1201</v>
      </c>
      <c r="R109" s="175" t="s">
        <v>339</v>
      </c>
      <c r="S109" s="175" t="s">
        <v>22</v>
      </c>
      <c r="T109" s="175" t="s">
        <v>337</v>
      </c>
      <c r="U109" s="176">
        <v>10</v>
      </c>
      <c r="V109" s="176">
        <v>160</v>
      </c>
      <c r="W109" s="176">
        <v>12</v>
      </c>
      <c r="X109" s="179">
        <f t="shared" si="21"/>
        <v>172</v>
      </c>
      <c r="Y109" s="176">
        <v>5</v>
      </c>
      <c r="Z109" s="176" t="s">
        <v>20</v>
      </c>
      <c r="AA109" s="176" t="s">
        <v>18</v>
      </c>
      <c r="AB109" s="185" t="s">
        <v>18</v>
      </c>
      <c r="AC109" s="186" t="s">
        <v>21</v>
      </c>
      <c r="AD109" s="181" t="s">
        <v>1631</v>
      </c>
      <c r="AE109" s="179" t="s">
        <v>20</v>
      </c>
      <c r="AF109" s="181" t="s">
        <v>1613</v>
      </c>
      <c r="AG109" s="174" t="s">
        <v>990</v>
      </c>
      <c r="AH109" s="179">
        <v>35</v>
      </c>
      <c r="AI109" s="179">
        <f>VLOOKUP(K109,[1]TRAMO!$A:$B,2,0)</f>
        <v>3</v>
      </c>
      <c r="AJ109" s="200">
        <f t="shared" si="12"/>
        <v>1720</v>
      </c>
      <c r="AK109" s="183">
        <f t="shared" si="13"/>
        <v>7434</v>
      </c>
      <c r="AL109" s="179">
        <f t="shared" si="19"/>
        <v>34.4</v>
      </c>
      <c r="AM109" s="183">
        <v>60000</v>
      </c>
      <c r="AN109" s="183">
        <f t="shared" si="20"/>
        <v>1400000</v>
      </c>
      <c r="AO109" s="183">
        <f t="shared" si="14"/>
        <v>0</v>
      </c>
      <c r="AP109" s="183">
        <f t="shared" si="15"/>
        <v>0</v>
      </c>
      <c r="AQ109" s="183">
        <f t="shared" si="16"/>
        <v>12786480</v>
      </c>
      <c r="AR109" s="183"/>
      <c r="AS109" s="183">
        <f t="shared" si="17"/>
        <v>600000</v>
      </c>
      <c r="AT109" s="183">
        <f t="shared" si="18"/>
        <v>14786480</v>
      </c>
      <c r="AU109" s="175" t="s">
        <v>1632</v>
      </c>
      <c r="AV109" s="175" t="s">
        <v>1633</v>
      </c>
      <c r="AW109" s="175" t="s">
        <v>1634</v>
      </c>
      <c r="AX109" s="175" t="s">
        <v>1635</v>
      </c>
    </row>
    <row r="110" spans="1:50" s="179" customFormat="1" ht="24.95" hidden="1" customHeight="1" x14ac:dyDescent="0.25">
      <c r="A110" s="175">
        <v>14232</v>
      </c>
      <c r="B110" s="175" t="s">
        <v>86</v>
      </c>
      <c r="C110" s="175" t="s">
        <v>29</v>
      </c>
      <c r="D110" s="176">
        <v>1</v>
      </c>
      <c r="E110" s="176">
        <v>2025</v>
      </c>
      <c r="F110" s="176">
        <v>2025</v>
      </c>
      <c r="G110" s="175" t="s">
        <v>23</v>
      </c>
      <c r="H110" s="175" t="s">
        <v>86</v>
      </c>
      <c r="I110" s="175" t="s">
        <v>105</v>
      </c>
      <c r="J110" s="177" t="s">
        <v>740</v>
      </c>
      <c r="K110" s="175" t="s">
        <v>739</v>
      </c>
      <c r="L110" s="175" t="s">
        <v>407</v>
      </c>
      <c r="M110" s="175" t="s">
        <v>408</v>
      </c>
      <c r="N110" s="175">
        <v>5</v>
      </c>
      <c r="O110" s="175" t="s">
        <v>395</v>
      </c>
      <c r="P110" s="175" t="s">
        <v>1630</v>
      </c>
      <c r="Q110" s="175" t="s">
        <v>1201</v>
      </c>
      <c r="R110" s="175" t="s">
        <v>339</v>
      </c>
      <c r="S110" s="175" t="s">
        <v>22</v>
      </c>
      <c r="T110" s="175" t="s">
        <v>337</v>
      </c>
      <c r="U110" s="176">
        <v>10</v>
      </c>
      <c r="V110" s="176">
        <v>160</v>
      </c>
      <c r="W110" s="176">
        <v>12</v>
      </c>
      <c r="X110" s="179">
        <f t="shared" si="21"/>
        <v>172</v>
      </c>
      <c r="Y110" s="176">
        <v>5</v>
      </c>
      <c r="Z110" s="176" t="s">
        <v>20</v>
      </c>
      <c r="AA110" s="176" t="s">
        <v>18</v>
      </c>
      <c r="AB110" s="185" t="s">
        <v>18</v>
      </c>
      <c r="AC110" s="186" t="s">
        <v>21</v>
      </c>
      <c r="AD110" s="181" t="s">
        <v>1636</v>
      </c>
      <c r="AE110" s="179" t="s">
        <v>20</v>
      </c>
      <c r="AF110" s="181" t="s">
        <v>1613</v>
      </c>
      <c r="AG110" s="174" t="s">
        <v>990</v>
      </c>
      <c r="AH110" s="179">
        <v>35</v>
      </c>
      <c r="AI110" s="179">
        <f>VLOOKUP(K110,[1]TRAMO!$A:$B,2,0)</f>
        <v>3</v>
      </c>
      <c r="AJ110" s="200">
        <f t="shared" si="12"/>
        <v>1720</v>
      </c>
      <c r="AK110" s="183">
        <f t="shared" si="13"/>
        <v>7434</v>
      </c>
      <c r="AL110" s="179">
        <f t="shared" si="19"/>
        <v>34.4</v>
      </c>
      <c r="AM110" s="183">
        <v>60000</v>
      </c>
      <c r="AN110" s="183">
        <f t="shared" si="20"/>
        <v>1400000</v>
      </c>
      <c r="AO110" s="183">
        <f t="shared" si="14"/>
        <v>0</v>
      </c>
      <c r="AP110" s="183">
        <f t="shared" si="15"/>
        <v>0</v>
      </c>
      <c r="AQ110" s="183">
        <f t="shared" si="16"/>
        <v>12786480</v>
      </c>
      <c r="AR110" s="183"/>
      <c r="AS110" s="183">
        <f t="shared" si="17"/>
        <v>600000</v>
      </c>
      <c r="AT110" s="183">
        <f t="shared" si="18"/>
        <v>14786480</v>
      </c>
      <c r="AU110" s="175" t="s">
        <v>1632</v>
      </c>
      <c r="AV110" s="175" t="s">
        <v>1633</v>
      </c>
      <c r="AW110" s="175" t="s">
        <v>1634</v>
      </c>
      <c r="AX110" s="175" t="s">
        <v>1031</v>
      </c>
    </row>
    <row r="111" spans="1:50" s="179" customFormat="1" ht="24.95" hidden="1" customHeight="1" x14ac:dyDescent="0.25">
      <c r="A111" s="175">
        <v>14233</v>
      </c>
      <c r="B111" s="175" t="s">
        <v>86</v>
      </c>
      <c r="C111" s="175" t="s">
        <v>29</v>
      </c>
      <c r="D111" s="176">
        <v>1</v>
      </c>
      <c r="E111" s="176">
        <v>2025</v>
      </c>
      <c r="F111" s="176">
        <v>2025</v>
      </c>
      <c r="G111" s="175" t="s">
        <v>23</v>
      </c>
      <c r="H111" s="175" t="s">
        <v>86</v>
      </c>
      <c r="I111" s="175" t="s">
        <v>105</v>
      </c>
      <c r="J111" s="177" t="s">
        <v>740</v>
      </c>
      <c r="K111" s="175" t="s">
        <v>739</v>
      </c>
      <c r="L111" s="175" t="s">
        <v>407</v>
      </c>
      <c r="M111" s="175" t="s">
        <v>408</v>
      </c>
      <c r="N111" s="175">
        <v>13</v>
      </c>
      <c r="O111" s="175" t="s">
        <v>382</v>
      </c>
      <c r="P111" s="175" t="s">
        <v>416</v>
      </c>
      <c r="Q111" s="175" t="s">
        <v>1201</v>
      </c>
      <c r="R111" s="175" t="s">
        <v>339</v>
      </c>
      <c r="S111" s="175" t="s">
        <v>22</v>
      </c>
      <c r="T111" s="175" t="s">
        <v>337</v>
      </c>
      <c r="U111" s="176">
        <v>10</v>
      </c>
      <c r="V111" s="176">
        <v>160</v>
      </c>
      <c r="W111" s="176">
        <v>12</v>
      </c>
      <c r="X111" s="179">
        <f t="shared" si="21"/>
        <v>172</v>
      </c>
      <c r="Y111" s="176">
        <v>5</v>
      </c>
      <c r="Z111" s="176" t="s">
        <v>20</v>
      </c>
      <c r="AA111" s="176" t="s">
        <v>18</v>
      </c>
      <c r="AB111" s="185" t="s">
        <v>18</v>
      </c>
      <c r="AC111" s="186" t="s">
        <v>21</v>
      </c>
      <c r="AD111" s="181" t="s">
        <v>1636</v>
      </c>
      <c r="AE111" s="179" t="s">
        <v>20</v>
      </c>
      <c r="AF111" s="181" t="s">
        <v>1613</v>
      </c>
      <c r="AG111" s="174" t="s">
        <v>990</v>
      </c>
      <c r="AH111" s="179">
        <v>35</v>
      </c>
      <c r="AI111" s="179">
        <f>VLOOKUP(K111,[1]TRAMO!$A:$B,2,0)</f>
        <v>3</v>
      </c>
      <c r="AJ111" s="200">
        <f t="shared" si="12"/>
        <v>1720</v>
      </c>
      <c r="AK111" s="183">
        <f t="shared" si="13"/>
        <v>7434</v>
      </c>
      <c r="AL111" s="179">
        <f t="shared" si="19"/>
        <v>34.4</v>
      </c>
      <c r="AM111" s="183">
        <v>60000</v>
      </c>
      <c r="AN111" s="183">
        <f t="shared" si="20"/>
        <v>1400000</v>
      </c>
      <c r="AO111" s="183">
        <f t="shared" si="14"/>
        <v>0</v>
      </c>
      <c r="AP111" s="183">
        <f t="shared" si="15"/>
        <v>0</v>
      </c>
      <c r="AQ111" s="183">
        <f t="shared" si="16"/>
        <v>12786480</v>
      </c>
      <c r="AR111" s="183"/>
      <c r="AS111" s="183">
        <f t="shared" si="17"/>
        <v>600000</v>
      </c>
      <c r="AT111" s="183">
        <f t="shared" si="18"/>
        <v>14786480</v>
      </c>
      <c r="AU111" s="175" t="s">
        <v>1632</v>
      </c>
      <c r="AV111" s="175" t="s">
        <v>1633</v>
      </c>
      <c r="AW111" s="175" t="s">
        <v>1634</v>
      </c>
      <c r="AX111" s="175" t="s">
        <v>1635</v>
      </c>
    </row>
    <row r="112" spans="1:50" s="179" customFormat="1" ht="24.95" hidden="1" customHeight="1" x14ac:dyDescent="0.25">
      <c r="A112" s="175">
        <v>14234</v>
      </c>
      <c r="B112" s="175" t="s">
        <v>86</v>
      </c>
      <c r="C112" s="175" t="s">
        <v>29</v>
      </c>
      <c r="D112" s="176">
        <v>1</v>
      </c>
      <c r="E112" s="176">
        <v>2025</v>
      </c>
      <c r="F112" s="176">
        <v>2025</v>
      </c>
      <c r="G112" s="175" t="s">
        <v>23</v>
      </c>
      <c r="H112" s="175" t="s">
        <v>86</v>
      </c>
      <c r="I112" s="175" t="s">
        <v>105</v>
      </c>
      <c r="J112" s="177" t="s">
        <v>740</v>
      </c>
      <c r="K112" s="175" t="s">
        <v>739</v>
      </c>
      <c r="L112" s="175" t="s">
        <v>407</v>
      </c>
      <c r="M112" s="175" t="s">
        <v>408</v>
      </c>
      <c r="N112" s="175">
        <v>13</v>
      </c>
      <c r="O112" s="175" t="s">
        <v>382</v>
      </c>
      <c r="P112" s="175" t="s">
        <v>412</v>
      </c>
      <c r="Q112" s="175" t="s">
        <v>1201</v>
      </c>
      <c r="R112" s="175" t="s">
        <v>339</v>
      </c>
      <c r="S112" s="175" t="s">
        <v>22</v>
      </c>
      <c r="T112" s="175" t="s">
        <v>337</v>
      </c>
      <c r="U112" s="176">
        <v>10</v>
      </c>
      <c r="V112" s="176">
        <v>160</v>
      </c>
      <c r="W112" s="176">
        <v>12</v>
      </c>
      <c r="X112" s="179">
        <f t="shared" si="21"/>
        <v>172</v>
      </c>
      <c r="Y112" s="176">
        <v>5</v>
      </c>
      <c r="Z112" s="176" t="s">
        <v>20</v>
      </c>
      <c r="AA112" s="176" t="s">
        <v>18</v>
      </c>
      <c r="AB112" s="185" t="s">
        <v>18</v>
      </c>
      <c r="AC112" s="186" t="s">
        <v>21</v>
      </c>
      <c r="AD112" s="181" t="s">
        <v>1637</v>
      </c>
      <c r="AE112" s="179" t="s">
        <v>20</v>
      </c>
      <c r="AF112" s="181" t="s">
        <v>1613</v>
      </c>
      <c r="AG112" s="174" t="s">
        <v>990</v>
      </c>
      <c r="AH112" s="179">
        <v>35</v>
      </c>
      <c r="AI112" s="179">
        <f>VLOOKUP(K112,[1]TRAMO!$A:$B,2,0)</f>
        <v>3</v>
      </c>
      <c r="AJ112" s="200">
        <f t="shared" si="12"/>
        <v>1720</v>
      </c>
      <c r="AK112" s="183">
        <f t="shared" si="13"/>
        <v>7434</v>
      </c>
      <c r="AL112" s="179">
        <f t="shared" si="19"/>
        <v>34.4</v>
      </c>
      <c r="AM112" s="183">
        <v>60000</v>
      </c>
      <c r="AN112" s="183">
        <f t="shared" si="20"/>
        <v>1400000</v>
      </c>
      <c r="AO112" s="183">
        <f t="shared" si="14"/>
        <v>0</v>
      </c>
      <c r="AP112" s="183">
        <f t="shared" si="15"/>
        <v>0</v>
      </c>
      <c r="AQ112" s="183">
        <f t="shared" si="16"/>
        <v>12786480</v>
      </c>
      <c r="AR112" s="183"/>
      <c r="AS112" s="183">
        <f t="shared" si="17"/>
        <v>600000</v>
      </c>
      <c r="AT112" s="183">
        <f t="shared" si="18"/>
        <v>14786480</v>
      </c>
      <c r="AU112" s="175" t="s">
        <v>1632</v>
      </c>
      <c r="AV112" s="175" t="s">
        <v>1633</v>
      </c>
      <c r="AW112" s="175" t="s">
        <v>1634</v>
      </c>
      <c r="AX112" s="175" t="s">
        <v>1635</v>
      </c>
    </row>
    <row r="113" spans="1:50" s="179" customFormat="1" ht="24.95" hidden="1" customHeight="1" x14ac:dyDescent="0.25">
      <c r="A113" s="175">
        <v>14327</v>
      </c>
      <c r="B113" s="175" t="s">
        <v>86</v>
      </c>
      <c r="C113" s="175" t="s">
        <v>29</v>
      </c>
      <c r="D113" s="176">
        <v>1</v>
      </c>
      <c r="E113" s="176">
        <v>2025</v>
      </c>
      <c r="F113" s="176">
        <v>2025</v>
      </c>
      <c r="G113" s="175" t="s">
        <v>23</v>
      </c>
      <c r="H113" s="175" t="s">
        <v>86</v>
      </c>
      <c r="I113" s="175" t="s">
        <v>105</v>
      </c>
      <c r="J113" s="177" t="s">
        <v>1171</v>
      </c>
      <c r="K113" s="175" t="s">
        <v>1172</v>
      </c>
      <c r="L113" s="175" t="s">
        <v>21</v>
      </c>
      <c r="M113" s="175" t="s">
        <v>21</v>
      </c>
      <c r="N113" s="175">
        <v>13</v>
      </c>
      <c r="O113" s="175" t="s">
        <v>382</v>
      </c>
      <c r="P113" s="175" t="s">
        <v>402</v>
      </c>
      <c r="Q113" s="175" t="s">
        <v>1201</v>
      </c>
      <c r="R113" s="175" t="s">
        <v>339</v>
      </c>
      <c r="S113" s="175" t="s">
        <v>19</v>
      </c>
      <c r="T113" s="175" t="s">
        <v>337</v>
      </c>
      <c r="U113" s="176">
        <v>11</v>
      </c>
      <c r="V113" s="176">
        <v>120</v>
      </c>
      <c r="W113" s="176" t="s">
        <v>21</v>
      </c>
      <c r="X113" s="179">
        <f t="shared" si="21"/>
        <v>120</v>
      </c>
      <c r="Y113" s="176">
        <v>4</v>
      </c>
      <c r="Z113" s="176" t="s">
        <v>20</v>
      </c>
      <c r="AA113" s="176" t="s">
        <v>18</v>
      </c>
      <c r="AB113" s="185" t="s">
        <v>18</v>
      </c>
      <c r="AC113" s="186" t="s">
        <v>21</v>
      </c>
      <c r="AD113" s="181" t="s">
        <v>1743</v>
      </c>
      <c r="AE113" s="179" t="s">
        <v>18</v>
      </c>
      <c r="AF113" s="191"/>
      <c r="AG113" s="174" t="s">
        <v>990</v>
      </c>
      <c r="AH113" s="179">
        <v>30</v>
      </c>
      <c r="AI113" s="179">
        <v>2</v>
      </c>
      <c r="AJ113" s="200">
        <f t="shared" si="12"/>
        <v>1320</v>
      </c>
      <c r="AK113" s="183">
        <f t="shared" si="13"/>
        <v>6372</v>
      </c>
      <c r="AL113" s="179">
        <f t="shared" si="19"/>
        <v>30</v>
      </c>
      <c r="AM113" s="183">
        <v>0</v>
      </c>
      <c r="AN113" s="183">
        <f t="shared" si="20"/>
        <v>1320000</v>
      </c>
      <c r="AO113" s="183">
        <f t="shared" si="14"/>
        <v>0</v>
      </c>
      <c r="AP113" s="183">
        <f t="shared" si="15"/>
        <v>0</v>
      </c>
      <c r="AQ113" s="183">
        <f t="shared" si="16"/>
        <v>8411040</v>
      </c>
      <c r="AR113" s="183"/>
      <c r="AS113" s="183">
        <f t="shared" si="17"/>
        <v>0</v>
      </c>
      <c r="AT113" s="183">
        <f t="shared" si="18"/>
        <v>9731040</v>
      </c>
      <c r="AU113" s="175" t="s">
        <v>1744</v>
      </c>
      <c r="AV113" s="175" t="s">
        <v>1745</v>
      </c>
      <c r="AW113" s="175" t="s">
        <v>1746</v>
      </c>
      <c r="AX113" s="175" t="s">
        <v>1747</v>
      </c>
    </row>
    <row r="114" spans="1:50" s="179" customFormat="1" ht="24.95" hidden="1" customHeight="1" x14ac:dyDescent="0.25">
      <c r="A114" s="175">
        <v>14332</v>
      </c>
      <c r="B114" s="175" t="s">
        <v>86</v>
      </c>
      <c r="C114" s="175" t="s">
        <v>29</v>
      </c>
      <c r="D114" s="176">
        <v>1</v>
      </c>
      <c r="E114" s="176">
        <v>2025</v>
      </c>
      <c r="F114" s="176">
        <v>2025</v>
      </c>
      <c r="G114" s="175" t="s">
        <v>23</v>
      </c>
      <c r="H114" s="175" t="s">
        <v>86</v>
      </c>
      <c r="I114" s="175" t="s">
        <v>105</v>
      </c>
      <c r="J114" s="177" t="s">
        <v>802</v>
      </c>
      <c r="K114" s="175" t="s">
        <v>801</v>
      </c>
      <c r="L114" s="175" t="s">
        <v>21</v>
      </c>
      <c r="M114" s="175" t="s">
        <v>21</v>
      </c>
      <c r="N114" s="175">
        <v>13</v>
      </c>
      <c r="O114" s="175" t="s">
        <v>382</v>
      </c>
      <c r="P114" s="175" t="s">
        <v>919</v>
      </c>
      <c r="Q114" s="175" t="s">
        <v>702</v>
      </c>
      <c r="R114" s="175" t="s">
        <v>339</v>
      </c>
      <c r="S114" s="175" t="s">
        <v>22</v>
      </c>
      <c r="T114" s="175" t="s">
        <v>337</v>
      </c>
      <c r="U114" s="176">
        <v>10</v>
      </c>
      <c r="V114" s="176">
        <v>110</v>
      </c>
      <c r="W114" s="176" t="s">
        <v>21</v>
      </c>
      <c r="X114" s="179">
        <f t="shared" si="21"/>
        <v>110</v>
      </c>
      <c r="Y114" s="176">
        <v>4</v>
      </c>
      <c r="Z114" s="176" t="s">
        <v>20</v>
      </c>
      <c r="AA114" s="176" t="s">
        <v>18</v>
      </c>
      <c r="AB114" s="185" t="s">
        <v>18</v>
      </c>
      <c r="AC114" s="186" t="s">
        <v>21</v>
      </c>
      <c r="AD114" s="181" t="s">
        <v>1753</v>
      </c>
      <c r="AE114" s="179" t="s">
        <v>18</v>
      </c>
      <c r="AF114" s="191"/>
      <c r="AG114" s="174" t="s">
        <v>990</v>
      </c>
      <c r="AH114" s="179">
        <v>28</v>
      </c>
      <c r="AI114" s="179">
        <f>VLOOKUP(K114,[1]TRAMO!$A:$B,2,0)</f>
        <v>1</v>
      </c>
      <c r="AJ114" s="200">
        <f t="shared" si="12"/>
        <v>1100</v>
      </c>
      <c r="AK114" s="183">
        <f t="shared" si="13"/>
        <v>5074</v>
      </c>
      <c r="AL114" s="179">
        <f t="shared" si="19"/>
        <v>27.5</v>
      </c>
      <c r="AM114" s="183">
        <v>0</v>
      </c>
      <c r="AN114" s="183">
        <f t="shared" si="20"/>
        <v>1120000</v>
      </c>
      <c r="AO114" s="183">
        <f t="shared" si="14"/>
        <v>0</v>
      </c>
      <c r="AP114" s="183">
        <f t="shared" si="15"/>
        <v>0</v>
      </c>
      <c r="AQ114" s="183">
        <f t="shared" si="16"/>
        <v>5581400</v>
      </c>
      <c r="AR114" s="183"/>
      <c r="AS114" s="183">
        <f t="shared" si="17"/>
        <v>0</v>
      </c>
      <c r="AT114" s="183">
        <f t="shared" si="18"/>
        <v>6701400</v>
      </c>
      <c r="AU114" s="175" t="s">
        <v>1754</v>
      </c>
      <c r="AV114" s="175" t="s">
        <v>1755</v>
      </c>
      <c r="AW114" s="175" t="s">
        <v>1756</v>
      </c>
      <c r="AX114" s="175" t="s">
        <v>1040</v>
      </c>
    </row>
    <row r="115" spans="1:50" s="179" customFormat="1" ht="24.95" hidden="1" customHeight="1" x14ac:dyDescent="0.25">
      <c r="A115" s="175">
        <v>14344</v>
      </c>
      <c r="B115" s="175" t="s">
        <v>86</v>
      </c>
      <c r="C115" s="175" t="s">
        <v>29</v>
      </c>
      <c r="D115" s="176">
        <v>1</v>
      </c>
      <c r="E115" s="176">
        <v>2025</v>
      </c>
      <c r="F115" s="176">
        <v>2025</v>
      </c>
      <c r="G115" s="175" t="s">
        <v>23</v>
      </c>
      <c r="H115" s="175" t="s">
        <v>86</v>
      </c>
      <c r="I115" s="175" t="s">
        <v>105</v>
      </c>
      <c r="J115" s="177" t="s">
        <v>802</v>
      </c>
      <c r="K115" s="175" t="s">
        <v>801</v>
      </c>
      <c r="L115" s="175" t="s">
        <v>21</v>
      </c>
      <c r="M115" s="175" t="s">
        <v>21</v>
      </c>
      <c r="N115" s="175">
        <v>13</v>
      </c>
      <c r="O115" s="175" t="s">
        <v>382</v>
      </c>
      <c r="P115" s="175" t="s">
        <v>1757</v>
      </c>
      <c r="Q115" s="175" t="s">
        <v>1201</v>
      </c>
      <c r="R115" s="175" t="s">
        <v>339</v>
      </c>
      <c r="S115" s="175" t="s">
        <v>22</v>
      </c>
      <c r="T115" s="175" t="s">
        <v>337</v>
      </c>
      <c r="U115" s="176">
        <v>20</v>
      </c>
      <c r="V115" s="176">
        <v>110</v>
      </c>
      <c r="W115" s="176" t="s">
        <v>21</v>
      </c>
      <c r="X115" s="179">
        <f t="shared" si="21"/>
        <v>110</v>
      </c>
      <c r="Y115" s="176">
        <v>4</v>
      </c>
      <c r="Z115" s="176" t="s">
        <v>20</v>
      </c>
      <c r="AA115" s="176" t="s">
        <v>18</v>
      </c>
      <c r="AB115" s="185" t="s">
        <v>18</v>
      </c>
      <c r="AC115" s="186" t="s">
        <v>21</v>
      </c>
      <c r="AD115" s="181" t="s">
        <v>1753</v>
      </c>
      <c r="AE115" s="179" t="s">
        <v>18</v>
      </c>
      <c r="AF115" s="191"/>
      <c r="AG115" s="174" t="s">
        <v>990</v>
      </c>
      <c r="AH115" s="179">
        <v>28</v>
      </c>
      <c r="AI115" s="179">
        <f>VLOOKUP(K115,[1]TRAMO!$A:$B,2,0)</f>
        <v>1</v>
      </c>
      <c r="AJ115" s="200">
        <f t="shared" si="12"/>
        <v>2200</v>
      </c>
      <c r="AK115" s="183">
        <f t="shared" si="13"/>
        <v>5074</v>
      </c>
      <c r="AL115" s="179">
        <f t="shared" si="19"/>
        <v>27.5</v>
      </c>
      <c r="AM115" s="183">
        <v>0</v>
      </c>
      <c r="AN115" s="183">
        <f t="shared" si="20"/>
        <v>2240000</v>
      </c>
      <c r="AO115" s="183">
        <f t="shared" si="14"/>
        <v>0</v>
      </c>
      <c r="AP115" s="183">
        <f t="shared" si="15"/>
        <v>0</v>
      </c>
      <c r="AQ115" s="183">
        <f t="shared" si="16"/>
        <v>11162800</v>
      </c>
      <c r="AR115" s="183"/>
      <c r="AS115" s="183">
        <f t="shared" si="17"/>
        <v>0</v>
      </c>
      <c r="AT115" s="183">
        <f t="shared" si="18"/>
        <v>13402800</v>
      </c>
      <c r="AU115" s="175" t="s">
        <v>1758</v>
      </c>
      <c r="AV115" s="175" t="s">
        <v>1759</v>
      </c>
      <c r="AW115" s="175" t="s">
        <v>1760</v>
      </c>
      <c r="AX115" s="175" t="s">
        <v>1761</v>
      </c>
    </row>
    <row r="116" spans="1:50" s="179" customFormat="1" ht="24.95" hidden="1" customHeight="1" x14ac:dyDescent="0.25">
      <c r="A116" s="175">
        <v>14419</v>
      </c>
      <c r="B116" s="175" t="s">
        <v>86</v>
      </c>
      <c r="C116" s="175" t="s">
        <v>29</v>
      </c>
      <c r="D116" s="176">
        <v>1</v>
      </c>
      <c r="E116" s="176">
        <v>2025</v>
      </c>
      <c r="F116" s="176">
        <v>2025</v>
      </c>
      <c r="G116" s="175" t="s">
        <v>23</v>
      </c>
      <c r="H116" s="175" t="s">
        <v>86</v>
      </c>
      <c r="I116" s="175" t="s">
        <v>105</v>
      </c>
      <c r="J116" s="177" t="s">
        <v>1762</v>
      </c>
      <c r="K116" s="175" t="s">
        <v>1763</v>
      </c>
      <c r="L116" s="175" t="s">
        <v>21</v>
      </c>
      <c r="M116" s="175" t="s">
        <v>21</v>
      </c>
      <c r="N116" s="175">
        <v>9</v>
      </c>
      <c r="O116" s="175" t="s">
        <v>424</v>
      </c>
      <c r="P116" s="175" t="s">
        <v>834</v>
      </c>
      <c r="Q116" s="175" t="s">
        <v>1504</v>
      </c>
      <c r="R116" s="175" t="s">
        <v>339</v>
      </c>
      <c r="S116" s="175" t="s">
        <v>22</v>
      </c>
      <c r="T116" s="175" t="s">
        <v>337</v>
      </c>
      <c r="U116" s="176">
        <v>10</v>
      </c>
      <c r="V116" s="176">
        <v>109</v>
      </c>
      <c r="W116" s="176" t="s">
        <v>21</v>
      </c>
      <c r="X116" s="179">
        <f t="shared" si="21"/>
        <v>109</v>
      </c>
      <c r="Y116" s="176">
        <v>4</v>
      </c>
      <c r="Z116" s="176" t="s">
        <v>20</v>
      </c>
      <c r="AA116" s="176" t="s">
        <v>18</v>
      </c>
      <c r="AB116" s="185" t="s">
        <v>18</v>
      </c>
      <c r="AC116" s="186" t="s">
        <v>21</v>
      </c>
      <c r="AD116" s="181" t="s">
        <v>1764</v>
      </c>
      <c r="AE116" s="179" t="s">
        <v>18</v>
      </c>
      <c r="AF116" s="191"/>
      <c r="AG116" s="174" t="s">
        <v>990</v>
      </c>
      <c r="AH116" s="179">
        <v>28</v>
      </c>
      <c r="AI116" s="179">
        <v>2</v>
      </c>
      <c r="AJ116" s="200">
        <f t="shared" si="12"/>
        <v>1090</v>
      </c>
      <c r="AK116" s="183">
        <f t="shared" si="13"/>
        <v>6372</v>
      </c>
      <c r="AL116" s="179">
        <f t="shared" si="19"/>
        <v>27.25</v>
      </c>
      <c r="AM116" s="183">
        <v>0</v>
      </c>
      <c r="AN116" s="183">
        <f t="shared" si="20"/>
        <v>1120000</v>
      </c>
      <c r="AO116" s="183">
        <f t="shared" si="14"/>
        <v>0</v>
      </c>
      <c r="AP116" s="183">
        <f t="shared" si="15"/>
        <v>0</v>
      </c>
      <c r="AQ116" s="183">
        <f t="shared" si="16"/>
        <v>6945480</v>
      </c>
      <c r="AR116" s="183"/>
      <c r="AS116" s="183">
        <f t="shared" si="17"/>
        <v>0</v>
      </c>
      <c r="AT116" s="183">
        <f t="shared" si="18"/>
        <v>8065480</v>
      </c>
      <c r="AU116" s="175" t="s">
        <v>1765</v>
      </c>
      <c r="AV116" s="175" t="s">
        <v>1766</v>
      </c>
      <c r="AW116" s="175" t="s">
        <v>1508</v>
      </c>
      <c r="AX116" s="175" t="s">
        <v>1767</v>
      </c>
    </row>
    <row r="117" spans="1:50" s="179" customFormat="1" ht="24.95" hidden="1" customHeight="1" x14ac:dyDescent="0.25">
      <c r="A117" s="175">
        <v>14352</v>
      </c>
      <c r="B117" s="175" t="s">
        <v>86</v>
      </c>
      <c r="C117" s="175" t="s">
        <v>29</v>
      </c>
      <c r="D117" s="176">
        <v>1</v>
      </c>
      <c r="E117" s="176">
        <v>2025</v>
      </c>
      <c r="F117" s="176">
        <v>2025</v>
      </c>
      <c r="G117" s="175" t="s">
        <v>23</v>
      </c>
      <c r="H117" s="175" t="s">
        <v>86</v>
      </c>
      <c r="I117" s="175" t="s">
        <v>105</v>
      </c>
      <c r="J117" s="177" t="s">
        <v>1774</v>
      </c>
      <c r="K117" s="175" t="s">
        <v>1775</v>
      </c>
      <c r="L117" s="175" t="s">
        <v>407</v>
      </c>
      <c r="M117" s="175" t="s">
        <v>408</v>
      </c>
      <c r="N117" s="175">
        <v>5</v>
      </c>
      <c r="O117" s="175" t="s">
        <v>395</v>
      </c>
      <c r="P117" s="175" t="s">
        <v>794</v>
      </c>
      <c r="Q117" s="175" t="s">
        <v>1504</v>
      </c>
      <c r="R117" s="175" t="s">
        <v>339</v>
      </c>
      <c r="S117" s="175" t="s">
        <v>22</v>
      </c>
      <c r="T117" s="175" t="s">
        <v>337</v>
      </c>
      <c r="U117" s="176">
        <v>10</v>
      </c>
      <c r="V117" s="176">
        <v>80</v>
      </c>
      <c r="W117" s="176">
        <v>12</v>
      </c>
      <c r="X117" s="179">
        <f t="shared" si="21"/>
        <v>92</v>
      </c>
      <c r="Y117" s="176">
        <v>4</v>
      </c>
      <c r="Z117" s="176" t="s">
        <v>20</v>
      </c>
      <c r="AA117" s="176" t="s">
        <v>18</v>
      </c>
      <c r="AB117" s="185" t="s">
        <v>18</v>
      </c>
      <c r="AC117" s="186" t="s">
        <v>21</v>
      </c>
      <c r="AD117" s="181" t="s">
        <v>1781</v>
      </c>
      <c r="AE117" s="179" t="s">
        <v>18</v>
      </c>
      <c r="AF117" s="191"/>
      <c r="AG117" s="174" t="s">
        <v>990</v>
      </c>
      <c r="AH117" s="179">
        <v>23</v>
      </c>
      <c r="AI117" s="179">
        <v>2</v>
      </c>
      <c r="AJ117" s="200">
        <f t="shared" si="12"/>
        <v>920</v>
      </c>
      <c r="AK117" s="183">
        <f t="shared" si="13"/>
        <v>6372</v>
      </c>
      <c r="AL117" s="179">
        <f t="shared" si="19"/>
        <v>23</v>
      </c>
      <c r="AM117" s="183">
        <v>0</v>
      </c>
      <c r="AN117" s="183">
        <f t="shared" si="20"/>
        <v>920000</v>
      </c>
      <c r="AO117" s="183">
        <f t="shared" si="14"/>
        <v>0</v>
      </c>
      <c r="AP117" s="183">
        <f t="shared" si="15"/>
        <v>0</v>
      </c>
      <c r="AQ117" s="183">
        <f t="shared" si="16"/>
        <v>5862240</v>
      </c>
      <c r="AR117" s="183"/>
      <c r="AS117" s="183">
        <f t="shared" si="17"/>
        <v>0</v>
      </c>
      <c r="AT117" s="183">
        <f t="shared" si="18"/>
        <v>6782240</v>
      </c>
      <c r="AU117" s="175" t="s">
        <v>1506</v>
      </c>
      <c r="AV117" s="175" t="s">
        <v>1507</v>
      </c>
      <c r="AW117" s="175" t="s">
        <v>1508</v>
      </c>
      <c r="AX117" s="175" t="s">
        <v>1767</v>
      </c>
    </row>
    <row r="118" spans="1:50" s="179" customFormat="1" ht="24.95" hidden="1" customHeight="1" x14ac:dyDescent="0.25">
      <c r="A118" s="175">
        <v>14431</v>
      </c>
      <c r="B118" s="175" t="s">
        <v>86</v>
      </c>
      <c r="C118" s="175" t="s">
        <v>29</v>
      </c>
      <c r="D118" s="176">
        <v>1</v>
      </c>
      <c r="E118" s="176">
        <v>2025</v>
      </c>
      <c r="F118" s="176">
        <v>2025</v>
      </c>
      <c r="G118" s="175" t="s">
        <v>23</v>
      </c>
      <c r="H118" s="175" t="s">
        <v>86</v>
      </c>
      <c r="I118" s="175" t="s">
        <v>105</v>
      </c>
      <c r="J118" s="177" t="s">
        <v>1774</v>
      </c>
      <c r="K118" s="175" t="s">
        <v>1775</v>
      </c>
      <c r="L118" s="175" t="s">
        <v>407</v>
      </c>
      <c r="M118" s="175" t="s">
        <v>408</v>
      </c>
      <c r="N118" s="175">
        <v>13</v>
      </c>
      <c r="O118" s="175" t="s">
        <v>382</v>
      </c>
      <c r="P118" s="175" t="s">
        <v>416</v>
      </c>
      <c r="Q118" s="175" t="s">
        <v>1504</v>
      </c>
      <c r="R118" s="175" t="s">
        <v>339</v>
      </c>
      <c r="S118" s="175" t="s">
        <v>22</v>
      </c>
      <c r="T118" s="175" t="s">
        <v>337</v>
      </c>
      <c r="U118" s="176">
        <v>10</v>
      </c>
      <c r="V118" s="176">
        <v>80</v>
      </c>
      <c r="W118" s="176">
        <v>12</v>
      </c>
      <c r="X118" s="179">
        <f t="shared" si="21"/>
        <v>92</v>
      </c>
      <c r="Y118" s="176">
        <v>4</v>
      </c>
      <c r="Z118" s="176" t="s">
        <v>20</v>
      </c>
      <c r="AA118" s="176" t="s">
        <v>18</v>
      </c>
      <c r="AB118" s="185" t="s">
        <v>18</v>
      </c>
      <c r="AC118" s="186" t="s">
        <v>21</v>
      </c>
      <c r="AD118" s="181" t="s">
        <v>1782</v>
      </c>
      <c r="AE118" s="179" t="s">
        <v>18</v>
      </c>
      <c r="AF118" s="191"/>
      <c r="AG118" s="174" t="s">
        <v>990</v>
      </c>
      <c r="AH118" s="179">
        <v>23</v>
      </c>
      <c r="AI118" s="179">
        <v>2</v>
      </c>
      <c r="AJ118" s="200">
        <f t="shared" si="12"/>
        <v>920</v>
      </c>
      <c r="AK118" s="183">
        <f t="shared" si="13"/>
        <v>6372</v>
      </c>
      <c r="AL118" s="179">
        <f t="shared" si="19"/>
        <v>23</v>
      </c>
      <c r="AM118" s="183">
        <v>0</v>
      </c>
      <c r="AN118" s="183">
        <f t="shared" si="20"/>
        <v>920000</v>
      </c>
      <c r="AO118" s="183">
        <f t="shared" si="14"/>
        <v>0</v>
      </c>
      <c r="AP118" s="183">
        <f t="shared" si="15"/>
        <v>0</v>
      </c>
      <c r="AQ118" s="183">
        <f t="shared" si="16"/>
        <v>5862240</v>
      </c>
      <c r="AR118" s="183"/>
      <c r="AS118" s="183">
        <f t="shared" si="17"/>
        <v>0</v>
      </c>
      <c r="AT118" s="183">
        <f t="shared" si="18"/>
        <v>6782240</v>
      </c>
      <c r="AU118" s="175" t="s">
        <v>1765</v>
      </c>
      <c r="AV118" s="175" t="s">
        <v>1766</v>
      </c>
      <c r="AW118" s="175" t="s">
        <v>1508</v>
      </c>
      <c r="AX118" s="175" t="s">
        <v>1509</v>
      </c>
    </row>
    <row r="119" spans="1:50" s="179" customFormat="1" ht="24.95" hidden="1" customHeight="1" x14ac:dyDescent="0.25">
      <c r="A119" s="175">
        <v>14428</v>
      </c>
      <c r="B119" s="175" t="s">
        <v>86</v>
      </c>
      <c r="C119" s="175" t="s">
        <v>29</v>
      </c>
      <c r="D119" s="176">
        <v>1</v>
      </c>
      <c r="E119" s="176">
        <v>2025</v>
      </c>
      <c r="F119" s="176">
        <v>2025</v>
      </c>
      <c r="G119" s="175" t="s">
        <v>23</v>
      </c>
      <c r="H119" s="175" t="s">
        <v>86</v>
      </c>
      <c r="I119" s="175" t="s">
        <v>105</v>
      </c>
      <c r="J119" s="177" t="s">
        <v>718</v>
      </c>
      <c r="K119" s="175" t="s">
        <v>719</v>
      </c>
      <c r="L119" s="175" t="s">
        <v>407</v>
      </c>
      <c r="M119" s="175" t="s">
        <v>408</v>
      </c>
      <c r="N119" s="175">
        <v>13</v>
      </c>
      <c r="O119" s="175" t="s">
        <v>382</v>
      </c>
      <c r="P119" s="175" t="s">
        <v>416</v>
      </c>
      <c r="Q119" s="175" t="s">
        <v>1504</v>
      </c>
      <c r="R119" s="175" t="s">
        <v>339</v>
      </c>
      <c r="S119" s="175" t="s">
        <v>22</v>
      </c>
      <c r="T119" s="175" t="s">
        <v>337</v>
      </c>
      <c r="U119" s="176">
        <v>10</v>
      </c>
      <c r="V119" s="176">
        <v>90</v>
      </c>
      <c r="W119" s="176">
        <v>12</v>
      </c>
      <c r="X119" s="179">
        <f t="shared" si="21"/>
        <v>102</v>
      </c>
      <c r="Y119" s="176">
        <v>4</v>
      </c>
      <c r="Z119" s="176" t="s">
        <v>20</v>
      </c>
      <c r="AA119" s="176" t="s">
        <v>18</v>
      </c>
      <c r="AB119" s="185" t="s">
        <v>18</v>
      </c>
      <c r="AC119" s="186" t="s">
        <v>21</v>
      </c>
      <c r="AD119" s="181" t="s">
        <v>1781</v>
      </c>
      <c r="AE119" s="179" t="s">
        <v>18</v>
      </c>
      <c r="AF119" s="191"/>
      <c r="AG119" s="174" t="s">
        <v>990</v>
      </c>
      <c r="AH119" s="179">
        <v>26</v>
      </c>
      <c r="AI119" s="179">
        <f>VLOOKUP(K119,[1]TRAMO!$A:$B,2,0)</f>
        <v>2</v>
      </c>
      <c r="AJ119" s="200">
        <f t="shared" si="12"/>
        <v>1020</v>
      </c>
      <c r="AK119" s="183">
        <f t="shared" si="13"/>
        <v>6372</v>
      </c>
      <c r="AL119" s="179">
        <f t="shared" si="19"/>
        <v>25.5</v>
      </c>
      <c r="AM119" s="183">
        <v>0</v>
      </c>
      <c r="AN119" s="183">
        <f t="shared" si="20"/>
        <v>1040000</v>
      </c>
      <c r="AO119" s="183">
        <f t="shared" si="14"/>
        <v>0</v>
      </c>
      <c r="AP119" s="183">
        <f t="shared" si="15"/>
        <v>0</v>
      </c>
      <c r="AQ119" s="183">
        <f t="shared" si="16"/>
        <v>6499440</v>
      </c>
      <c r="AR119" s="183"/>
      <c r="AS119" s="183">
        <f t="shared" si="17"/>
        <v>0</v>
      </c>
      <c r="AT119" s="183">
        <f t="shared" si="18"/>
        <v>7539440</v>
      </c>
      <c r="AU119" s="175" t="s">
        <v>1765</v>
      </c>
      <c r="AV119" s="175" t="s">
        <v>1766</v>
      </c>
      <c r="AW119" s="175" t="s">
        <v>1508</v>
      </c>
      <c r="AX119" s="175" t="s">
        <v>1767</v>
      </c>
    </row>
    <row r="120" spans="1:50" s="179" customFormat="1" ht="24.95" hidden="1" customHeight="1" x14ac:dyDescent="0.25">
      <c r="A120" s="175">
        <v>14355</v>
      </c>
      <c r="B120" s="175" t="s">
        <v>86</v>
      </c>
      <c r="C120" s="175" t="s">
        <v>29</v>
      </c>
      <c r="D120" s="176">
        <v>1</v>
      </c>
      <c r="E120" s="176">
        <v>2025</v>
      </c>
      <c r="F120" s="176">
        <v>2025</v>
      </c>
      <c r="G120" s="175" t="s">
        <v>23</v>
      </c>
      <c r="H120" s="175" t="s">
        <v>86</v>
      </c>
      <c r="I120" s="175" t="s">
        <v>105</v>
      </c>
      <c r="J120" s="177" t="s">
        <v>1836</v>
      </c>
      <c r="K120" s="175" t="s">
        <v>1837</v>
      </c>
      <c r="L120" s="175" t="s">
        <v>407</v>
      </c>
      <c r="M120" s="175" t="s">
        <v>408</v>
      </c>
      <c r="N120" s="175">
        <v>6</v>
      </c>
      <c r="O120" s="175" t="s">
        <v>796</v>
      </c>
      <c r="P120" s="175" t="s">
        <v>858</v>
      </c>
      <c r="Q120" s="175" t="s">
        <v>1504</v>
      </c>
      <c r="R120" s="175" t="s">
        <v>339</v>
      </c>
      <c r="S120" s="175" t="s">
        <v>22</v>
      </c>
      <c r="T120" s="175" t="s">
        <v>337</v>
      </c>
      <c r="U120" s="176">
        <v>10</v>
      </c>
      <c r="V120" s="176">
        <v>80</v>
      </c>
      <c r="W120" s="176">
        <v>12</v>
      </c>
      <c r="X120" s="179">
        <f t="shared" si="21"/>
        <v>92</v>
      </c>
      <c r="Y120" s="176">
        <v>4</v>
      </c>
      <c r="Z120" s="176" t="s">
        <v>20</v>
      </c>
      <c r="AA120" s="176" t="s">
        <v>18</v>
      </c>
      <c r="AB120" s="185" t="s">
        <v>18</v>
      </c>
      <c r="AC120" s="186" t="s">
        <v>21</v>
      </c>
      <c r="AD120" s="181" t="s">
        <v>1846</v>
      </c>
      <c r="AE120" s="179" t="s">
        <v>18</v>
      </c>
      <c r="AF120" s="191"/>
      <c r="AG120" s="174" t="s">
        <v>990</v>
      </c>
      <c r="AH120" s="179">
        <v>23</v>
      </c>
      <c r="AI120" s="179">
        <f>VLOOKUP(K120,[1]TRAMO!$A:$B,2,0)</f>
        <v>3</v>
      </c>
      <c r="AJ120" s="200">
        <f t="shared" si="12"/>
        <v>920</v>
      </c>
      <c r="AK120" s="183">
        <f t="shared" si="13"/>
        <v>7434</v>
      </c>
      <c r="AL120" s="179">
        <f t="shared" si="19"/>
        <v>23</v>
      </c>
      <c r="AM120" s="183">
        <v>0</v>
      </c>
      <c r="AN120" s="183">
        <f t="shared" si="20"/>
        <v>920000</v>
      </c>
      <c r="AO120" s="183">
        <f t="shared" si="14"/>
        <v>0</v>
      </c>
      <c r="AP120" s="183">
        <f t="shared" si="15"/>
        <v>0</v>
      </c>
      <c r="AQ120" s="183">
        <f t="shared" si="16"/>
        <v>6839280</v>
      </c>
      <c r="AR120" s="183"/>
      <c r="AS120" s="183">
        <f t="shared" si="17"/>
        <v>0</v>
      </c>
      <c r="AT120" s="183">
        <f t="shared" si="18"/>
        <v>7759280</v>
      </c>
      <c r="AU120" s="175" t="s">
        <v>1506</v>
      </c>
      <c r="AV120" s="175" t="s">
        <v>1507</v>
      </c>
      <c r="AW120" s="175" t="s">
        <v>1508</v>
      </c>
      <c r="AX120" s="175" t="s">
        <v>1509</v>
      </c>
    </row>
    <row r="121" spans="1:50" s="179" customFormat="1" ht="24.95" hidden="1" customHeight="1" x14ac:dyDescent="0.25">
      <c r="A121" s="175">
        <v>14357</v>
      </c>
      <c r="B121" s="175" t="s">
        <v>86</v>
      </c>
      <c r="C121" s="175" t="s">
        <v>29</v>
      </c>
      <c r="D121" s="176">
        <v>1</v>
      </c>
      <c r="E121" s="176">
        <v>2025</v>
      </c>
      <c r="F121" s="176">
        <v>2025</v>
      </c>
      <c r="G121" s="175" t="s">
        <v>23</v>
      </c>
      <c r="H121" s="175" t="s">
        <v>86</v>
      </c>
      <c r="I121" s="175" t="s">
        <v>105</v>
      </c>
      <c r="J121" s="177" t="s">
        <v>1003</v>
      </c>
      <c r="K121" s="175" t="s">
        <v>1004</v>
      </c>
      <c r="L121" s="175" t="s">
        <v>21</v>
      </c>
      <c r="M121" s="175" t="s">
        <v>21</v>
      </c>
      <c r="N121" s="175">
        <v>7</v>
      </c>
      <c r="O121" s="175" t="s">
        <v>428</v>
      </c>
      <c r="P121" s="175" t="s">
        <v>419</v>
      </c>
      <c r="Q121" s="175" t="s">
        <v>1504</v>
      </c>
      <c r="R121" s="175" t="s">
        <v>339</v>
      </c>
      <c r="S121" s="175" t="s">
        <v>22</v>
      </c>
      <c r="T121" s="175" t="s">
        <v>337</v>
      </c>
      <c r="U121" s="176">
        <v>10</v>
      </c>
      <c r="V121" s="176">
        <v>100</v>
      </c>
      <c r="W121" s="176" t="s">
        <v>21</v>
      </c>
      <c r="X121" s="179">
        <f t="shared" si="21"/>
        <v>100</v>
      </c>
      <c r="Y121" s="176">
        <v>4</v>
      </c>
      <c r="Z121" s="176" t="s">
        <v>20</v>
      </c>
      <c r="AA121" s="176" t="s">
        <v>18</v>
      </c>
      <c r="AB121" s="185" t="s">
        <v>18</v>
      </c>
      <c r="AC121" s="186" t="s">
        <v>21</v>
      </c>
      <c r="AD121" s="181" t="s">
        <v>1846</v>
      </c>
      <c r="AE121" s="179" t="s">
        <v>18</v>
      </c>
      <c r="AF121" s="191"/>
      <c r="AG121" s="174" t="s">
        <v>990</v>
      </c>
      <c r="AH121" s="179">
        <v>25</v>
      </c>
      <c r="AI121" s="179">
        <f>VLOOKUP(K121,[1]TRAMO!$A:$B,2,0)</f>
        <v>3</v>
      </c>
      <c r="AJ121" s="200">
        <f t="shared" si="12"/>
        <v>1000</v>
      </c>
      <c r="AK121" s="183">
        <f t="shared" si="13"/>
        <v>7434</v>
      </c>
      <c r="AL121" s="179">
        <f t="shared" si="19"/>
        <v>25</v>
      </c>
      <c r="AM121" s="183">
        <v>0</v>
      </c>
      <c r="AN121" s="183">
        <f t="shared" si="20"/>
        <v>1000000</v>
      </c>
      <c r="AO121" s="183">
        <f t="shared" si="14"/>
        <v>0</v>
      </c>
      <c r="AP121" s="183">
        <f t="shared" si="15"/>
        <v>0</v>
      </c>
      <c r="AQ121" s="183">
        <f t="shared" si="16"/>
        <v>7434000</v>
      </c>
      <c r="AR121" s="183"/>
      <c r="AS121" s="183">
        <f t="shared" si="17"/>
        <v>0</v>
      </c>
      <c r="AT121" s="183">
        <f t="shared" si="18"/>
        <v>8434000</v>
      </c>
      <c r="AU121" s="175" t="s">
        <v>1765</v>
      </c>
      <c r="AV121" s="175" t="s">
        <v>1766</v>
      </c>
      <c r="AW121" s="175" t="s">
        <v>1508</v>
      </c>
      <c r="AX121" s="175" t="s">
        <v>1767</v>
      </c>
    </row>
    <row r="122" spans="1:50" s="179" customFormat="1" ht="24.95" hidden="1" customHeight="1" x14ac:dyDescent="0.25">
      <c r="A122" s="175">
        <v>14383</v>
      </c>
      <c r="B122" s="175" t="s">
        <v>86</v>
      </c>
      <c r="C122" s="175" t="s">
        <v>29</v>
      </c>
      <c r="D122" s="176">
        <v>1</v>
      </c>
      <c r="E122" s="176">
        <v>2025</v>
      </c>
      <c r="F122" s="176">
        <v>2025</v>
      </c>
      <c r="G122" s="175" t="s">
        <v>23</v>
      </c>
      <c r="H122" s="175" t="s">
        <v>86</v>
      </c>
      <c r="I122" s="175" t="s">
        <v>105</v>
      </c>
      <c r="J122" s="177" t="s">
        <v>1003</v>
      </c>
      <c r="K122" s="175" t="s">
        <v>1004</v>
      </c>
      <c r="L122" s="175" t="s">
        <v>21</v>
      </c>
      <c r="M122" s="175" t="s">
        <v>21</v>
      </c>
      <c r="N122" s="175">
        <v>8</v>
      </c>
      <c r="O122" s="175" t="s">
        <v>709</v>
      </c>
      <c r="P122" s="175" t="s">
        <v>755</v>
      </c>
      <c r="Q122" s="175" t="s">
        <v>1504</v>
      </c>
      <c r="R122" s="175" t="s">
        <v>339</v>
      </c>
      <c r="S122" s="175" t="s">
        <v>22</v>
      </c>
      <c r="T122" s="175" t="s">
        <v>337</v>
      </c>
      <c r="U122" s="176">
        <v>10</v>
      </c>
      <c r="V122" s="176">
        <v>100</v>
      </c>
      <c r="W122" s="176" t="s">
        <v>21</v>
      </c>
      <c r="X122" s="179">
        <f t="shared" si="21"/>
        <v>100</v>
      </c>
      <c r="Y122" s="176">
        <v>4</v>
      </c>
      <c r="Z122" s="176" t="s">
        <v>20</v>
      </c>
      <c r="AA122" s="176" t="s">
        <v>18</v>
      </c>
      <c r="AB122" s="185" t="s">
        <v>18</v>
      </c>
      <c r="AC122" s="186" t="s">
        <v>21</v>
      </c>
      <c r="AD122" s="181" t="s">
        <v>1846</v>
      </c>
      <c r="AE122" s="179" t="s">
        <v>18</v>
      </c>
      <c r="AF122" s="191"/>
      <c r="AG122" s="174" t="s">
        <v>990</v>
      </c>
      <c r="AH122" s="179">
        <v>25</v>
      </c>
      <c r="AI122" s="179">
        <f>VLOOKUP(K122,[1]TRAMO!$A:$B,2,0)</f>
        <v>3</v>
      </c>
      <c r="AJ122" s="200">
        <f t="shared" si="12"/>
        <v>1000</v>
      </c>
      <c r="AK122" s="183">
        <f t="shared" si="13"/>
        <v>7434</v>
      </c>
      <c r="AL122" s="179">
        <f t="shared" si="19"/>
        <v>25</v>
      </c>
      <c r="AM122" s="183">
        <v>0</v>
      </c>
      <c r="AN122" s="183">
        <f t="shared" si="20"/>
        <v>1000000</v>
      </c>
      <c r="AO122" s="183">
        <f t="shared" si="14"/>
        <v>0</v>
      </c>
      <c r="AP122" s="183">
        <f t="shared" si="15"/>
        <v>0</v>
      </c>
      <c r="AQ122" s="183">
        <f t="shared" si="16"/>
        <v>7434000</v>
      </c>
      <c r="AR122" s="183"/>
      <c r="AS122" s="183">
        <f t="shared" si="17"/>
        <v>0</v>
      </c>
      <c r="AT122" s="183">
        <f t="shared" si="18"/>
        <v>8434000</v>
      </c>
      <c r="AU122" s="175" t="s">
        <v>1765</v>
      </c>
      <c r="AV122" s="175" t="s">
        <v>1766</v>
      </c>
      <c r="AW122" s="175" t="s">
        <v>1508</v>
      </c>
      <c r="AX122" s="175" t="s">
        <v>1509</v>
      </c>
    </row>
    <row r="123" spans="1:50" s="179" customFormat="1" ht="24.95" hidden="1" customHeight="1" x14ac:dyDescent="0.25">
      <c r="A123" s="175">
        <v>14423</v>
      </c>
      <c r="B123" s="175" t="s">
        <v>86</v>
      </c>
      <c r="C123" s="175" t="s">
        <v>29</v>
      </c>
      <c r="D123" s="176">
        <v>1</v>
      </c>
      <c r="E123" s="176">
        <v>2025</v>
      </c>
      <c r="F123" s="176">
        <v>2025</v>
      </c>
      <c r="G123" s="175" t="s">
        <v>23</v>
      </c>
      <c r="H123" s="175" t="s">
        <v>86</v>
      </c>
      <c r="I123" s="175" t="s">
        <v>105</v>
      </c>
      <c r="J123" s="177" t="s">
        <v>1853</v>
      </c>
      <c r="K123" s="175" t="s">
        <v>1854</v>
      </c>
      <c r="L123" s="175" t="s">
        <v>407</v>
      </c>
      <c r="M123" s="175" t="s">
        <v>408</v>
      </c>
      <c r="N123" s="175">
        <v>9</v>
      </c>
      <c r="O123" s="175" t="s">
        <v>424</v>
      </c>
      <c r="P123" s="175" t="s">
        <v>834</v>
      </c>
      <c r="Q123" s="175" t="s">
        <v>1504</v>
      </c>
      <c r="R123" s="175" t="s">
        <v>339</v>
      </c>
      <c r="S123" s="175" t="s">
        <v>22</v>
      </c>
      <c r="T123" s="175" t="s">
        <v>337</v>
      </c>
      <c r="U123" s="176">
        <v>10</v>
      </c>
      <c r="V123" s="176">
        <v>40</v>
      </c>
      <c r="W123" s="176">
        <v>12</v>
      </c>
      <c r="X123" s="179">
        <f t="shared" si="21"/>
        <v>52</v>
      </c>
      <c r="Y123" s="176">
        <v>4</v>
      </c>
      <c r="Z123" s="176" t="s">
        <v>20</v>
      </c>
      <c r="AA123" s="176" t="s">
        <v>18</v>
      </c>
      <c r="AB123" s="185" t="s">
        <v>18</v>
      </c>
      <c r="AC123" s="186" t="s">
        <v>21</v>
      </c>
      <c r="AD123" s="181" t="s">
        <v>1861</v>
      </c>
      <c r="AE123" s="179" t="s">
        <v>18</v>
      </c>
      <c r="AF123" s="191"/>
      <c r="AG123" s="174" t="s">
        <v>990</v>
      </c>
      <c r="AH123" s="179">
        <v>13</v>
      </c>
      <c r="AI123" s="179">
        <f>VLOOKUP(K123,[1]TRAMO!$A:$B,2,0)</f>
        <v>3</v>
      </c>
      <c r="AJ123" s="200">
        <f t="shared" si="12"/>
        <v>520</v>
      </c>
      <c r="AK123" s="183">
        <f t="shared" si="13"/>
        <v>7434</v>
      </c>
      <c r="AL123" s="179">
        <f t="shared" si="19"/>
        <v>13</v>
      </c>
      <c r="AM123" s="183">
        <v>0</v>
      </c>
      <c r="AN123" s="183">
        <f t="shared" si="20"/>
        <v>520000</v>
      </c>
      <c r="AO123" s="183">
        <f t="shared" si="14"/>
        <v>0</v>
      </c>
      <c r="AP123" s="183">
        <f t="shared" si="15"/>
        <v>0</v>
      </c>
      <c r="AQ123" s="183">
        <f t="shared" si="16"/>
        <v>3865680</v>
      </c>
      <c r="AR123" s="183"/>
      <c r="AS123" s="183">
        <f t="shared" si="17"/>
        <v>0</v>
      </c>
      <c r="AT123" s="183">
        <f t="shared" si="18"/>
        <v>4385680</v>
      </c>
      <c r="AU123" s="175" t="s">
        <v>1862</v>
      </c>
      <c r="AV123" s="175" t="s">
        <v>1863</v>
      </c>
      <c r="AW123" s="175" t="s">
        <v>1508</v>
      </c>
      <c r="AX123" s="175" t="s">
        <v>1767</v>
      </c>
    </row>
    <row r="124" spans="1:50" s="179" customFormat="1" ht="24.95" hidden="1" customHeight="1" x14ac:dyDescent="0.25">
      <c r="A124" s="175">
        <v>14245</v>
      </c>
      <c r="B124" s="175" t="s">
        <v>86</v>
      </c>
      <c r="C124" s="175" t="s">
        <v>29</v>
      </c>
      <c r="D124" s="176">
        <v>1</v>
      </c>
      <c r="E124" s="176">
        <v>2025</v>
      </c>
      <c r="F124" s="176">
        <v>2025</v>
      </c>
      <c r="G124" s="175" t="s">
        <v>23</v>
      </c>
      <c r="H124" s="175" t="s">
        <v>86</v>
      </c>
      <c r="I124" s="175" t="s">
        <v>105</v>
      </c>
      <c r="J124" s="177" t="s">
        <v>815</v>
      </c>
      <c r="K124" s="175" t="s">
        <v>814</v>
      </c>
      <c r="L124" s="175" t="s">
        <v>21</v>
      </c>
      <c r="M124" s="175" t="s">
        <v>21</v>
      </c>
      <c r="N124" s="175">
        <v>13</v>
      </c>
      <c r="O124" s="175" t="s">
        <v>382</v>
      </c>
      <c r="P124" s="175" t="s">
        <v>717</v>
      </c>
      <c r="Q124" s="175" t="s">
        <v>1201</v>
      </c>
      <c r="R124" s="175" t="s">
        <v>339</v>
      </c>
      <c r="S124" s="175" t="s">
        <v>22</v>
      </c>
      <c r="T124" s="175" t="s">
        <v>337</v>
      </c>
      <c r="U124" s="176">
        <v>15</v>
      </c>
      <c r="V124" s="176">
        <v>130</v>
      </c>
      <c r="W124" s="176" t="s">
        <v>21</v>
      </c>
      <c r="X124" s="179">
        <f t="shared" si="21"/>
        <v>130</v>
      </c>
      <c r="Y124" s="176">
        <v>4</v>
      </c>
      <c r="Z124" s="176" t="s">
        <v>20</v>
      </c>
      <c r="AA124" s="176" t="s">
        <v>18</v>
      </c>
      <c r="AB124" s="185" t="s">
        <v>18</v>
      </c>
      <c r="AC124" s="186" t="s">
        <v>21</v>
      </c>
      <c r="AD124" s="181" t="s">
        <v>1865</v>
      </c>
      <c r="AE124" s="179" t="s">
        <v>18</v>
      </c>
      <c r="AF124" s="191"/>
      <c r="AG124" s="174" t="s">
        <v>990</v>
      </c>
      <c r="AH124" s="179">
        <v>33</v>
      </c>
      <c r="AI124" s="179">
        <f>VLOOKUP(K124,[1]TRAMO!$A:$B,2,0)</f>
        <v>2</v>
      </c>
      <c r="AJ124" s="200">
        <f t="shared" si="12"/>
        <v>1950</v>
      </c>
      <c r="AK124" s="183">
        <f t="shared" si="13"/>
        <v>6372</v>
      </c>
      <c r="AL124" s="179">
        <f t="shared" si="19"/>
        <v>32.5</v>
      </c>
      <c r="AM124" s="183">
        <v>0</v>
      </c>
      <c r="AN124" s="183">
        <f t="shared" si="20"/>
        <v>1980000</v>
      </c>
      <c r="AO124" s="183">
        <f t="shared" si="14"/>
        <v>0</v>
      </c>
      <c r="AP124" s="183">
        <f t="shared" si="15"/>
        <v>0</v>
      </c>
      <c r="AQ124" s="183">
        <f t="shared" si="16"/>
        <v>12425400</v>
      </c>
      <c r="AR124" s="183"/>
      <c r="AS124" s="183">
        <f t="shared" si="17"/>
        <v>0</v>
      </c>
      <c r="AT124" s="183">
        <f t="shared" si="18"/>
        <v>14405400</v>
      </c>
      <c r="AU124" s="175" t="s">
        <v>1866</v>
      </c>
      <c r="AV124" s="175" t="s">
        <v>1867</v>
      </c>
      <c r="AW124" s="175" t="s">
        <v>1868</v>
      </c>
      <c r="AX124" s="175" t="s">
        <v>1017</v>
      </c>
    </row>
    <row r="125" spans="1:50" s="179" customFormat="1" ht="24.95" hidden="1" customHeight="1" x14ac:dyDescent="0.25">
      <c r="A125" s="175">
        <v>14436</v>
      </c>
      <c r="B125" s="175" t="s">
        <v>86</v>
      </c>
      <c r="C125" s="175" t="s">
        <v>29</v>
      </c>
      <c r="D125" s="176">
        <v>1</v>
      </c>
      <c r="E125" s="176">
        <v>2025</v>
      </c>
      <c r="F125" s="176">
        <v>2025</v>
      </c>
      <c r="G125" s="175" t="s">
        <v>23</v>
      </c>
      <c r="H125" s="175" t="s">
        <v>86</v>
      </c>
      <c r="I125" s="175" t="s">
        <v>105</v>
      </c>
      <c r="J125" s="177" t="s">
        <v>815</v>
      </c>
      <c r="K125" s="175" t="s">
        <v>814</v>
      </c>
      <c r="L125" s="175" t="s">
        <v>21</v>
      </c>
      <c r="M125" s="175" t="s">
        <v>21</v>
      </c>
      <c r="N125" s="175">
        <v>10</v>
      </c>
      <c r="O125" s="175" t="s">
        <v>706</v>
      </c>
      <c r="P125" s="175" t="s">
        <v>754</v>
      </c>
      <c r="Q125" s="175" t="s">
        <v>1504</v>
      </c>
      <c r="R125" s="175" t="s">
        <v>339</v>
      </c>
      <c r="S125" s="175" t="s">
        <v>22</v>
      </c>
      <c r="T125" s="175" t="s">
        <v>337</v>
      </c>
      <c r="U125" s="176">
        <v>10</v>
      </c>
      <c r="V125" s="176">
        <v>130</v>
      </c>
      <c r="W125" s="176" t="s">
        <v>21</v>
      </c>
      <c r="X125" s="179">
        <f t="shared" si="21"/>
        <v>130</v>
      </c>
      <c r="Y125" s="176">
        <v>4</v>
      </c>
      <c r="Z125" s="176" t="s">
        <v>20</v>
      </c>
      <c r="AA125" s="176" t="s">
        <v>18</v>
      </c>
      <c r="AB125" s="185" t="s">
        <v>18</v>
      </c>
      <c r="AC125" s="186" t="s">
        <v>21</v>
      </c>
      <c r="AD125" s="181" t="s">
        <v>1872</v>
      </c>
      <c r="AE125" s="179" t="s">
        <v>18</v>
      </c>
      <c r="AF125" s="191"/>
      <c r="AG125" s="174" t="s">
        <v>990</v>
      </c>
      <c r="AH125" s="179">
        <v>33</v>
      </c>
      <c r="AI125" s="179">
        <f>VLOOKUP(K125,[1]TRAMO!$A:$B,2,0)</f>
        <v>2</v>
      </c>
      <c r="AJ125" s="200">
        <f t="shared" si="12"/>
        <v>1300</v>
      </c>
      <c r="AK125" s="183">
        <f t="shared" si="13"/>
        <v>6372</v>
      </c>
      <c r="AL125" s="179">
        <f t="shared" si="19"/>
        <v>32.5</v>
      </c>
      <c r="AM125" s="183">
        <v>0</v>
      </c>
      <c r="AN125" s="183">
        <f t="shared" si="20"/>
        <v>1320000</v>
      </c>
      <c r="AO125" s="183">
        <f t="shared" si="14"/>
        <v>0</v>
      </c>
      <c r="AP125" s="183">
        <f t="shared" si="15"/>
        <v>0</v>
      </c>
      <c r="AQ125" s="183">
        <f t="shared" si="16"/>
        <v>8283600</v>
      </c>
      <c r="AR125" s="183"/>
      <c r="AS125" s="183">
        <f t="shared" si="17"/>
        <v>0</v>
      </c>
      <c r="AT125" s="183">
        <f t="shared" si="18"/>
        <v>9603600</v>
      </c>
      <c r="AU125" s="175" t="s">
        <v>1862</v>
      </c>
      <c r="AV125" s="175" t="s">
        <v>1873</v>
      </c>
      <c r="AW125" s="175" t="s">
        <v>1508</v>
      </c>
      <c r="AX125" s="175" t="s">
        <v>1509</v>
      </c>
    </row>
    <row r="126" spans="1:50" s="179" customFormat="1" ht="24.95" hidden="1" customHeight="1" x14ac:dyDescent="0.25">
      <c r="A126" s="175">
        <v>14347</v>
      </c>
      <c r="B126" s="175" t="s">
        <v>86</v>
      </c>
      <c r="C126" s="175" t="s">
        <v>29</v>
      </c>
      <c r="D126" s="176">
        <v>1</v>
      </c>
      <c r="E126" s="176">
        <v>2025</v>
      </c>
      <c r="F126" s="176">
        <v>2025</v>
      </c>
      <c r="G126" s="175" t="s">
        <v>23</v>
      </c>
      <c r="H126" s="175" t="s">
        <v>86</v>
      </c>
      <c r="I126" s="175" t="s">
        <v>105</v>
      </c>
      <c r="J126" s="177" t="s">
        <v>1881</v>
      </c>
      <c r="K126" s="175" t="s">
        <v>1882</v>
      </c>
      <c r="L126" s="175" t="s">
        <v>21</v>
      </c>
      <c r="M126" s="175" t="s">
        <v>21</v>
      </c>
      <c r="N126" s="175">
        <v>3</v>
      </c>
      <c r="O126" s="175" t="s">
        <v>751</v>
      </c>
      <c r="P126" s="175" t="s">
        <v>839</v>
      </c>
      <c r="Q126" s="175" t="s">
        <v>1504</v>
      </c>
      <c r="R126" s="175" t="s">
        <v>339</v>
      </c>
      <c r="S126" s="175" t="s">
        <v>22</v>
      </c>
      <c r="T126" s="175" t="s">
        <v>337</v>
      </c>
      <c r="U126" s="176">
        <v>10</v>
      </c>
      <c r="V126" s="176">
        <v>100</v>
      </c>
      <c r="W126" s="176" t="s">
        <v>21</v>
      </c>
      <c r="X126" s="179">
        <f t="shared" si="21"/>
        <v>100</v>
      </c>
      <c r="Y126" s="176">
        <v>4</v>
      </c>
      <c r="Z126" s="176" t="s">
        <v>20</v>
      </c>
      <c r="AA126" s="176" t="s">
        <v>18</v>
      </c>
      <c r="AB126" s="185" t="s">
        <v>18</v>
      </c>
      <c r="AC126" s="186" t="s">
        <v>21</v>
      </c>
      <c r="AD126" s="181" t="s">
        <v>1883</v>
      </c>
      <c r="AE126" s="179" t="s">
        <v>18</v>
      </c>
      <c r="AF126" s="191"/>
      <c r="AG126" s="174" t="s">
        <v>990</v>
      </c>
      <c r="AH126" s="179">
        <v>25</v>
      </c>
      <c r="AI126" s="179">
        <f>VLOOKUP(K126,[1]TRAMO!$A:$B,2,0)</f>
        <v>2</v>
      </c>
      <c r="AJ126" s="200">
        <f t="shared" si="12"/>
        <v>1000</v>
      </c>
      <c r="AK126" s="183">
        <f t="shared" si="13"/>
        <v>6372</v>
      </c>
      <c r="AL126" s="179">
        <f t="shared" si="19"/>
        <v>25</v>
      </c>
      <c r="AM126" s="183">
        <v>0</v>
      </c>
      <c r="AN126" s="183">
        <f t="shared" si="20"/>
        <v>1000000</v>
      </c>
      <c r="AO126" s="183">
        <f t="shared" si="14"/>
        <v>0</v>
      </c>
      <c r="AP126" s="183">
        <f t="shared" si="15"/>
        <v>0</v>
      </c>
      <c r="AQ126" s="183">
        <f t="shared" si="16"/>
        <v>6372000</v>
      </c>
      <c r="AR126" s="183"/>
      <c r="AS126" s="183">
        <f t="shared" si="17"/>
        <v>0</v>
      </c>
      <c r="AT126" s="183">
        <f t="shared" si="18"/>
        <v>7372000</v>
      </c>
      <c r="AU126" s="175" t="s">
        <v>1506</v>
      </c>
      <c r="AV126" s="175" t="s">
        <v>1507</v>
      </c>
      <c r="AW126" s="175" t="s">
        <v>1508</v>
      </c>
      <c r="AX126" s="175" t="s">
        <v>1767</v>
      </c>
    </row>
    <row r="127" spans="1:50" s="179" customFormat="1" ht="24.95" hidden="1" customHeight="1" x14ac:dyDescent="0.25">
      <c r="A127" s="175">
        <v>14349</v>
      </c>
      <c r="B127" s="175" t="s">
        <v>86</v>
      </c>
      <c r="C127" s="175" t="s">
        <v>29</v>
      </c>
      <c r="D127" s="176">
        <v>1</v>
      </c>
      <c r="E127" s="176">
        <v>2025</v>
      </c>
      <c r="F127" s="176">
        <v>2025</v>
      </c>
      <c r="G127" s="175" t="s">
        <v>23</v>
      </c>
      <c r="H127" s="175" t="s">
        <v>86</v>
      </c>
      <c r="I127" s="175" t="s">
        <v>105</v>
      </c>
      <c r="J127" s="177" t="s">
        <v>1881</v>
      </c>
      <c r="K127" s="175" t="s">
        <v>1882</v>
      </c>
      <c r="L127" s="175" t="s">
        <v>21</v>
      </c>
      <c r="M127" s="175" t="s">
        <v>21</v>
      </c>
      <c r="N127" s="175">
        <v>4</v>
      </c>
      <c r="O127" s="175" t="s">
        <v>415</v>
      </c>
      <c r="P127" s="175" t="s">
        <v>427</v>
      </c>
      <c r="Q127" s="175" t="s">
        <v>1504</v>
      </c>
      <c r="R127" s="175" t="s">
        <v>339</v>
      </c>
      <c r="S127" s="175" t="s">
        <v>22</v>
      </c>
      <c r="T127" s="175" t="s">
        <v>337</v>
      </c>
      <c r="U127" s="176">
        <v>10</v>
      </c>
      <c r="V127" s="176">
        <v>100</v>
      </c>
      <c r="W127" s="176" t="s">
        <v>21</v>
      </c>
      <c r="X127" s="179">
        <f t="shared" si="21"/>
        <v>100</v>
      </c>
      <c r="Y127" s="176">
        <v>4</v>
      </c>
      <c r="Z127" s="176" t="s">
        <v>20</v>
      </c>
      <c r="AA127" s="176" t="s">
        <v>18</v>
      </c>
      <c r="AB127" s="185" t="s">
        <v>18</v>
      </c>
      <c r="AC127" s="186" t="s">
        <v>21</v>
      </c>
      <c r="AD127" s="181" t="s">
        <v>1884</v>
      </c>
      <c r="AE127" s="179" t="s">
        <v>18</v>
      </c>
      <c r="AF127" s="191"/>
      <c r="AG127" s="174" t="s">
        <v>990</v>
      </c>
      <c r="AH127" s="179">
        <v>25</v>
      </c>
      <c r="AI127" s="179">
        <f>VLOOKUP(K127,[1]TRAMO!$A:$B,2,0)</f>
        <v>2</v>
      </c>
      <c r="AJ127" s="200">
        <f t="shared" si="12"/>
        <v>1000</v>
      </c>
      <c r="AK127" s="183">
        <f t="shared" si="13"/>
        <v>6372</v>
      </c>
      <c r="AL127" s="179">
        <f t="shared" si="19"/>
        <v>25</v>
      </c>
      <c r="AM127" s="183">
        <v>0</v>
      </c>
      <c r="AN127" s="183">
        <f t="shared" si="20"/>
        <v>1000000</v>
      </c>
      <c r="AO127" s="183">
        <f t="shared" si="14"/>
        <v>0</v>
      </c>
      <c r="AP127" s="183">
        <f t="shared" si="15"/>
        <v>0</v>
      </c>
      <c r="AQ127" s="183">
        <f t="shared" si="16"/>
        <v>6372000</v>
      </c>
      <c r="AR127" s="183"/>
      <c r="AS127" s="183">
        <f t="shared" si="17"/>
        <v>0</v>
      </c>
      <c r="AT127" s="183">
        <f t="shared" si="18"/>
        <v>7372000</v>
      </c>
      <c r="AU127" s="175" t="s">
        <v>1506</v>
      </c>
      <c r="AV127" s="175" t="s">
        <v>1507</v>
      </c>
      <c r="AW127" s="175" t="s">
        <v>1508</v>
      </c>
      <c r="AX127" s="175" t="s">
        <v>1767</v>
      </c>
    </row>
    <row r="128" spans="1:50" s="179" customFormat="1" ht="24.95" hidden="1" customHeight="1" x14ac:dyDescent="0.25">
      <c r="A128" s="175">
        <v>14354</v>
      </c>
      <c r="B128" s="175" t="s">
        <v>86</v>
      </c>
      <c r="C128" s="175" t="s">
        <v>29</v>
      </c>
      <c r="D128" s="176">
        <v>1</v>
      </c>
      <c r="E128" s="176">
        <v>2025</v>
      </c>
      <c r="F128" s="176">
        <v>2025</v>
      </c>
      <c r="G128" s="175" t="s">
        <v>23</v>
      </c>
      <c r="H128" s="175" t="s">
        <v>86</v>
      </c>
      <c r="I128" s="175" t="s">
        <v>105</v>
      </c>
      <c r="J128" s="177" t="s">
        <v>1881</v>
      </c>
      <c r="K128" s="175" t="s">
        <v>1882</v>
      </c>
      <c r="L128" s="175" t="s">
        <v>21</v>
      </c>
      <c r="M128" s="175" t="s">
        <v>21</v>
      </c>
      <c r="N128" s="175">
        <v>6</v>
      </c>
      <c r="O128" s="175" t="s">
        <v>796</v>
      </c>
      <c r="P128" s="175" t="s">
        <v>858</v>
      </c>
      <c r="Q128" s="175" t="s">
        <v>1504</v>
      </c>
      <c r="R128" s="175" t="s">
        <v>339</v>
      </c>
      <c r="S128" s="175" t="s">
        <v>22</v>
      </c>
      <c r="T128" s="175" t="s">
        <v>337</v>
      </c>
      <c r="U128" s="176">
        <v>10</v>
      </c>
      <c r="V128" s="176">
        <v>100</v>
      </c>
      <c r="W128" s="176" t="s">
        <v>21</v>
      </c>
      <c r="X128" s="179">
        <f t="shared" si="21"/>
        <v>100</v>
      </c>
      <c r="Y128" s="176">
        <v>4</v>
      </c>
      <c r="Z128" s="176" t="s">
        <v>20</v>
      </c>
      <c r="AA128" s="176" t="s">
        <v>18</v>
      </c>
      <c r="AB128" s="185" t="s">
        <v>18</v>
      </c>
      <c r="AC128" s="186" t="s">
        <v>21</v>
      </c>
      <c r="AD128" s="181" t="s">
        <v>1781</v>
      </c>
      <c r="AE128" s="179" t="s">
        <v>18</v>
      </c>
      <c r="AF128" s="191"/>
      <c r="AG128" s="174" t="s">
        <v>990</v>
      </c>
      <c r="AH128" s="179">
        <v>25</v>
      </c>
      <c r="AI128" s="179">
        <f>VLOOKUP(K128,[1]TRAMO!$A:$B,2,0)</f>
        <v>2</v>
      </c>
      <c r="AJ128" s="200">
        <f t="shared" si="12"/>
        <v>1000</v>
      </c>
      <c r="AK128" s="183">
        <f t="shared" si="13"/>
        <v>6372</v>
      </c>
      <c r="AL128" s="179">
        <f t="shared" si="19"/>
        <v>25</v>
      </c>
      <c r="AM128" s="183">
        <v>0</v>
      </c>
      <c r="AN128" s="183">
        <f t="shared" si="20"/>
        <v>1000000</v>
      </c>
      <c r="AO128" s="183">
        <f t="shared" si="14"/>
        <v>0</v>
      </c>
      <c r="AP128" s="183">
        <f t="shared" si="15"/>
        <v>0</v>
      </c>
      <c r="AQ128" s="183">
        <f t="shared" si="16"/>
        <v>6372000</v>
      </c>
      <c r="AR128" s="183"/>
      <c r="AS128" s="183">
        <f t="shared" si="17"/>
        <v>0</v>
      </c>
      <c r="AT128" s="183">
        <f t="shared" si="18"/>
        <v>7372000</v>
      </c>
      <c r="AU128" s="175" t="s">
        <v>1506</v>
      </c>
      <c r="AV128" s="175" t="s">
        <v>1507</v>
      </c>
      <c r="AW128" s="175" t="s">
        <v>1508</v>
      </c>
      <c r="AX128" s="175" t="s">
        <v>1767</v>
      </c>
    </row>
    <row r="129" spans="1:50" s="179" customFormat="1" ht="24.95" hidden="1" customHeight="1" x14ac:dyDescent="0.25">
      <c r="A129" s="175">
        <v>14414</v>
      </c>
      <c r="B129" s="175" t="s">
        <v>86</v>
      </c>
      <c r="C129" s="175" t="s">
        <v>29</v>
      </c>
      <c r="D129" s="176">
        <v>1</v>
      </c>
      <c r="E129" s="176">
        <v>2025</v>
      </c>
      <c r="F129" s="176">
        <v>2025</v>
      </c>
      <c r="G129" s="175" t="s">
        <v>23</v>
      </c>
      <c r="H129" s="175" t="s">
        <v>86</v>
      </c>
      <c r="I129" s="175" t="s">
        <v>105</v>
      </c>
      <c r="J129" s="177" t="s">
        <v>1881</v>
      </c>
      <c r="K129" s="175" t="s">
        <v>1882</v>
      </c>
      <c r="L129" s="175" t="s">
        <v>21</v>
      </c>
      <c r="M129" s="175" t="s">
        <v>21</v>
      </c>
      <c r="N129" s="175">
        <v>8</v>
      </c>
      <c r="O129" s="175" t="s">
        <v>709</v>
      </c>
      <c r="P129" s="175" t="s">
        <v>755</v>
      </c>
      <c r="Q129" s="175" t="s">
        <v>1504</v>
      </c>
      <c r="R129" s="175" t="s">
        <v>339</v>
      </c>
      <c r="S129" s="175" t="s">
        <v>22</v>
      </c>
      <c r="T129" s="175" t="s">
        <v>337</v>
      </c>
      <c r="U129" s="176">
        <v>10</v>
      </c>
      <c r="V129" s="176">
        <v>100</v>
      </c>
      <c r="W129" s="176" t="s">
        <v>21</v>
      </c>
      <c r="X129" s="179">
        <f t="shared" si="21"/>
        <v>100</v>
      </c>
      <c r="Y129" s="176">
        <v>4</v>
      </c>
      <c r="Z129" s="176" t="s">
        <v>20</v>
      </c>
      <c r="AA129" s="176" t="s">
        <v>18</v>
      </c>
      <c r="AB129" s="185" t="s">
        <v>18</v>
      </c>
      <c r="AC129" s="186" t="s">
        <v>21</v>
      </c>
      <c r="AD129" s="181" t="s">
        <v>1781</v>
      </c>
      <c r="AE129" s="179" t="s">
        <v>18</v>
      </c>
      <c r="AF129" s="191"/>
      <c r="AG129" s="174" t="s">
        <v>990</v>
      </c>
      <c r="AH129" s="179">
        <v>25</v>
      </c>
      <c r="AI129" s="179">
        <f>VLOOKUP(K129,[1]TRAMO!$A:$B,2,0)</f>
        <v>2</v>
      </c>
      <c r="AJ129" s="200">
        <f t="shared" si="12"/>
        <v>1000</v>
      </c>
      <c r="AK129" s="183">
        <f t="shared" si="13"/>
        <v>6372</v>
      </c>
      <c r="AL129" s="179">
        <f t="shared" si="19"/>
        <v>25</v>
      </c>
      <c r="AM129" s="183">
        <v>0</v>
      </c>
      <c r="AN129" s="183">
        <f t="shared" si="20"/>
        <v>1000000</v>
      </c>
      <c r="AO129" s="183">
        <f t="shared" si="14"/>
        <v>0</v>
      </c>
      <c r="AP129" s="183">
        <f t="shared" si="15"/>
        <v>0</v>
      </c>
      <c r="AQ129" s="183">
        <f t="shared" si="16"/>
        <v>6372000</v>
      </c>
      <c r="AR129" s="183"/>
      <c r="AS129" s="183">
        <f t="shared" si="17"/>
        <v>0</v>
      </c>
      <c r="AT129" s="183">
        <f t="shared" si="18"/>
        <v>7372000</v>
      </c>
      <c r="AU129" s="175" t="s">
        <v>1506</v>
      </c>
      <c r="AV129" s="175" t="s">
        <v>1507</v>
      </c>
      <c r="AW129" s="175" t="s">
        <v>1508</v>
      </c>
      <c r="AX129" s="175" t="s">
        <v>1509</v>
      </c>
    </row>
    <row r="130" spans="1:50" s="179" customFormat="1" ht="24.95" hidden="1" customHeight="1" x14ac:dyDescent="0.25">
      <c r="A130" s="175">
        <v>14346</v>
      </c>
      <c r="B130" s="175" t="s">
        <v>86</v>
      </c>
      <c r="C130" s="175" t="s">
        <v>29</v>
      </c>
      <c r="D130" s="176">
        <v>1</v>
      </c>
      <c r="E130" s="176">
        <v>2025</v>
      </c>
      <c r="F130" s="176">
        <v>2025</v>
      </c>
      <c r="G130" s="175" t="s">
        <v>23</v>
      </c>
      <c r="H130" s="175" t="s">
        <v>86</v>
      </c>
      <c r="I130" s="175" t="s">
        <v>105</v>
      </c>
      <c r="J130" s="177" t="s">
        <v>1899</v>
      </c>
      <c r="K130" s="175" t="s">
        <v>1900</v>
      </c>
      <c r="L130" s="175" t="s">
        <v>21</v>
      </c>
      <c r="M130" s="175" t="s">
        <v>21</v>
      </c>
      <c r="N130" s="175">
        <v>2</v>
      </c>
      <c r="O130" s="175" t="s">
        <v>798</v>
      </c>
      <c r="P130" s="175" t="s">
        <v>797</v>
      </c>
      <c r="Q130" s="175" t="s">
        <v>1504</v>
      </c>
      <c r="R130" s="175" t="s">
        <v>339</v>
      </c>
      <c r="S130" s="175" t="s">
        <v>22</v>
      </c>
      <c r="T130" s="175" t="s">
        <v>337</v>
      </c>
      <c r="U130" s="176">
        <v>10</v>
      </c>
      <c r="V130" s="176">
        <v>104</v>
      </c>
      <c r="W130" s="176" t="s">
        <v>21</v>
      </c>
      <c r="X130" s="179">
        <f t="shared" ref="X130:X161" si="22">(SUM(V130:W130))*1</f>
        <v>104</v>
      </c>
      <c r="Y130" s="176">
        <v>4</v>
      </c>
      <c r="Z130" s="176" t="s">
        <v>20</v>
      </c>
      <c r="AA130" s="176" t="s">
        <v>18</v>
      </c>
      <c r="AB130" s="185" t="s">
        <v>18</v>
      </c>
      <c r="AC130" s="186" t="s">
        <v>21</v>
      </c>
      <c r="AD130" s="181" t="s">
        <v>1883</v>
      </c>
      <c r="AE130" s="179" t="s">
        <v>18</v>
      </c>
      <c r="AF130" s="191"/>
      <c r="AG130" s="174" t="s">
        <v>990</v>
      </c>
      <c r="AH130" s="179">
        <v>26</v>
      </c>
      <c r="AI130" s="179">
        <f>VLOOKUP(K130,[1]TRAMO!$A:$B,2,0)</f>
        <v>1</v>
      </c>
      <c r="AJ130" s="200">
        <f t="shared" ref="AJ130:AJ193" si="23">+(U130*X130)</f>
        <v>1040</v>
      </c>
      <c r="AK130" s="183">
        <f t="shared" ref="AK130:AK193" si="24">IF(AI130=1,5074,IF(AI130=2,6372,IF(AI130=3,7434,"ERROR")))</f>
        <v>5074</v>
      </c>
      <c r="AL130" s="179">
        <f t="shared" si="19"/>
        <v>26</v>
      </c>
      <c r="AM130" s="183">
        <v>0</v>
      </c>
      <c r="AN130" s="183">
        <f t="shared" si="20"/>
        <v>1040000</v>
      </c>
      <c r="AO130" s="183">
        <f t="shared" ref="AO130:AO193" si="25">IF(AA130="SI",5000*AH130*U130,0)</f>
        <v>0</v>
      </c>
      <c r="AP130" s="183">
        <f t="shared" ref="AP130:AP193" si="26">IF(AB130="SI",270000*U130,0)</f>
        <v>0</v>
      </c>
      <c r="AQ130" s="183">
        <f t="shared" ref="AQ130:AQ193" si="27">+(AK130*X130*U130)</f>
        <v>5276960</v>
      </c>
      <c r="AR130" s="183"/>
      <c r="AS130" s="183">
        <f t="shared" ref="AS130:AS193" si="28">+(AM130*U130)</f>
        <v>0</v>
      </c>
      <c r="AT130" s="183">
        <f t="shared" ref="AT130:AT193" si="29">+(AN130+AO130+AP130+AQ130+AS130)</f>
        <v>6316960</v>
      </c>
      <c r="AU130" s="175" t="s">
        <v>1765</v>
      </c>
      <c r="AV130" s="175" t="s">
        <v>1766</v>
      </c>
      <c r="AW130" s="175" t="s">
        <v>1508</v>
      </c>
      <c r="AX130" s="175" t="s">
        <v>1767</v>
      </c>
    </row>
    <row r="131" spans="1:50" s="179" customFormat="1" ht="24.95" hidden="1" customHeight="1" x14ac:dyDescent="0.25">
      <c r="A131" s="175">
        <v>14246</v>
      </c>
      <c r="B131" s="175" t="s">
        <v>86</v>
      </c>
      <c r="C131" s="175" t="s">
        <v>29</v>
      </c>
      <c r="D131" s="176">
        <v>1</v>
      </c>
      <c r="E131" s="176">
        <v>2025</v>
      </c>
      <c r="F131" s="176">
        <v>2025</v>
      </c>
      <c r="G131" s="175" t="s">
        <v>23</v>
      </c>
      <c r="H131" s="175" t="s">
        <v>86</v>
      </c>
      <c r="I131" s="175" t="s">
        <v>105</v>
      </c>
      <c r="J131" s="177" t="s">
        <v>350</v>
      </c>
      <c r="K131" s="175" t="s">
        <v>349</v>
      </c>
      <c r="L131" s="175" t="s">
        <v>21</v>
      </c>
      <c r="M131" s="175" t="s">
        <v>21</v>
      </c>
      <c r="N131" s="175">
        <v>6</v>
      </c>
      <c r="O131" s="175" t="s">
        <v>796</v>
      </c>
      <c r="P131" s="175" t="s">
        <v>818</v>
      </c>
      <c r="Q131" s="175" t="s">
        <v>1201</v>
      </c>
      <c r="R131" s="175" t="s">
        <v>339</v>
      </c>
      <c r="S131" s="175" t="s">
        <v>22</v>
      </c>
      <c r="T131" s="175" t="s">
        <v>337</v>
      </c>
      <c r="U131" s="176">
        <v>20</v>
      </c>
      <c r="V131" s="176">
        <v>110</v>
      </c>
      <c r="W131" s="176" t="s">
        <v>21</v>
      </c>
      <c r="X131" s="179">
        <f t="shared" si="22"/>
        <v>110</v>
      </c>
      <c r="Y131" s="176">
        <v>4</v>
      </c>
      <c r="Z131" s="176" t="s">
        <v>20</v>
      </c>
      <c r="AA131" s="176" t="s">
        <v>18</v>
      </c>
      <c r="AB131" s="185" t="s">
        <v>18</v>
      </c>
      <c r="AC131" s="186" t="s">
        <v>21</v>
      </c>
      <c r="AD131" s="181" t="s">
        <v>1904</v>
      </c>
      <c r="AE131" s="179" t="s">
        <v>18</v>
      </c>
      <c r="AF131" s="191"/>
      <c r="AG131" s="174" t="s">
        <v>990</v>
      </c>
      <c r="AH131" s="179">
        <v>28</v>
      </c>
      <c r="AI131" s="179">
        <f>VLOOKUP(K131,[1]TRAMO!$A:$B,2,0)</f>
        <v>2</v>
      </c>
      <c r="AJ131" s="200">
        <f t="shared" si="23"/>
        <v>2200</v>
      </c>
      <c r="AK131" s="183">
        <f t="shared" si="24"/>
        <v>6372</v>
      </c>
      <c r="AL131" s="179">
        <f t="shared" ref="AL131:AL194" si="30">+(X131/Y131)</f>
        <v>27.5</v>
      </c>
      <c r="AM131" s="183">
        <v>0</v>
      </c>
      <c r="AN131" s="183">
        <f t="shared" ref="AN131:AN194" si="31">IF(Z131="SI",4000*U131*AH131,0)</f>
        <v>2240000</v>
      </c>
      <c r="AO131" s="183">
        <f t="shared" si="25"/>
        <v>0</v>
      </c>
      <c r="AP131" s="183">
        <f t="shared" si="26"/>
        <v>0</v>
      </c>
      <c r="AQ131" s="183">
        <f t="shared" si="27"/>
        <v>14018400</v>
      </c>
      <c r="AR131" s="183"/>
      <c r="AS131" s="183">
        <f t="shared" si="28"/>
        <v>0</v>
      </c>
      <c r="AT131" s="183">
        <f t="shared" si="29"/>
        <v>16258400</v>
      </c>
      <c r="AU131" s="175" t="s">
        <v>1905</v>
      </c>
      <c r="AV131" s="175" t="s">
        <v>1906</v>
      </c>
      <c r="AW131" s="175" t="s">
        <v>1868</v>
      </c>
      <c r="AX131" s="175" t="s">
        <v>1017</v>
      </c>
    </row>
    <row r="132" spans="1:50" s="179" customFormat="1" ht="24.95" hidden="1" customHeight="1" x14ac:dyDescent="0.25">
      <c r="A132" s="175">
        <v>14351</v>
      </c>
      <c r="B132" s="175" t="s">
        <v>86</v>
      </c>
      <c r="C132" s="175" t="s">
        <v>29</v>
      </c>
      <c r="D132" s="176">
        <v>1</v>
      </c>
      <c r="E132" s="176">
        <v>2025</v>
      </c>
      <c r="F132" s="176">
        <v>2025</v>
      </c>
      <c r="G132" s="175" t="s">
        <v>23</v>
      </c>
      <c r="H132" s="175" t="s">
        <v>86</v>
      </c>
      <c r="I132" s="175" t="s">
        <v>105</v>
      </c>
      <c r="J132" s="177" t="s">
        <v>1001</v>
      </c>
      <c r="K132" s="175" t="s">
        <v>1002</v>
      </c>
      <c r="L132" s="175" t="s">
        <v>407</v>
      </c>
      <c r="M132" s="175" t="s">
        <v>408</v>
      </c>
      <c r="N132" s="175">
        <v>5</v>
      </c>
      <c r="O132" s="175" t="s">
        <v>395</v>
      </c>
      <c r="P132" s="175" t="s">
        <v>794</v>
      </c>
      <c r="Q132" s="175" t="s">
        <v>1504</v>
      </c>
      <c r="R132" s="175" t="s">
        <v>339</v>
      </c>
      <c r="S132" s="175" t="s">
        <v>22</v>
      </c>
      <c r="T132" s="175" t="s">
        <v>337</v>
      </c>
      <c r="U132" s="176">
        <v>10</v>
      </c>
      <c r="V132" s="176">
        <v>84</v>
      </c>
      <c r="W132" s="176">
        <v>12</v>
      </c>
      <c r="X132" s="179">
        <f t="shared" si="22"/>
        <v>96</v>
      </c>
      <c r="Y132" s="176">
        <v>4</v>
      </c>
      <c r="Z132" s="176" t="s">
        <v>20</v>
      </c>
      <c r="AA132" s="176" t="s">
        <v>18</v>
      </c>
      <c r="AB132" s="185" t="s">
        <v>18</v>
      </c>
      <c r="AC132" s="186" t="s">
        <v>21</v>
      </c>
      <c r="AD132" s="181" t="s">
        <v>1846</v>
      </c>
      <c r="AE132" s="179" t="s">
        <v>18</v>
      </c>
      <c r="AF132" s="191"/>
      <c r="AG132" s="174" t="s">
        <v>990</v>
      </c>
      <c r="AH132" s="179">
        <v>24</v>
      </c>
      <c r="AI132" s="179">
        <f>VLOOKUP(K132,[1]TRAMO!$A:$B,2,0)</f>
        <v>2</v>
      </c>
      <c r="AJ132" s="200">
        <f t="shared" si="23"/>
        <v>960</v>
      </c>
      <c r="AK132" s="183">
        <f t="shared" si="24"/>
        <v>6372</v>
      </c>
      <c r="AL132" s="179">
        <f t="shared" si="30"/>
        <v>24</v>
      </c>
      <c r="AM132" s="183">
        <v>0</v>
      </c>
      <c r="AN132" s="183">
        <f t="shared" si="31"/>
        <v>960000</v>
      </c>
      <c r="AO132" s="183">
        <f t="shared" si="25"/>
        <v>0</v>
      </c>
      <c r="AP132" s="183">
        <f t="shared" si="26"/>
        <v>0</v>
      </c>
      <c r="AQ132" s="183">
        <f t="shared" si="27"/>
        <v>6117120</v>
      </c>
      <c r="AR132" s="183"/>
      <c r="AS132" s="183">
        <f t="shared" si="28"/>
        <v>0</v>
      </c>
      <c r="AT132" s="183">
        <f t="shared" si="29"/>
        <v>7077120</v>
      </c>
      <c r="AU132" s="175" t="s">
        <v>1506</v>
      </c>
      <c r="AV132" s="175" t="s">
        <v>1507</v>
      </c>
      <c r="AW132" s="175" t="s">
        <v>1508</v>
      </c>
      <c r="AX132" s="175" t="s">
        <v>1767</v>
      </c>
    </row>
    <row r="133" spans="1:50" s="179" customFormat="1" ht="24.95" hidden="1" customHeight="1" x14ac:dyDescent="0.25">
      <c r="A133" s="175">
        <v>14353</v>
      </c>
      <c r="B133" s="175" t="s">
        <v>86</v>
      </c>
      <c r="C133" s="175" t="s">
        <v>29</v>
      </c>
      <c r="D133" s="176">
        <v>1</v>
      </c>
      <c r="E133" s="176">
        <v>2025</v>
      </c>
      <c r="F133" s="176">
        <v>2025</v>
      </c>
      <c r="G133" s="175" t="s">
        <v>23</v>
      </c>
      <c r="H133" s="175" t="s">
        <v>86</v>
      </c>
      <c r="I133" s="175" t="s">
        <v>105</v>
      </c>
      <c r="J133" s="177" t="s">
        <v>1001</v>
      </c>
      <c r="K133" s="175" t="s">
        <v>1002</v>
      </c>
      <c r="L133" s="175" t="s">
        <v>407</v>
      </c>
      <c r="M133" s="175" t="s">
        <v>408</v>
      </c>
      <c r="N133" s="175">
        <v>5</v>
      </c>
      <c r="O133" s="175" t="s">
        <v>395</v>
      </c>
      <c r="P133" s="175" t="s">
        <v>794</v>
      </c>
      <c r="Q133" s="175" t="s">
        <v>1504</v>
      </c>
      <c r="R133" s="175" t="s">
        <v>339</v>
      </c>
      <c r="S133" s="175" t="s">
        <v>22</v>
      </c>
      <c r="T133" s="175" t="s">
        <v>337</v>
      </c>
      <c r="U133" s="176">
        <v>10</v>
      </c>
      <c r="V133" s="176">
        <v>84</v>
      </c>
      <c r="W133" s="176">
        <v>12</v>
      </c>
      <c r="X133" s="179">
        <f t="shared" si="22"/>
        <v>96</v>
      </c>
      <c r="Y133" s="176">
        <v>4</v>
      </c>
      <c r="Z133" s="176" t="s">
        <v>20</v>
      </c>
      <c r="AA133" s="176" t="s">
        <v>18</v>
      </c>
      <c r="AB133" s="185" t="s">
        <v>18</v>
      </c>
      <c r="AC133" s="186" t="s">
        <v>21</v>
      </c>
      <c r="AD133" s="181" t="s">
        <v>1910</v>
      </c>
      <c r="AE133" s="179" t="s">
        <v>18</v>
      </c>
      <c r="AF133" s="191"/>
      <c r="AG133" s="174" t="s">
        <v>990</v>
      </c>
      <c r="AH133" s="179">
        <v>24</v>
      </c>
      <c r="AI133" s="179">
        <f>VLOOKUP(K133,[1]TRAMO!$A:$B,2,0)</f>
        <v>2</v>
      </c>
      <c r="AJ133" s="200">
        <f t="shared" si="23"/>
        <v>960</v>
      </c>
      <c r="AK133" s="183">
        <f t="shared" si="24"/>
        <v>6372</v>
      </c>
      <c r="AL133" s="179">
        <f t="shared" si="30"/>
        <v>24</v>
      </c>
      <c r="AM133" s="183">
        <v>0</v>
      </c>
      <c r="AN133" s="183">
        <f t="shared" si="31"/>
        <v>960000</v>
      </c>
      <c r="AO133" s="183">
        <f t="shared" si="25"/>
        <v>0</v>
      </c>
      <c r="AP133" s="183">
        <f t="shared" si="26"/>
        <v>0</v>
      </c>
      <c r="AQ133" s="183">
        <f t="shared" si="27"/>
        <v>6117120</v>
      </c>
      <c r="AR133" s="183"/>
      <c r="AS133" s="183">
        <f t="shared" si="28"/>
        <v>0</v>
      </c>
      <c r="AT133" s="183">
        <f t="shared" si="29"/>
        <v>7077120</v>
      </c>
      <c r="AU133" s="175" t="s">
        <v>1506</v>
      </c>
      <c r="AV133" s="175" t="s">
        <v>1507</v>
      </c>
      <c r="AW133" s="175" t="s">
        <v>1508</v>
      </c>
      <c r="AX133" s="175" t="s">
        <v>1767</v>
      </c>
    </row>
    <row r="134" spans="1:50" s="179" customFormat="1" ht="24.95" hidden="1" customHeight="1" x14ac:dyDescent="0.25">
      <c r="A134" s="175">
        <v>14399</v>
      </c>
      <c r="B134" s="175" t="s">
        <v>86</v>
      </c>
      <c r="C134" s="175" t="s">
        <v>29</v>
      </c>
      <c r="D134" s="176">
        <v>1</v>
      </c>
      <c r="E134" s="176">
        <v>2025</v>
      </c>
      <c r="F134" s="176">
        <v>2025</v>
      </c>
      <c r="G134" s="175" t="s">
        <v>23</v>
      </c>
      <c r="H134" s="175" t="s">
        <v>86</v>
      </c>
      <c r="I134" s="175" t="s">
        <v>105</v>
      </c>
      <c r="J134" s="177" t="s">
        <v>1001</v>
      </c>
      <c r="K134" s="175" t="s">
        <v>1002</v>
      </c>
      <c r="L134" s="175" t="s">
        <v>407</v>
      </c>
      <c r="M134" s="175" t="s">
        <v>408</v>
      </c>
      <c r="N134" s="175">
        <v>8</v>
      </c>
      <c r="O134" s="175" t="s">
        <v>709</v>
      </c>
      <c r="P134" s="175" t="s">
        <v>417</v>
      </c>
      <c r="Q134" s="175" t="s">
        <v>1504</v>
      </c>
      <c r="R134" s="175" t="s">
        <v>339</v>
      </c>
      <c r="S134" s="175" t="s">
        <v>22</v>
      </c>
      <c r="T134" s="175" t="s">
        <v>337</v>
      </c>
      <c r="U134" s="176">
        <v>10</v>
      </c>
      <c r="V134" s="176">
        <v>84</v>
      </c>
      <c r="W134" s="176">
        <v>12</v>
      </c>
      <c r="X134" s="179">
        <f t="shared" si="22"/>
        <v>96</v>
      </c>
      <c r="Y134" s="176">
        <v>4</v>
      </c>
      <c r="Z134" s="176" t="s">
        <v>20</v>
      </c>
      <c r="AA134" s="176" t="s">
        <v>18</v>
      </c>
      <c r="AB134" s="185" t="s">
        <v>18</v>
      </c>
      <c r="AC134" s="186" t="s">
        <v>21</v>
      </c>
      <c r="AD134" s="181" t="s">
        <v>1781</v>
      </c>
      <c r="AE134" s="179" t="s">
        <v>18</v>
      </c>
      <c r="AF134" s="191"/>
      <c r="AG134" s="174" t="s">
        <v>990</v>
      </c>
      <c r="AH134" s="179">
        <v>24</v>
      </c>
      <c r="AI134" s="179">
        <f>VLOOKUP(K134,[1]TRAMO!$A:$B,2,0)</f>
        <v>2</v>
      </c>
      <c r="AJ134" s="200">
        <f t="shared" si="23"/>
        <v>960</v>
      </c>
      <c r="AK134" s="183">
        <f t="shared" si="24"/>
        <v>6372</v>
      </c>
      <c r="AL134" s="179">
        <f t="shared" si="30"/>
        <v>24</v>
      </c>
      <c r="AM134" s="183">
        <v>0</v>
      </c>
      <c r="AN134" s="183">
        <f t="shared" si="31"/>
        <v>960000</v>
      </c>
      <c r="AO134" s="183">
        <f t="shared" si="25"/>
        <v>0</v>
      </c>
      <c r="AP134" s="183">
        <f t="shared" si="26"/>
        <v>0</v>
      </c>
      <c r="AQ134" s="183">
        <f t="shared" si="27"/>
        <v>6117120</v>
      </c>
      <c r="AR134" s="183"/>
      <c r="AS134" s="183">
        <f t="shared" si="28"/>
        <v>0</v>
      </c>
      <c r="AT134" s="183">
        <f t="shared" si="29"/>
        <v>7077120</v>
      </c>
      <c r="AU134" s="175" t="s">
        <v>1765</v>
      </c>
      <c r="AV134" s="175" t="s">
        <v>1766</v>
      </c>
      <c r="AW134" s="175" t="s">
        <v>1508</v>
      </c>
      <c r="AX134" s="175" t="s">
        <v>1767</v>
      </c>
    </row>
    <row r="135" spans="1:50" s="179" customFormat="1" ht="24.95" hidden="1" customHeight="1" x14ac:dyDescent="0.25">
      <c r="A135" s="175">
        <v>14235</v>
      </c>
      <c r="B135" s="175" t="s">
        <v>86</v>
      </c>
      <c r="C135" s="175" t="s">
        <v>29</v>
      </c>
      <c r="D135" s="176">
        <v>1</v>
      </c>
      <c r="E135" s="176">
        <v>2025</v>
      </c>
      <c r="F135" s="176">
        <v>2025</v>
      </c>
      <c r="G135" s="175" t="s">
        <v>23</v>
      </c>
      <c r="H135" s="175" t="s">
        <v>86</v>
      </c>
      <c r="I135" s="175" t="s">
        <v>105</v>
      </c>
      <c r="J135" s="177" t="s">
        <v>993</v>
      </c>
      <c r="K135" s="175" t="s">
        <v>994</v>
      </c>
      <c r="L135" s="175" t="s">
        <v>407</v>
      </c>
      <c r="M135" s="175" t="s">
        <v>408</v>
      </c>
      <c r="N135" s="175">
        <v>5</v>
      </c>
      <c r="O135" s="175" t="s">
        <v>395</v>
      </c>
      <c r="P135" s="175" t="s">
        <v>1630</v>
      </c>
      <c r="Q135" s="175" t="s">
        <v>1201</v>
      </c>
      <c r="R135" s="175" t="s">
        <v>339</v>
      </c>
      <c r="S135" s="175" t="s">
        <v>22</v>
      </c>
      <c r="T135" s="175" t="s">
        <v>337</v>
      </c>
      <c r="U135" s="176">
        <v>10</v>
      </c>
      <c r="V135" s="176">
        <v>108</v>
      </c>
      <c r="W135" s="176">
        <v>12</v>
      </c>
      <c r="X135" s="179">
        <f t="shared" si="22"/>
        <v>120</v>
      </c>
      <c r="Y135" s="176">
        <v>5</v>
      </c>
      <c r="Z135" s="176" t="s">
        <v>20</v>
      </c>
      <c r="AA135" s="176" t="s">
        <v>18</v>
      </c>
      <c r="AB135" s="185" t="s">
        <v>18</v>
      </c>
      <c r="AC135" s="186" t="s">
        <v>21</v>
      </c>
      <c r="AD135" s="181" t="s">
        <v>1636</v>
      </c>
      <c r="AE135" s="179" t="s">
        <v>18</v>
      </c>
      <c r="AF135" s="191"/>
      <c r="AG135" s="174" t="s">
        <v>990</v>
      </c>
      <c r="AH135" s="179">
        <v>24</v>
      </c>
      <c r="AI135" s="179">
        <f>VLOOKUP(K135,[1]TRAMO!$A:$B,2,0)</f>
        <v>2</v>
      </c>
      <c r="AJ135" s="200">
        <f t="shared" si="23"/>
        <v>1200</v>
      </c>
      <c r="AK135" s="183">
        <f t="shared" si="24"/>
        <v>6372</v>
      </c>
      <c r="AL135" s="179">
        <f t="shared" si="30"/>
        <v>24</v>
      </c>
      <c r="AM135" s="183">
        <v>0</v>
      </c>
      <c r="AN135" s="183">
        <f t="shared" si="31"/>
        <v>960000</v>
      </c>
      <c r="AO135" s="183">
        <f t="shared" si="25"/>
        <v>0</v>
      </c>
      <c r="AP135" s="183">
        <f t="shared" si="26"/>
        <v>0</v>
      </c>
      <c r="AQ135" s="183">
        <f t="shared" si="27"/>
        <v>7646400</v>
      </c>
      <c r="AR135" s="183"/>
      <c r="AS135" s="183">
        <f t="shared" si="28"/>
        <v>0</v>
      </c>
      <c r="AT135" s="183">
        <f t="shared" si="29"/>
        <v>8606400</v>
      </c>
      <c r="AU135" s="175" t="s">
        <v>1632</v>
      </c>
      <c r="AV135" s="175" t="s">
        <v>1633</v>
      </c>
      <c r="AW135" s="175" t="s">
        <v>1634</v>
      </c>
      <c r="AX135" s="175" t="s">
        <v>1031</v>
      </c>
    </row>
    <row r="136" spans="1:50" s="179" customFormat="1" ht="24.95" hidden="1" customHeight="1" x14ac:dyDescent="0.25">
      <c r="A136" s="175">
        <v>14236</v>
      </c>
      <c r="B136" s="175" t="s">
        <v>86</v>
      </c>
      <c r="C136" s="175" t="s">
        <v>29</v>
      </c>
      <c r="D136" s="176">
        <v>1</v>
      </c>
      <c r="E136" s="176">
        <v>2025</v>
      </c>
      <c r="F136" s="176">
        <v>2025</v>
      </c>
      <c r="G136" s="175" t="s">
        <v>23</v>
      </c>
      <c r="H136" s="175" t="s">
        <v>86</v>
      </c>
      <c r="I136" s="175" t="s">
        <v>105</v>
      </c>
      <c r="J136" s="177" t="s">
        <v>993</v>
      </c>
      <c r="K136" s="175" t="s">
        <v>994</v>
      </c>
      <c r="L136" s="175" t="s">
        <v>407</v>
      </c>
      <c r="M136" s="175" t="s">
        <v>408</v>
      </c>
      <c r="N136" s="175">
        <v>5</v>
      </c>
      <c r="O136" s="175" t="s">
        <v>395</v>
      </c>
      <c r="P136" s="175" t="s">
        <v>1630</v>
      </c>
      <c r="Q136" s="175" t="s">
        <v>1201</v>
      </c>
      <c r="R136" s="175" t="s">
        <v>339</v>
      </c>
      <c r="S136" s="175" t="s">
        <v>22</v>
      </c>
      <c r="T136" s="175" t="s">
        <v>337</v>
      </c>
      <c r="U136" s="176">
        <v>10</v>
      </c>
      <c r="V136" s="176">
        <v>108</v>
      </c>
      <c r="W136" s="176">
        <v>12</v>
      </c>
      <c r="X136" s="179">
        <f t="shared" si="22"/>
        <v>120</v>
      </c>
      <c r="Y136" s="176">
        <v>5</v>
      </c>
      <c r="Z136" s="176" t="s">
        <v>20</v>
      </c>
      <c r="AA136" s="176" t="s">
        <v>18</v>
      </c>
      <c r="AB136" s="185" t="s">
        <v>18</v>
      </c>
      <c r="AC136" s="186" t="s">
        <v>21</v>
      </c>
      <c r="AD136" s="181" t="s">
        <v>1636</v>
      </c>
      <c r="AE136" s="179" t="s">
        <v>18</v>
      </c>
      <c r="AF136" s="191"/>
      <c r="AG136" s="174" t="s">
        <v>990</v>
      </c>
      <c r="AH136" s="179">
        <v>24</v>
      </c>
      <c r="AI136" s="179">
        <f>VLOOKUP(K136,[1]TRAMO!$A:$B,2,0)</f>
        <v>2</v>
      </c>
      <c r="AJ136" s="200">
        <f t="shared" si="23"/>
        <v>1200</v>
      </c>
      <c r="AK136" s="183">
        <f t="shared" si="24"/>
        <v>6372</v>
      </c>
      <c r="AL136" s="179">
        <f t="shared" si="30"/>
        <v>24</v>
      </c>
      <c r="AM136" s="183">
        <v>0</v>
      </c>
      <c r="AN136" s="183">
        <f t="shared" si="31"/>
        <v>960000</v>
      </c>
      <c r="AO136" s="183">
        <f t="shared" si="25"/>
        <v>0</v>
      </c>
      <c r="AP136" s="183">
        <f t="shared" si="26"/>
        <v>0</v>
      </c>
      <c r="AQ136" s="183">
        <f t="shared" si="27"/>
        <v>7646400</v>
      </c>
      <c r="AR136" s="183"/>
      <c r="AS136" s="183">
        <f t="shared" si="28"/>
        <v>0</v>
      </c>
      <c r="AT136" s="183">
        <f t="shared" si="29"/>
        <v>8606400</v>
      </c>
      <c r="AU136" s="175" t="s">
        <v>1632</v>
      </c>
      <c r="AV136" s="175" t="s">
        <v>1633</v>
      </c>
      <c r="AW136" s="175" t="s">
        <v>1634</v>
      </c>
      <c r="AX136" s="175" t="s">
        <v>1031</v>
      </c>
    </row>
    <row r="137" spans="1:50" s="179" customFormat="1" ht="24.95" hidden="1" customHeight="1" x14ac:dyDescent="0.25">
      <c r="A137" s="175">
        <v>14238</v>
      </c>
      <c r="B137" s="175" t="s">
        <v>86</v>
      </c>
      <c r="C137" s="175" t="s">
        <v>29</v>
      </c>
      <c r="D137" s="176">
        <v>1</v>
      </c>
      <c r="E137" s="176">
        <v>2025</v>
      </c>
      <c r="F137" s="176">
        <v>2025</v>
      </c>
      <c r="G137" s="175" t="s">
        <v>23</v>
      </c>
      <c r="H137" s="175" t="s">
        <v>86</v>
      </c>
      <c r="I137" s="175" t="s">
        <v>105</v>
      </c>
      <c r="J137" s="177" t="s">
        <v>993</v>
      </c>
      <c r="K137" s="175" t="s">
        <v>994</v>
      </c>
      <c r="L137" s="175" t="s">
        <v>407</v>
      </c>
      <c r="M137" s="175" t="s">
        <v>408</v>
      </c>
      <c r="N137" s="175">
        <v>13</v>
      </c>
      <c r="O137" s="175" t="s">
        <v>382</v>
      </c>
      <c r="P137" s="175" t="s">
        <v>412</v>
      </c>
      <c r="Q137" s="175" t="s">
        <v>1201</v>
      </c>
      <c r="R137" s="175" t="s">
        <v>339</v>
      </c>
      <c r="S137" s="175" t="s">
        <v>22</v>
      </c>
      <c r="T137" s="175" t="s">
        <v>337</v>
      </c>
      <c r="U137" s="176">
        <v>10</v>
      </c>
      <c r="V137" s="176">
        <v>108</v>
      </c>
      <c r="W137" s="176">
        <v>12</v>
      </c>
      <c r="X137" s="179">
        <f t="shared" si="22"/>
        <v>120</v>
      </c>
      <c r="Y137" s="176">
        <v>5</v>
      </c>
      <c r="Z137" s="176" t="s">
        <v>20</v>
      </c>
      <c r="AA137" s="176" t="s">
        <v>18</v>
      </c>
      <c r="AB137" s="185" t="s">
        <v>18</v>
      </c>
      <c r="AC137" s="186" t="s">
        <v>21</v>
      </c>
      <c r="AD137" s="181" t="s">
        <v>1918</v>
      </c>
      <c r="AE137" s="179" t="s">
        <v>18</v>
      </c>
      <c r="AF137" s="191"/>
      <c r="AG137" s="174" t="s">
        <v>990</v>
      </c>
      <c r="AH137" s="179">
        <v>24</v>
      </c>
      <c r="AI137" s="179">
        <f>VLOOKUP(K137,[1]TRAMO!$A:$B,2,0)</f>
        <v>2</v>
      </c>
      <c r="AJ137" s="200">
        <f t="shared" si="23"/>
        <v>1200</v>
      </c>
      <c r="AK137" s="183">
        <f t="shared" si="24"/>
        <v>6372</v>
      </c>
      <c r="AL137" s="179">
        <f t="shared" si="30"/>
        <v>24</v>
      </c>
      <c r="AM137" s="183">
        <v>0</v>
      </c>
      <c r="AN137" s="183">
        <f t="shared" si="31"/>
        <v>960000</v>
      </c>
      <c r="AO137" s="183">
        <f t="shared" si="25"/>
        <v>0</v>
      </c>
      <c r="AP137" s="183">
        <f t="shared" si="26"/>
        <v>0</v>
      </c>
      <c r="AQ137" s="183">
        <f t="shared" si="27"/>
        <v>7646400</v>
      </c>
      <c r="AR137" s="183"/>
      <c r="AS137" s="183">
        <f t="shared" si="28"/>
        <v>0</v>
      </c>
      <c r="AT137" s="183">
        <f t="shared" si="29"/>
        <v>8606400</v>
      </c>
      <c r="AU137" s="175" t="s">
        <v>1632</v>
      </c>
      <c r="AV137" s="175" t="s">
        <v>1633</v>
      </c>
      <c r="AW137" s="175" t="s">
        <v>1634</v>
      </c>
      <c r="AX137" s="175" t="s">
        <v>1031</v>
      </c>
    </row>
    <row r="138" spans="1:50" s="179" customFormat="1" ht="24.95" hidden="1" customHeight="1" x14ac:dyDescent="0.25">
      <c r="A138" s="175">
        <v>14350</v>
      </c>
      <c r="B138" s="175" t="s">
        <v>86</v>
      </c>
      <c r="C138" s="175" t="s">
        <v>29</v>
      </c>
      <c r="D138" s="176">
        <v>1</v>
      </c>
      <c r="E138" s="176">
        <v>2025</v>
      </c>
      <c r="F138" s="176">
        <v>2025</v>
      </c>
      <c r="G138" s="175" t="s">
        <v>23</v>
      </c>
      <c r="H138" s="175" t="s">
        <v>86</v>
      </c>
      <c r="I138" s="175" t="s">
        <v>105</v>
      </c>
      <c r="J138" s="177" t="s">
        <v>1922</v>
      </c>
      <c r="K138" s="175" t="s">
        <v>1923</v>
      </c>
      <c r="L138" s="175" t="s">
        <v>21</v>
      </c>
      <c r="M138" s="175" t="s">
        <v>21</v>
      </c>
      <c r="N138" s="175">
        <v>4</v>
      </c>
      <c r="O138" s="175" t="s">
        <v>415</v>
      </c>
      <c r="P138" s="175" t="s">
        <v>427</v>
      </c>
      <c r="Q138" s="175" t="s">
        <v>1504</v>
      </c>
      <c r="R138" s="175" t="s">
        <v>339</v>
      </c>
      <c r="S138" s="175" t="s">
        <v>22</v>
      </c>
      <c r="T138" s="175" t="s">
        <v>337</v>
      </c>
      <c r="U138" s="176">
        <v>10</v>
      </c>
      <c r="V138" s="176">
        <v>116</v>
      </c>
      <c r="W138" s="176" t="s">
        <v>21</v>
      </c>
      <c r="X138" s="179">
        <f t="shared" si="22"/>
        <v>116</v>
      </c>
      <c r="Y138" s="176">
        <v>4</v>
      </c>
      <c r="Z138" s="176" t="s">
        <v>20</v>
      </c>
      <c r="AA138" s="176" t="s">
        <v>18</v>
      </c>
      <c r="AB138" s="185" t="s">
        <v>18</v>
      </c>
      <c r="AC138" s="186" t="s">
        <v>21</v>
      </c>
      <c r="AD138" s="181" t="s">
        <v>1925</v>
      </c>
      <c r="AE138" s="179" t="s">
        <v>18</v>
      </c>
      <c r="AF138" s="191"/>
      <c r="AG138" s="174" t="s">
        <v>990</v>
      </c>
      <c r="AH138" s="179">
        <v>29</v>
      </c>
      <c r="AI138" s="179">
        <v>3</v>
      </c>
      <c r="AJ138" s="200">
        <f t="shared" si="23"/>
        <v>1160</v>
      </c>
      <c r="AK138" s="183">
        <f t="shared" si="24"/>
        <v>7434</v>
      </c>
      <c r="AL138" s="179">
        <f t="shared" si="30"/>
        <v>29</v>
      </c>
      <c r="AM138" s="183">
        <v>0</v>
      </c>
      <c r="AN138" s="183">
        <f t="shared" si="31"/>
        <v>1160000</v>
      </c>
      <c r="AO138" s="183">
        <f t="shared" si="25"/>
        <v>0</v>
      </c>
      <c r="AP138" s="183">
        <f t="shared" si="26"/>
        <v>0</v>
      </c>
      <c r="AQ138" s="183">
        <f t="shared" si="27"/>
        <v>8623440</v>
      </c>
      <c r="AR138" s="183"/>
      <c r="AS138" s="183">
        <f t="shared" si="28"/>
        <v>0</v>
      </c>
      <c r="AT138" s="183">
        <f t="shared" si="29"/>
        <v>9783440</v>
      </c>
      <c r="AU138" s="175" t="s">
        <v>1506</v>
      </c>
      <c r="AV138" s="175" t="s">
        <v>1507</v>
      </c>
      <c r="AW138" s="175" t="s">
        <v>1508</v>
      </c>
      <c r="AX138" s="175" t="s">
        <v>1767</v>
      </c>
    </row>
    <row r="139" spans="1:50" s="179" customFormat="1" ht="24.95" hidden="1" customHeight="1" x14ac:dyDescent="0.25">
      <c r="A139" s="175">
        <v>14259</v>
      </c>
      <c r="B139" s="175" t="s">
        <v>86</v>
      </c>
      <c r="C139" s="175" t="s">
        <v>29</v>
      </c>
      <c r="D139" s="176">
        <v>1</v>
      </c>
      <c r="E139" s="176">
        <v>2025</v>
      </c>
      <c r="F139" s="176">
        <v>2025</v>
      </c>
      <c r="G139" s="175" t="s">
        <v>23</v>
      </c>
      <c r="H139" s="175" t="s">
        <v>86</v>
      </c>
      <c r="I139" s="175" t="s">
        <v>105</v>
      </c>
      <c r="J139" s="177" t="s">
        <v>1971</v>
      </c>
      <c r="K139" s="175" t="s">
        <v>992</v>
      </c>
      <c r="L139" s="175" t="s">
        <v>21</v>
      </c>
      <c r="M139" s="175" t="s">
        <v>21</v>
      </c>
      <c r="N139" s="175">
        <v>13</v>
      </c>
      <c r="O139" s="175" t="s">
        <v>382</v>
      </c>
      <c r="P139" s="175" t="s">
        <v>776</v>
      </c>
      <c r="Q139" s="175" t="s">
        <v>1201</v>
      </c>
      <c r="R139" s="175" t="s">
        <v>339</v>
      </c>
      <c r="S139" s="175" t="s">
        <v>22</v>
      </c>
      <c r="T139" s="175" t="s">
        <v>337</v>
      </c>
      <c r="U139" s="176">
        <v>20</v>
      </c>
      <c r="V139" s="176">
        <v>200</v>
      </c>
      <c r="W139" s="176" t="s">
        <v>21</v>
      </c>
      <c r="X139" s="179">
        <f t="shared" si="22"/>
        <v>200</v>
      </c>
      <c r="Y139" s="176">
        <v>4</v>
      </c>
      <c r="Z139" s="176" t="s">
        <v>20</v>
      </c>
      <c r="AA139" s="176" t="s">
        <v>18</v>
      </c>
      <c r="AB139" s="185" t="s">
        <v>18</v>
      </c>
      <c r="AC139" s="186" t="s">
        <v>1972</v>
      </c>
      <c r="AD139" s="181" t="s">
        <v>1973</v>
      </c>
      <c r="AE139" s="179" t="s">
        <v>18</v>
      </c>
      <c r="AF139" s="191"/>
      <c r="AG139" s="174" t="s">
        <v>990</v>
      </c>
      <c r="AH139" s="179">
        <v>50</v>
      </c>
      <c r="AI139" s="179">
        <v>2</v>
      </c>
      <c r="AJ139" s="200">
        <f t="shared" si="23"/>
        <v>4000</v>
      </c>
      <c r="AK139" s="183">
        <f t="shared" si="24"/>
        <v>6372</v>
      </c>
      <c r="AL139" s="179">
        <f t="shared" si="30"/>
        <v>50</v>
      </c>
      <c r="AM139" s="183">
        <v>0</v>
      </c>
      <c r="AN139" s="183">
        <f t="shared" si="31"/>
        <v>4000000</v>
      </c>
      <c r="AO139" s="183">
        <f t="shared" si="25"/>
        <v>0</v>
      </c>
      <c r="AP139" s="183">
        <f t="shared" si="26"/>
        <v>0</v>
      </c>
      <c r="AQ139" s="183">
        <f t="shared" si="27"/>
        <v>25488000</v>
      </c>
      <c r="AR139" s="183"/>
      <c r="AS139" s="183">
        <f t="shared" si="28"/>
        <v>0</v>
      </c>
      <c r="AT139" s="183">
        <f t="shared" si="29"/>
        <v>29488000</v>
      </c>
      <c r="AU139" s="175" t="s">
        <v>1974</v>
      </c>
      <c r="AV139" s="175" t="s">
        <v>1975</v>
      </c>
      <c r="AW139" s="175" t="s">
        <v>1868</v>
      </c>
      <c r="AX139" s="175" t="s">
        <v>1017</v>
      </c>
    </row>
    <row r="140" spans="1:50" s="179" customFormat="1" ht="24.95" hidden="1" customHeight="1" x14ac:dyDescent="0.25">
      <c r="A140" s="175">
        <v>14260</v>
      </c>
      <c r="B140" s="175" t="s">
        <v>86</v>
      </c>
      <c r="C140" s="175" t="s">
        <v>29</v>
      </c>
      <c r="D140" s="176">
        <v>1</v>
      </c>
      <c r="E140" s="176">
        <v>2025</v>
      </c>
      <c r="F140" s="176">
        <v>2025</v>
      </c>
      <c r="G140" s="175" t="s">
        <v>23</v>
      </c>
      <c r="H140" s="175" t="s">
        <v>86</v>
      </c>
      <c r="I140" s="175" t="s">
        <v>105</v>
      </c>
      <c r="J140" s="177" t="s">
        <v>2006</v>
      </c>
      <c r="K140" s="175" t="s">
        <v>992</v>
      </c>
      <c r="L140" s="175" t="s">
        <v>21</v>
      </c>
      <c r="M140" s="175" t="s">
        <v>21</v>
      </c>
      <c r="N140" s="175">
        <v>13</v>
      </c>
      <c r="O140" s="175" t="s">
        <v>382</v>
      </c>
      <c r="P140" s="175" t="s">
        <v>756</v>
      </c>
      <c r="Q140" s="175" t="s">
        <v>1201</v>
      </c>
      <c r="R140" s="175" t="s">
        <v>339</v>
      </c>
      <c r="S140" s="175" t="s">
        <v>22</v>
      </c>
      <c r="T140" s="175" t="s">
        <v>337</v>
      </c>
      <c r="U140" s="176">
        <v>20</v>
      </c>
      <c r="V140" s="176">
        <v>200</v>
      </c>
      <c r="W140" s="176" t="s">
        <v>21</v>
      </c>
      <c r="X140" s="179">
        <f t="shared" si="22"/>
        <v>200</v>
      </c>
      <c r="Y140" s="176">
        <v>4</v>
      </c>
      <c r="Z140" s="176" t="s">
        <v>20</v>
      </c>
      <c r="AA140" s="176" t="s">
        <v>18</v>
      </c>
      <c r="AB140" s="185" t="s">
        <v>18</v>
      </c>
      <c r="AC140" s="186" t="s">
        <v>2007</v>
      </c>
      <c r="AD140" s="181" t="s">
        <v>1904</v>
      </c>
      <c r="AE140" s="179" t="s">
        <v>18</v>
      </c>
      <c r="AF140" s="191"/>
      <c r="AG140" s="174" t="s">
        <v>990</v>
      </c>
      <c r="AH140" s="179">
        <v>50</v>
      </c>
      <c r="AI140" s="179">
        <v>2</v>
      </c>
      <c r="AJ140" s="200">
        <f t="shared" si="23"/>
        <v>4000</v>
      </c>
      <c r="AK140" s="183">
        <f t="shared" si="24"/>
        <v>6372</v>
      </c>
      <c r="AL140" s="179">
        <f t="shared" si="30"/>
        <v>50</v>
      </c>
      <c r="AM140" s="183">
        <v>0</v>
      </c>
      <c r="AN140" s="183">
        <f t="shared" si="31"/>
        <v>4000000</v>
      </c>
      <c r="AO140" s="183">
        <f t="shared" si="25"/>
        <v>0</v>
      </c>
      <c r="AP140" s="183">
        <f t="shared" si="26"/>
        <v>0</v>
      </c>
      <c r="AQ140" s="183">
        <f t="shared" si="27"/>
        <v>25488000</v>
      </c>
      <c r="AR140" s="183"/>
      <c r="AS140" s="183">
        <f t="shared" si="28"/>
        <v>0</v>
      </c>
      <c r="AT140" s="183">
        <f t="shared" si="29"/>
        <v>29488000</v>
      </c>
      <c r="AU140" s="175" t="s">
        <v>1974</v>
      </c>
      <c r="AV140" s="175" t="s">
        <v>1975</v>
      </c>
      <c r="AW140" s="175" t="s">
        <v>1868</v>
      </c>
      <c r="AX140" s="175" t="s">
        <v>1017</v>
      </c>
    </row>
    <row r="141" spans="1:50" s="179" customFormat="1" ht="24.95" hidden="1" customHeight="1" x14ac:dyDescent="0.25">
      <c r="A141" s="175">
        <v>14271</v>
      </c>
      <c r="B141" s="175" t="s">
        <v>86</v>
      </c>
      <c r="C141" s="175" t="s">
        <v>29</v>
      </c>
      <c r="D141" s="176">
        <v>1</v>
      </c>
      <c r="E141" s="176">
        <v>2025</v>
      </c>
      <c r="F141" s="176">
        <v>2025</v>
      </c>
      <c r="G141" s="175" t="s">
        <v>23</v>
      </c>
      <c r="H141" s="175" t="s">
        <v>86</v>
      </c>
      <c r="I141" s="175" t="s">
        <v>105</v>
      </c>
      <c r="J141" s="177" t="s">
        <v>2006</v>
      </c>
      <c r="K141" s="175" t="s">
        <v>992</v>
      </c>
      <c r="L141" s="175" t="s">
        <v>21</v>
      </c>
      <c r="M141" s="175" t="s">
        <v>21</v>
      </c>
      <c r="N141" s="175">
        <v>13</v>
      </c>
      <c r="O141" s="175" t="s">
        <v>382</v>
      </c>
      <c r="P141" s="175" t="s">
        <v>714</v>
      </c>
      <c r="Q141" s="175" t="s">
        <v>1201</v>
      </c>
      <c r="R141" s="175" t="s">
        <v>339</v>
      </c>
      <c r="S141" s="175" t="s">
        <v>22</v>
      </c>
      <c r="T141" s="175" t="s">
        <v>337</v>
      </c>
      <c r="U141" s="176">
        <v>20</v>
      </c>
      <c r="V141" s="176">
        <v>200</v>
      </c>
      <c r="W141" s="176" t="s">
        <v>21</v>
      </c>
      <c r="X141" s="179">
        <f t="shared" si="22"/>
        <v>200</v>
      </c>
      <c r="Y141" s="176">
        <v>4</v>
      </c>
      <c r="Z141" s="176" t="s">
        <v>20</v>
      </c>
      <c r="AA141" s="176" t="s">
        <v>18</v>
      </c>
      <c r="AB141" s="185" t="s">
        <v>18</v>
      </c>
      <c r="AC141" s="186" t="s">
        <v>2008</v>
      </c>
      <c r="AD141" s="181" t="s">
        <v>1904</v>
      </c>
      <c r="AE141" s="179" t="s">
        <v>18</v>
      </c>
      <c r="AF141" s="191"/>
      <c r="AG141" s="174" t="s">
        <v>990</v>
      </c>
      <c r="AH141" s="179">
        <v>50</v>
      </c>
      <c r="AI141" s="179">
        <v>2</v>
      </c>
      <c r="AJ141" s="200">
        <f t="shared" si="23"/>
        <v>4000</v>
      </c>
      <c r="AK141" s="183">
        <f t="shared" si="24"/>
        <v>6372</v>
      </c>
      <c r="AL141" s="179">
        <f t="shared" si="30"/>
        <v>50</v>
      </c>
      <c r="AM141" s="183">
        <v>0</v>
      </c>
      <c r="AN141" s="183">
        <f t="shared" si="31"/>
        <v>4000000</v>
      </c>
      <c r="AO141" s="183">
        <f t="shared" si="25"/>
        <v>0</v>
      </c>
      <c r="AP141" s="183">
        <f t="shared" si="26"/>
        <v>0</v>
      </c>
      <c r="AQ141" s="183">
        <f t="shared" si="27"/>
        <v>25488000</v>
      </c>
      <c r="AR141" s="183"/>
      <c r="AS141" s="183">
        <f t="shared" si="28"/>
        <v>0</v>
      </c>
      <c r="AT141" s="183">
        <f t="shared" si="29"/>
        <v>29488000</v>
      </c>
      <c r="AU141" s="175" t="s">
        <v>1974</v>
      </c>
      <c r="AV141" s="175" t="s">
        <v>1975</v>
      </c>
      <c r="AW141" s="175" t="s">
        <v>1868</v>
      </c>
      <c r="AX141" s="175" t="s">
        <v>1017</v>
      </c>
    </row>
    <row r="142" spans="1:50" s="179" customFormat="1" ht="24.95" hidden="1" customHeight="1" x14ac:dyDescent="0.25">
      <c r="A142" s="175">
        <v>14258</v>
      </c>
      <c r="B142" s="175" t="s">
        <v>86</v>
      </c>
      <c r="C142" s="175" t="s">
        <v>29</v>
      </c>
      <c r="D142" s="176">
        <v>1</v>
      </c>
      <c r="E142" s="176">
        <v>2025</v>
      </c>
      <c r="F142" s="176">
        <v>2025</v>
      </c>
      <c r="G142" s="175" t="s">
        <v>23</v>
      </c>
      <c r="H142" s="175" t="s">
        <v>86</v>
      </c>
      <c r="I142" s="175" t="s">
        <v>105</v>
      </c>
      <c r="J142" s="177" t="s">
        <v>2019</v>
      </c>
      <c r="K142" s="175" t="s">
        <v>992</v>
      </c>
      <c r="L142" s="175" t="s">
        <v>21</v>
      </c>
      <c r="M142" s="175" t="s">
        <v>21</v>
      </c>
      <c r="N142" s="175">
        <v>13</v>
      </c>
      <c r="O142" s="175" t="s">
        <v>382</v>
      </c>
      <c r="P142" s="175" t="s">
        <v>885</v>
      </c>
      <c r="Q142" s="175" t="s">
        <v>1201</v>
      </c>
      <c r="R142" s="175" t="s">
        <v>339</v>
      </c>
      <c r="S142" s="175" t="s">
        <v>22</v>
      </c>
      <c r="T142" s="175" t="s">
        <v>337</v>
      </c>
      <c r="U142" s="176">
        <v>20</v>
      </c>
      <c r="V142" s="176">
        <v>100</v>
      </c>
      <c r="W142" s="176" t="s">
        <v>21</v>
      </c>
      <c r="X142" s="179">
        <f t="shared" si="22"/>
        <v>100</v>
      </c>
      <c r="Y142" s="176">
        <v>4</v>
      </c>
      <c r="Z142" s="176" t="s">
        <v>20</v>
      </c>
      <c r="AA142" s="176" t="s">
        <v>18</v>
      </c>
      <c r="AB142" s="185" t="s">
        <v>18</v>
      </c>
      <c r="AC142" s="186" t="s">
        <v>2020</v>
      </c>
      <c r="AD142" s="181" t="s">
        <v>1904</v>
      </c>
      <c r="AE142" s="179" t="s">
        <v>18</v>
      </c>
      <c r="AF142" s="191"/>
      <c r="AG142" s="174" t="s">
        <v>990</v>
      </c>
      <c r="AH142" s="179">
        <v>25</v>
      </c>
      <c r="AI142" s="179">
        <v>2</v>
      </c>
      <c r="AJ142" s="200">
        <f t="shared" si="23"/>
        <v>2000</v>
      </c>
      <c r="AK142" s="183">
        <f t="shared" si="24"/>
        <v>6372</v>
      </c>
      <c r="AL142" s="179">
        <f t="shared" si="30"/>
        <v>25</v>
      </c>
      <c r="AM142" s="183">
        <v>0</v>
      </c>
      <c r="AN142" s="183">
        <f t="shared" si="31"/>
        <v>2000000</v>
      </c>
      <c r="AO142" s="183">
        <f t="shared" si="25"/>
        <v>0</v>
      </c>
      <c r="AP142" s="183">
        <f t="shared" si="26"/>
        <v>0</v>
      </c>
      <c r="AQ142" s="183">
        <f t="shared" si="27"/>
        <v>12744000</v>
      </c>
      <c r="AR142" s="183"/>
      <c r="AS142" s="183">
        <f t="shared" si="28"/>
        <v>0</v>
      </c>
      <c r="AT142" s="183">
        <f t="shared" si="29"/>
        <v>14744000</v>
      </c>
      <c r="AU142" s="175" t="s">
        <v>1974</v>
      </c>
      <c r="AV142" s="175" t="s">
        <v>1975</v>
      </c>
      <c r="AW142" s="175" t="s">
        <v>1868</v>
      </c>
      <c r="AX142" s="175" t="s">
        <v>1017</v>
      </c>
    </row>
    <row r="143" spans="1:50" s="179" customFormat="1" ht="24.95" hidden="1" customHeight="1" x14ac:dyDescent="0.25">
      <c r="A143" s="175">
        <v>14272</v>
      </c>
      <c r="B143" s="175" t="s">
        <v>86</v>
      </c>
      <c r="C143" s="175" t="s">
        <v>29</v>
      </c>
      <c r="D143" s="176">
        <v>1</v>
      </c>
      <c r="E143" s="176">
        <v>2025</v>
      </c>
      <c r="F143" s="176">
        <v>2025</v>
      </c>
      <c r="G143" s="175" t="s">
        <v>23</v>
      </c>
      <c r="H143" s="175" t="s">
        <v>86</v>
      </c>
      <c r="I143" s="175" t="s">
        <v>105</v>
      </c>
      <c r="J143" s="177" t="s">
        <v>2019</v>
      </c>
      <c r="K143" s="175" t="s">
        <v>992</v>
      </c>
      <c r="L143" s="175" t="s">
        <v>21</v>
      </c>
      <c r="M143" s="175" t="s">
        <v>21</v>
      </c>
      <c r="N143" s="175">
        <v>13</v>
      </c>
      <c r="O143" s="175" t="s">
        <v>382</v>
      </c>
      <c r="P143" s="175" t="s">
        <v>734</v>
      </c>
      <c r="Q143" s="175" t="s">
        <v>1201</v>
      </c>
      <c r="R143" s="175" t="s">
        <v>339</v>
      </c>
      <c r="S143" s="175" t="s">
        <v>22</v>
      </c>
      <c r="T143" s="175" t="s">
        <v>337</v>
      </c>
      <c r="U143" s="176">
        <v>18</v>
      </c>
      <c r="V143" s="176">
        <v>100</v>
      </c>
      <c r="W143" s="176" t="s">
        <v>21</v>
      </c>
      <c r="X143" s="179">
        <f t="shared" si="22"/>
        <v>100</v>
      </c>
      <c r="Y143" s="176">
        <v>4</v>
      </c>
      <c r="Z143" s="176" t="s">
        <v>20</v>
      </c>
      <c r="AA143" s="176" t="s">
        <v>18</v>
      </c>
      <c r="AB143" s="185" t="s">
        <v>18</v>
      </c>
      <c r="AC143" s="186" t="s">
        <v>2021</v>
      </c>
      <c r="AD143" s="181" t="s">
        <v>2022</v>
      </c>
      <c r="AE143" s="179" t="s">
        <v>18</v>
      </c>
      <c r="AF143" s="191"/>
      <c r="AG143" s="174" t="s">
        <v>990</v>
      </c>
      <c r="AH143" s="179">
        <v>25</v>
      </c>
      <c r="AI143" s="179">
        <v>2</v>
      </c>
      <c r="AJ143" s="200">
        <f t="shared" si="23"/>
        <v>1800</v>
      </c>
      <c r="AK143" s="183">
        <f t="shared" si="24"/>
        <v>6372</v>
      </c>
      <c r="AL143" s="179">
        <f t="shared" si="30"/>
        <v>25</v>
      </c>
      <c r="AM143" s="183">
        <v>0</v>
      </c>
      <c r="AN143" s="183">
        <f t="shared" si="31"/>
        <v>1800000</v>
      </c>
      <c r="AO143" s="183">
        <f t="shared" si="25"/>
        <v>0</v>
      </c>
      <c r="AP143" s="183">
        <f t="shared" si="26"/>
        <v>0</v>
      </c>
      <c r="AQ143" s="183">
        <f t="shared" si="27"/>
        <v>11469600</v>
      </c>
      <c r="AR143" s="183"/>
      <c r="AS143" s="183">
        <f t="shared" si="28"/>
        <v>0</v>
      </c>
      <c r="AT143" s="183">
        <f t="shared" si="29"/>
        <v>13269600</v>
      </c>
      <c r="AU143" s="175" t="s">
        <v>1974</v>
      </c>
      <c r="AV143" s="175" t="s">
        <v>1975</v>
      </c>
      <c r="AW143" s="175" t="s">
        <v>1868</v>
      </c>
      <c r="AX143" s="175" t="s">
        <v>1017</v>
      </c>
    </row>
    <row r="144" spans="1:50" s="179" customFormat="1" ht="24.95" hidden="1" customHeight="1" x14ac:dyDescent="0.25">
      <c r="A144" s="175">
        <v>14300</v>
      </c>
      <c r="B144" s="175" t="s">
        <v>86</v>
      </c>
      <c r="C144" s="175" t="s">
        <v>29</v>
      </c>
      <c r="D144" s="176">
        <v>1</v>
      </c>
      <c r="E144" s="176">
        <v>2025</v>
      </c>
      <c r="F144" s="176">
        <v>2025</v>
      </c>
      <c r="G144" s="175" t="s">
        <v>23</v>
      </c>
      <c r="H144" s="175" t="s">
        <v>86</v>
      </c>
      <c r="I144" s="175" t="s">
        <v>105</v>
      </c>
      <c r="J144" s="177" t="s">
        <v>790</v>
      </c>
      <c r="K144" s="175" t="s">
        <v>789</v>
      </c>
      <c r="L144" s="175" t="s">
        <v>1955</v>
      </c>
      <c r="M144" s="175" t="s">
        <v>1956</v>
      </c>
      <c r="N144" s="175">
        <v>8</v>
      </c>
      <c r="O144" s="175" t="s">
        <v>709</v>
      </c>
      <c r="P144" s="175" t="s">
        <v>847</v>
      </c>
      <c r="Q144" s="175" t="s">
        <v>388</v>
      </c>
      <c r="R144" s="175" t="s">
        <v>339</v>
      </c>
      <c r="S144" s="175" t="s">
        <v>19</v>
      </c>
      <c r="T144" s="175" t="s">
        <v>337</v>
      </c>
      <c r="U144" s="176">
        <v>20</v>
      </c>
      <c r="V144" s="176">
        <v>160</v>
      </c>
      <c r="W144" s="176">
        <v>12</v>
      </c>
      <c r="X144" s="179">
        <f t="shared" si="22"/>
        <v>172</v>
      </c>
      <c r="Y144" s="176">
        <v>6</v>
      </c>
      <c r="Z144" s="176" t="s">
        <v>20</v>
      </c>
      <c r="AA144" s="176" t="s">
        <v>18</v>
      </c>
      <c r="AB144" s="185" t="s">
        <v>18</v>
      </c>
      <c r="AC144" s="186" t="s">
        <v>21</v>
      </c>
      <c r="AD144" s="181" t="s">
        <v>2042</v>
      </c>
      <c r="AE144" s="179" t="s">
        <v>18</v>
      </c>
      <c r="AF144" s="191"/>
      <c r="AG144" s="174" t="s">
        <v>990</v>
      </c>
      <c r="AH144" s="179">
        <v>29</v>
      </c>
      <c r="AI144" s="179">
        <f>VLOOKUP(K144,[1]TRAMO!$A:$B,2,0)</f>
        <v>2</v>
      </c>
      <c r="AJ144" s="200">
        <f t="shared" si="23"/>
        <v>3440</v>
      </c>
      <c r="AK144" s="183">
        <f t="shared" si="24"/>
        <v>6372</v>
      </c>
      <c r="AL144" s="179">
        <f t="shared" si="30"/>
        <v>28.666666666666668</v>
      </c>
      <c r="AM144" s="183">
        <v>0</v>
      </c>
      <c r="AN144" s="183">
        <f t="shared" si="31"/>
        <v>2320000</v>
      </c>
      <c r="AO144" s="183">
        <f t="shared" si="25"/>
        <v>0</v>
      </c>
      <c r="AP144" s="183">
        <f t="shared" si="26"/>
        <v>0</v>
      </c>
      <c r="AQ144" s="183">
        <f t="shared" si="27"/>
        <v>21919680</v>
      </c>
      <c r="AR144" s="183"/>
      <c r="AS144" s="183">
        <f t="shared" si="28"/>
        <v>0</v>
      </c>
      <c r="AT144" s="183">
        <f t="shared" si="29"/>
        <v>24239680</v>
      </c>
      <c r="AU144" s="175" t="s">
        <v>2043</v>
      </c>
      <c r="AV144" s="175" t="s">
        <v>2044</v>
      </c>
      <c r="AW144" s="175" t="s">
        <v>2045</v>
      </c>
      <c r="AX144" s="175" t="s">
        <v>2046</v>
      </c>
    </row>
    <row r="145" spans="1:50" s="179" customFormat="1" ht="24.95" hidden="1" customHeight="1" x14ac:dyDescent="0.25">
      <c r="A145" s="175">
        <v>14255</v>
      </c>
      <c r="B145" s="175" t="s">
        <v>86</v>
      </c>
      <c r="C145" s="175" t="s">
        <v>29</v>
      </c>
      <c r="D145" s="176">
        <v>1</v>
      </c>
      <c r="E145" s="176">
        <v>2025</v>
      </c>
      <c r="F145" s="176">
        <v>2025</v>
      </c>
      <c r="G145" s="175" t="s">
        <v>23</v>
      </c>
      <c r="H145" s="175" t="s">
        <v>86</v>
      </c>
      <c r="I145" s="175" t="s">
        <v>105</v>
      </c>
      <c r="J145" s="177" t="s">
        <v>786</v>
      </c>
      <c r="K145" s="175" t="s">
        <v>785</v>
      </c>
      <c r="L145" s="175" t="s">
        <v>345</v>
      </c>
      <c r="M145" s="175" t="s">
        <v>346</v>
      </c>
      <c r="N145" s="175">
        <v>4</v>
      </c>
      <c r="O145" s="175" t="s">
        <v>415</v>
      </c>
      <c r="P145" s="175" t="s">
        <v>884</v>
      </c>
      <c r="Q145" s="175" t="s">
        <v>1201</v>
      </c>
      <c r="R145" s="175" t="s">
        <v>339</v>
      </c>
      <c r="S145" s="175" t="s">
        <v>19</v>
      </c>
      <c r="T145" s="175" t="s">
        <v>1598</v>
      </c>
      <c r="U145" s="176">
        <v>20</v>
      </c>
      <c r="V145" s="176">
        <v>120</v>
      </c>
      <c r="W145" s="176">
        <v>12</v>
      </c>
      <c r="X145" s="179">
        <f t="shared" si="22"/>
        <v>132</v>
      </c>
      <c r="Y145" s="176">
        <v>4</v>
      </c>
      <c r="Z145" s="176" t="s">
        <v>20</v>
      </c>
      <c r="AA145" s="176" t="s">
        <v>18</v>
      </c>
      <c r="AB145" s="176" t="s">
        <v>20</v>
      </c>
      <c r="AC145" s="186" t="s">
        <v>21</v>
      </c>
      <c r="AD145" s="181" t="s">
        <v>2057</v>
      </c>
      <c r="AE145" s="179" t="s">
        <v>18</v>
      </c>
      <c r="AF145" s="191"/>
      <c r="AG145" s="174" t="s">
        <v>990</v>
      </c>
      <c r="AH145" s="179">
        <v>33</v>
      </c>
      <c r="AI145" s="179">
        <f>VLOOKUP(K145,[1]TRAMO!$A:$B,2,0)</f>
        <v>2</v>
      </c>
      <c r="AJ145" s="200">
        <f t="shared" si="23"/>
        <v>2640</v>
      </c>
      <c r="AK145" s="183">
        <f t="shared" si="24"/>
        <v>6372</v>
      </c>
      <c r="AL145" s="179">
        <f t="shared" si="30"/>
        <v>33</v>
      </c>
      <c r="AM145" s="183">
        <v>0</v>
      </c>
      <c r="AN145" s="183">
        <f t="shared" si="31"/>
        <v>2640000</v>
      </c>
      <c r="AO145" s="183">
        <f t="shared" si="25"/>
        <v>0</v>
      </c>
      <c r="AP145" s="183">
        <f t="shared" si="26"/>
        <v>5400000</v>
      </c>
      <c r="AQ145" s="183">
        <f t="shared" si="27"/>
        <v>16822080</v>
      </c>
      <c r="AR145" s="183"/>
      <c r="AS145" s="183">
        <f t="shared" si="28"/>
        <v>0</v>
      </c>
      <c r="AT145" s="183">
        <f t="shared" si="29"/>
        <v>24862080</v>
      </c>
      <c r="AU145" s="175" t="s">
        <v>1600</v>
      </c>
      <c r="AV145" s="175" t="s">
        <v>1601</v>
      </c>
      <c r="AW145" s="175" t="s">
        <v>2058</v>
      </c>
      <c r="AX145" s="175" t="s">
        <v>1604</v>
      </c>
    </row>
    <row r="146" spans="1:50" s="179" customFormat="1" ht="24.95" hidden="1" customHeight="1" x14ac:dyDescent="0.25">
      <c r="A146" s="175">
        <v>14225</v>
      </c>
      <c r="B146" s="175" t="s">
        <v>86</v>
      </c>
      <c r="C146" s="175" t="s">
        <v>29</v>
      </c>
      <c r="D146" s="176">
        <v>1</v>
      </c>
      <c r="E146" s="176">
        <v>2025</v>
      </c>
      <c r="F146" s="176">
        <v>2025</v>
      </c>
      <c r="G146" s="175" t="s">
        <v>23</v>
      </c>
      <c r="H146" s="175" t="s">
        <v>86</v>
      </c>
      <c r="I146" s="175" t="s">
        <v>105</v>
      </c>
      <c r="J146" s="177" t="s">
        <v>718</v>
      </c>
      <c r="K146" s="175" t="s">
        <v>719</v>
      </c>
      <c r="L146" s="175" t="s">
        <v>345</v>
      </c>
      <c r="M146" s="175" t="s">
        <v>346</v>
      </c>
      <c r="N146" s="175">
        <v>13</v>
      </c>
      <c r="O146" s="175" t="s">
        <v>382</v>
      </c>
      <c r="P146" s="175" t="s">
        <v>416</v>
      </c>
      <c r="Q146" s="175" t="s">
        <v>817</v>
      </c>
      <c r="R146" s="175" t="s">
        <v>339</v>
      </c>
      <c r="S146" s="175" t="s">
        <v>19</v>
      </c>
      <c r="T146" s="175" t="s">
        <v>337</v>
      </c>
      <c r="U146" s="176">
        <v>10</v>
      </c>
      <c r="V146" s="176">
        <v>90</v>
      </c>
      <c r="W146" s="176">
        <v>12</v>
      </c>
      <c r="X146" s="179">
        <f t="shared" si="22"/>
        <v>102</v>
      </c>
      <c r="Y146" s="176">
        <v>4</v>
      </c>
      <c r="Z146" s="176" t="s">
        <v>20</v>
      </c>
      <c r="AA146" s="176" t="s">
        <v>20</v>
      </c>
      <c r="AB146" s="185" t="s">
        <v>18</v>
      </c>
      <c r="AC146" s="186" t="s">
        <v>21</v>
      </c>
      <c r="AD146" s="181" t="s">
        <v>2071</v>
      </c>
      <c r="AE146" s="179" t="s">
        <v>18</v>
      </c>
      <c r="AF146" s="191"/>
      <c r="AG146" s="174" t="s">
        <v>990</v>
      </c>
      <c r="AH146" s="179">
        <v>26</v>
      </c>
      <c r="AI146" s="179">
        <f>VLOOKUP(K146,[1]TRAMO!$A:$B,2,0)</f>
        <v>2</v>
      </c>
      <c r="AJ146" s="200">
        <f t="shared" si="23"/>
        <v>1020</v>
      </c>
      <c r="AK146" s="183">
        <f t="shared" si="24"/>
        <v>6372</v>
      </c>
      <c r="AL146" s="179">
        <f t="shared" si="30"/>
        <v>25.5</v>
      </c>
      <c r="AM146" s="183">
        <v>0</v>
      </c>
      <c r="AN146" s="183">
        <f t="shared" si="31"/>
        <v>1040000</v>
      </c>
      <c r="AO146" s="183">
        <f t="shared" si="25"/>
        <v>1300000</v>
      </c>
      <c r="AP146" s="183">
        <f t="shared" si="26"/>
        <v>0</v>
      </c>
      <c r="AQ146" s="183">
        <f t="shared" si="27"/>
        <v>6499440</v>
      </c>
      <c r="AR146" s="183"/>
      <c r="AS146" s="183">
        <f t="shared" si="28"/>
        <v>0</v>
      </c>
      <c r="AT146" s="183">
        <f t="shared" si="29"/>
        <v>8839440</v>
      </c>
      <c r="AU146" s="175" t="s">
        <v>2072</v>
      </c>
      <c r="AV146" s="175" t="s">
        <v>2073</v>
      </c>
      <c r="AW146" s="175" t="s">
        <v>2074</v>
      </c>
      <c r="AX146" s="175" t="s">
        <v>2075</v>
      </c>
    </row>
    <row r="147" spans="1:50" s="179" customFormat="1" ht="24.95" hidden="1" customHeight="1" x14ac:dyDescent="0.25">
      <c r="A147" s="175">
        <v>14247</v>
      </c>
      <c r="B147" s="175" t="s">
        <v>86</v>
      </c>
      <c r="C147" s="175" t="s">
        <v>29</v>
      </c>
      <c r="D147" s="176">
        <v>1</v>
      </c>
      <c r="E147" s="176">
        <v>2025</v>
      </c>
      <c r="F147" s="176">
        <v>2025</v>
      </c>
      <c r="G147" s="175" t="s">
        <v>23</v>
      </c>
      <c r="H147" s="175" t="s">
        <v>86</v>
      </c>
      <c r="I147" s="175" t="s">
        <v>105</v>
      </c>
      <c r="J147" s="177" t="s">
        <v>718</v>
      </c>
      <c r="K147" s="175" t="s">
        <v>719</v>
      </c>
      <c r="L147" s="175" t="s">
        <v>345</v>
      </c>
      <c r="M147" s="175" t="s">
        <v>346</v>
      </c>
      <c r="N147" s="175">
        <v>13</v>
      </c>
      <c r="O147" s="175" t="s">
        <v>382</v>
      </c>
      <c r="P147" s="175" t="s">
        <v>416</v>
      </c>
      <c r="Q147" s="175" t="s">
        <v>1201</v>
      </c>
      <c r="R147" s="175" t="s">
        <v>339</v>
      </c>
      <c r="S147" s="175" t="s">
        <v>19</v>
      </c>
      <c r="T147" s="175" t="s">
        <v>784</v>
      </c>
      <c r="U147" s="176">
        <v>15</v>
      </c>
      <c r="V147" s="176">
        <v>90</v>
      </c>
      <c r="W147" s="176">
        <v>12</v>
      </c>
      <c r="X147" s="179">
        <f t="shared" si="22"/>
        <v>102</v>
      </c>
      <c r="Y147" s="176">
        <v>4</v>
      </c>
      <c r="Z147" s="176" t="s">
        <v>20</v>
      </c>
      <c r="AA147" s="176" t="s">
        <v>18</v>
      </c>
      <c r="AB147" s="176" t="s">
        <v>20</v>
      </c>
      <c r="AC147" s="186" t="s">
        <v>21</v>
      </c>
      <c r="AD147" s="181" t="s">
        <v>2076</v>
      </c>
      <c r="AE147" s="179" t="s">
        <v>18</v>
      </c>
      <c r="AF147" s="191"/>
      <c r="AG147" s="174" t="s">
        <v>990</v>
      </c>
      <c r="AH147" s="179">
        <v>26</v>
      </c>
      <c r="AI147" s="179">
        <f>VLOOKUP(K147,[1]TRAMO!$A:$B,2,0)</f>
        <v>2</v>
      </c>
      <c r="AJ147" s="200">
        <f t="shared" si="23"/>
        <v>1530</v>
      </c>
      <c r="AK147" s="183">
        <f t="shared" si="24"/>
        <v>6372</v>
      </c>
      <c r="AL147" s="179">
        <f t="shared" si="30"/>
        <v>25.5</v>
      </c>
      <c r="AM147" s="183">
        <v>0</v>
      </c>
      <c r="AN147" s="183">
        <f t="shared" si="31"/>
        <v>1560000</v>
      </c>
      <c r="AO147" s="183">
        <f t="shared" si="25"/>
        <v>0</v>
      </c>
      <c r="AP147" s="183">
        <f t="shared" si="26"/>
        <v>4050000</v>
      </c>
      <c r="AQ147" s="183">
        <f t="shared" si="27"/>
        <v>9749160</v>
      </c>
      <c r="AR147" s="183"/>
      <c r="AS147" s="183">
        <f t="shared" si="28"/>
        <v>0</v>
      </c>
      <c r="AT147" s="183">
        <f t="shared" si="29"/>
        <v>15359160</v>
      </c>
      <c r="AU147" s="175" t="s">
        <v>2077</v>
      </c>
      <c r="AV147" s="175" t="s">
        <v>1975</v>
      </c>
      <c r="AW147" s="175" t="s">
        <v>2078</v>
      </c>
      <c r="AX147" s="175" t="s">
        <v>1037</v>
      </c>
    </row>
    <row r="148" spans="1:50" s="179" customFormat="1" ht="24.95" hidden="1" customHeight="1" x14ac:dyDescent="0.25">
      <c r="A148" s="192">
        <v>14256</v>
      </c>
      <c r="B148" s="192" t="s">
        <v>86</v>
      </c>
      <c r="C148" s="175" t="s">
        <v>29</v>
      </c>
      <c r="D148" s="176">
        <v>1</v>
      </c>
      <c r="E148" s="176">
        <v>2025</v>
      </c>
      <c r="F148" s="176">
        <v>2025</v>
      </c>
      <c r="G148" s="175" t="s">
        <v>23</v>
      </c>
      <c r="H148" s="192" t="s">
        <v>86</v>
      </c>
      <c r="I148" s="192" t="s">
        <v>105</v>
      </c>
      <c r="J148" s="177" t="s">
        <v>792</v>
      </c>
      <c r="K148" s="192" t="s">
        <v>791</v>
      </c>
      <c r="L148" s="192" t="s">
        <v>345</v>
      </c>
      <c r="M148" s="192" t="s">
        <v>346</v>
      </c>
      <c r="N148" s="175">
        <v>13</v>
      </c>
      <c r="O148" s="192" t="s">
        <v>382</v>
      </c>
      <c r="P148" s="192" t="s">
        <v>416</v>
      </c>
      <c r="Q148" s="192" t="s">
        <v>1201</v>
      </c>
      <c r="R148" s="192" t="s">
        <v>339</v>
      </c>
      <c r="S148" s="192" t="s">
        <v>19</v>
      </c>
      <c r="T148" s="192" t="s">
        <v>393</v>
      </c>
      <c r="U148" s="193">
        <v>18</v>
      </c>
      <c r="V148" s="193">
        <v>100</v>
      </c>
      <c r="W148" s="193">
        <v>12</v>
      </c>
      <c r="X148" s="179">
        <f t="shared" si="22"/>
        <v>112</v>
      </c>
      <c r="Y148" s="193">
        <v>4</v>
      </c>
      <c r="Z148" s="193" t="s">
        <v>20</v>
      </c>
      <c r="AA148" s="193" t="s">
        <v>18</v>
      </c>
      <c r="AB148" s="193" t="s">
        <v>20</v>
      </c>
      <c r="AC148" s="186" t="s">
        <v>21</v>
      </c>
      <c r="AD148" s="181" t="s">
        <v>2086</v>
      </c>
      <c r="AE148" s="179" t="s">
        <v>18</v>
      </c>
      <c r="AF148" s="191"/>
      <c r="AG148" s="174" t="s">
        <v>990</v>
      </c>
      <c r="AH148" s="179">
        <v>28</v>
      </c>
      <c r="AI148" s="179">
        <f>VLOOKUP(K148,[1]TRAMO!$A:$B,2,0)</f>
        <v>1</v>
      </c>
      <c r="AJ148" s="200">
        <f t="shared" si="23"/>
        <v>2016</v>
      </c>
      <c r="AK148" s="183">
        <f t="shared" si="24"/>
        <v>5074</v>
      </c>
      <c r="AL148" s="179">
        <f t="shared" si="30"/>
        <v>28</v>
      </c>
      <c r="AM148" s="183">
        <v>0</v>
      </c>
      <c r="AN148" s="183">
        <f t="shared" si="31"/>
        <v>2016000</v>
      </c>
      <c r="AO148" s="183">
        <f t="shared" si="25"/>
        <v>0</v>
      </c>
      <c r="AP148" s="183">
        <f t="shared" si="26"/>
        <v>4860000</v>
      </c>
      <c r="AQ148" s="183">
        <f t="shared" si="27"/>
        <v>10229184</v>
      </c>
      <c r="AR148" s="183"/>
      <c r="AS148" s="183">
        <f t="shared" si="28"/>
        <v>0</v>
      </c>
      <c r="AT148" s="183">
        <f t="shared" si="29"/>
        <v>17105184</v>
      </c>
      <c r="AU148" s="192" t="s">
        <v>2077</v>
      </c>
      <c r="AV148" s="192" t="s">
        <v>1975</v>
      </c>
      <c r="AW148" s="192" t="s">
        <v>2078</v>
      </c>
      <c r="AX148" s="192" t="s">
        <v>2087</v>
      </c>
    </row>
    <row r="149" spans="1:50" s="179" customFormat="1" ht="24.95" hidden="1" customHeight="1" x14ac:dyDescent="0.25">
      <c r="A149" s="175">
        <v>14237</v>
      </c>
      <c r="B149" s="175" t="s">
        <v>86</v>
      </c>
      <c r="C149" s="175" t="s">
        <v>29</v>
      </c>
      <c r="D149" s="176">
        <v>1</v>
      </c>
      <c r="E149" s="176">
        <v>2025</v>
      </c>
      <c r="F149" s="176">
        <v>2025</v>
      </c>
      <c r="G149" s="175" t="s">
        <v>23</v>
      </c>
      <c r="H149" s="175" t="s">
        <v>86</v>
      </c>
      <c r="I149" s="175" t="s">
        <v>105</v>
      </c>
      <c r="J149" s="177" t="s">
        <v>700</v>
      </c>
      <c r="K149" s="175" t="s">
        <v>701</v>
      </c>
      <c r="L149" s="175" t="s">
        <v>345</v>
      </c>
      <c r="M149" s="175" t="s">
        <v>346</v>
      </c>
      <c r="N149" s="175">
        <v>13</v>
      </c>
      <c r="O149" s="175" t="s">
        <v>382</v>
      </c>
      <c r="P149" s="175" t="s">
        <v>748</v>
      </c>
      <c r="Q149" s="175" t="s">
        <v>1201</v>
      </c>
      <c r="R149" s="175" t="s">
        <v>339</v>
      </c>
      <c r="S149" s="175" t="s">
        <v>19</v>
      </c>
      <c r="T149" s="175" t="s">
        <v>365</v>
      </c>
      <c r="U149" s="176">
        <v>12</v>
      </c>
      <c r="V149" s="176">
        <v>150</v>
      </c>
      <c r="W149" s="176">
        <v>12</v>
      </c>
      <c r="X149" s="179">
        <f t="shared" si="22"/>
        <v>162</v>
      </c>
      <c r="Y149" s="176">
        <v>4</v>
      </c>
      <c r="Z149" s="176" t="s">
        <v>20</v>
      </c>
      <c r="AA149" s="176" t="s">
        <v>18</v>
      </c>
      <c r="AB149" s="176" t="s">
        <v>20</v>
      </c>
      <c r="AC149" s="186" t="s">
        <v>21</v>
      </c>
      <c r="AD149" s="181" t="s">
        <v>2088</v>
      </c>
      <c r="AE149" s="179" t="s">
        <v>18</v>
      </c>
      <c r="AF149" s="191"/>
      <c r="AG149" s="174" t="s">
        <v>990</v>
      </c>
      <c r="AH149" s="179">
        <v>41</v>
      </c>
      <c r="AI149" s="179">
        <f>VLOOKUP(K149,[1]TRAMO!$A:$B,2,0)</f>
        <v>2</v>
      </c>
      <c r="AJ149" s="200">
        <f t="shared" si="23"/>
        <v>1944</v>
      </c>
      <c r="AK149" s="183">
        <f t="shared" si="24"/>
        <v>6372</v>
      </c>
      <c r="AL149" s="179">
        <f t="shared" si="30"/>
        <v>40.5</v>
      </c>
      <c r="AM149" s="183">
        <v>0</v>
      </c>
      <c r="AN149" s="183">
        <f t="shared" si="31"/>
        <v>1968000</v>
      </c>
      <c r="AO149" s="183">
        <f t="shared" si="25"/>
        <v>0</v>
      </c>
      <c r="AP149" s="183">
        <f t="shared" si="26"/>
        <v>3240000</v>
      </c>
      <c r="AQ149" s="183">
        <f t="shared" si="27"/>
        <v>12387168</v>
      </c>
      <c r="AR149" s="183"/>
      <c r="AS149" s="183">
        <f t="shared" si="28"/>
        <v>0</v>
      </c>
      <c r="AT149" s="183">
        <f t="shared" si="29"/>
        <v>17595168</v>
      </c>
      <c r="AU149" s="175" t="s">
        <v>1632</v>
      </c>
      <c r="AV149" s="175" t="s">
        <v>1633</v>
      </c>
      <c r="AW149" s="175" t="s">
        <v>1634</v>
      </c>
      <c r="AX149" s="175" t="s">
        <v>1635</v>
      </c>
    </row>
    <row r="150" spans="1:50" s="179" customFormat="1" ht="24.95" hidden="1" customHeight="1" x14ac:dyDescent="0.25">
      <c r="A150" s="175">
        <v>14244</v>
      </c>
      <c r="B150" s="175" t="s">
        <v>86</v>
      </c>
      <c r="C150" s="175" t="s">
        <v>29</v>
      </c>
      <c r="D150" s="176">
        <v>1</v>
      </c>
      <c r="E150" s="176">
        <v>2025</v>
      </c>
      <c r="F150" s="176">
        <v>2025</v>
      </c>
      <c r="G150" s="175" t="s">
        <v>23</v>
      </c>
      <c r="H150" s="175" t="s">
        <v>86</v>
      </c>
      <c r="I150" s="175" t="s">
        <v>105</v>
      </c>
      <c r="J150" s="177" t="s">
        <v>854</v>
      </c>
      <c r="K150" s="175" t="s">
        <v>853</v>
      </c>
      <c r="L150" s="175" t="s">
        <v>345</v>
      </c>
      <c r="M150" s="175" t="s">
        <v>346</v>
      </c>
      <c r="N150" s="175">
        <v>4</v>
      </c>
      <c r="O150" s="175" t="s">
        <v>415</v>
      </c>
      <c r="P150" s="175" t="s">
        <v>884</v>
      </c>
      <c r="Q150" s="175" t="s">
        <v>1201</v>
      </c>
      <c r="R150" s="175" t="s">
        <v>339</v>
      </c>
      <c r="S150" s="175" t="s">
        <v>19</v>
      </c>
      <c r="T150" s="175" t="s">
        <v>1598</v>
      </c>
      <c r="U150" s="176">
        <v>20</v>
      </c>
      <c r="V150" s="176">
        <v>150</v>
      </c>
      <c r="W150" s="176">
        <v>12</v>
      </c>
      <c r="X150" s="179">
        <f t="shared" si="22"/>
        <v>162</v>
      </c>
      <c r="Y150" s="176">
        <v>4</v>
      </c>
      <c r="Z150" s="176" t="s">
        <v>20</v>
      </c>
      <c r="AA150" s="176" t="s">
        <v>18</v>
      </c>
      <c r="AB150" s="176" t="s">
        <v>20</v>
      </c>
      <c r="AC150" s="186" t="s">
        <v>21</v>
      </c>
      <c r="AD150" s="181" t="s">
        <v>2105</v>
      </c>
      <c r="AE150" s="179" t="s">
        <v>18</v>
      </c>
      <c r="AF150" s="191"/>
      <c r="AG150" s="174" t="s">
        <v>990</v>
      </c>
      <c r="AH150" s="179">
        <v>41</v>
      </c>
      <c r="AI150" s="179">
        <f>VLOOKUP(K150,[1]TRAMO!$A:$B,2,0)</f>
        <v>3</v>
      </c>
      <c r="AJ150" s="200">
        <f t="shared" si="23"/>
        <v>3240</v>
      </c>
      <c r="AK150" s="183">
        <f t="shared" si="24"/>
        <v>7434</v>
      </c>
      <c r="AL150" s="179">
        <f t="shared" si="30"/>
        <v>40.5</v>
      </c>
      <c r="AM150" s="183">
        <v>0</v>
      </c>
      <c r="AN150" s="183">
        <f t="shared" si="31"/>
        <v>3280000</v>
      </c>
      <c r="AO150" s="183">
        <f t="shared" si="25"/>
        <v>0</v>
      </c>
      <c r="AP150" s="183">
        <f t="shared" si="26"/>
        <v>5400000</v>
      </c>
      <c r="AQ150" s="183">
        <f t="shared" si="27"/>
        <v>24086160</v>
      </c>
      <c r="AR150" s="183"/>
      <c r="AS150" s="183">
        <f t="shared" si="28"/>
        <v>0</v>
      </c>
      <c r="AT150" s="183">
        <f t="shared" si="29"/>
        <v>32766160</v>
      </c>
      <c r="AU150" s="175" t="s">
        <v>1600</v>
      </c>
      <c r="AV150" s="175" t="s">
        <v>1601</v>
      </c>
      <c r="AW150" s="175" t="s">
        <v>1602</v>
      </c>
      <c r="AX150" s="175" t="s">
        <v>1604</v>
      </c>
    </row>
    <row r="151" spans="1:50" s="179" customFormat="1" ht="24.95" hidden="1" customHeight="1" x14ac:dyDescent="0.25">
      <c r="A151" s="175">
        <v>14268</v>
      </c>
      <c r="B151" s="175" t="s">
        <v>86</v>
      </c>
      <c r="C151" s="175" t="s">
        <v>29</v>
      </c>
      <c r="D151" s="176">
        <v>1</v>
      </c>
      <c r="E151" s="176">
        <v>2025</v>
      </c>
      <c r="F151" s="176">
        <v>2025</v>
      </c>
      <c r="G151" s="175" t="s">
        <v>23</v>
      </c>
      <c r="H151" s="175" t="s">
        <v>86</v>
      </c>
      <c r="I151" s="175" t="s">
        <v>105</v>
      </c>
      <c r="J151" s="177" t="s">
        <v>854</v>
      </c>
      <c r="K151" s="175" t="s">
        <v>853</v>
      </c>
      <c r="L151" s="175" t="s">
        <v>345</v>
      </c>
      <c r="M151" s="175" t="s">
        <v>346</v>
      </c>
      <c r="N151" s="175">
        <v>4</v>
      </c>
      <c r="O151" s="175" t="s">
        <v>415</v>
      </c>
      <c r="P151" s="175" t="s">
        <v>884</v>
      </c>
      <c r="Q151" s="175" t="s">
        <v>1201</v>
      </c>
      <c r="R151" s="175" t="s">
        <v>339</v>
      </c>
      <c r="S151" s="175" t="s">
        <v>19</v>
      </c>
      <c r="T151" s="175" t="s">
        <v>1598</v>
      </c>
      <c r="U151" s="176">
        <v>20</v>
      </c>
      <c r="V151" s="176">
        <v>150</v>
      </c>
      <c r="W151" s="176">
        <v>12</v>
      </c>
      <c r="X151" s="179">
        <f t="shared" si="22"/>
        <v>162</v>
      </c>
      <c r="Y151" s="176">
        <v>4</v>
      </c>
      <c r="Z151" s="176" t="s">
        <v>20</v>
      </c>
      <c r="AA151" s="176" t="s">
        <v>18</v>
      </c>
      <c r="AB151" s="176" t="s">
        <v>20</v>
      </c>
      <c r="AC151" s="186" t="s">
        <v>21</v>
      </c>
      <c r="AD151" s="181" t="s">
        <v>2106</v>
      </c>
      <c r="AE151" s="179" t="s">
        <v>18</v>
      </c>
      <c r="AF151" s="191"/>
      <c r="AG151" s="174" t="s">
        <v>990</v>
      </c>
      <c r="AH151" s="179">
        <v>41</v>
      </c>
      <c r="AI151" s="179">
        <f>VLOOKUP(K151,[1]TRAMO!$A:$B,2,0)</f>
        <v>3</v>
      </c>
      <c r="AJ151" s="200">
        <f t="shared" si="23"/>
        <v>3240</v>
      </c>
      <c r="AK151" s="183">
        <f t="shared" si="24"/>
        <v>7434</v>
      </c>
      <c r="AL151" s="179">
        <f t="shared" si="30"/>
        <v>40.5</v>
      </c>
      <c r="AM151" s="183">
        <v>0</v>
      </c>
      <c r="AN151" s="183">
        <f t="shared" si="31"/>
        <v>3280000</v>
      </c>
      <c r="AO151" s="183">
        <f t="shared" si="25"/>
        <v>0</v>
      </c>
      <c r="AP151" s="183">
        <f t="shared" si="26"/>
        <v>5400000</v>
      </c>
      <c r="AQ151" s="183">
        <f t="shared" si="27"/>
        <v>24086160</v>
      </c>
      <c r="AR151" s="183"/>
      <c r="AS151" s="183">
        <f t="shared" si="28"/>
        <v>0</v>
      </c>
      <c r="AT151" s="183">
        <f t="shared" si="29"/>
        <v>32766160</v>
      </c>
      <c r="AU151" s="175" t="s">
        <v>1600</v>
      </c>
      <c r="AV151" s="175" t="s">
        <v>1601</v>
      </c>
      <c r="AW151" s="175" t="s">
        <v>1602</v>
      </c>
      <c r="AX151" s="175" t="s">
        <v>1604</v>
      </c>
    </row>
    <row r="152" spans="1:50" s="179" customFormat="1" ht="24.95" hidden="1" customHeight="1" x14ac:dyDescent="0.25">
      <c r="A152" s="175">
        <v>14227</v>
      </c>
      <c r="B152" s="175" t="s">
        <v>86</v>
      </c>
      <c r="C152" s="175" t="s">
        <v>29</v>
      </c>
      <c r="D152" s="176">
        <v>1</v>
      </c>
      <c r="E152" s="176">
        <v>2025</v>
      </c>
      <c r="F152" s="176">
        <v>2025</v>
      </c>
      <c r="G152" s="175" t="s">
        <v>23</v>
      </c>
      <c r="H152" s="175" t="s">
        <v>86</v>
      </c>
      <c r="I152" s="175" t="s">
        <v>105</v>
      </c>
      <c r="J152" s="177" t="s">
        <v>2107</v>
      </c>
      <c r="K152" s="175" t="s">
        <v>2108</v>
      </c>
      <c r="L152" s="175" t="s">
        <v>345</v>
      </c>
      <c r="M152" s="175" t="s">
        <v>346</v>
      </c>
      <c r="N152" s="175">
        <v>14</v>
      </c>
      <c r="O152" s="175" t="s">
        <v>1722</v>
      </c>
      <c r="P152" s="175" t="s">
        <v>828</v>
      </c>
      <c r="Q152" s="175" t="s">
        <v>817</v>
      </c>
      <c r="R152" s="175" t="s">
        <v>339</v>
      </c>
      <c r="S152" s="175" t="s">
        <v>19</v>
      </c>
      <c r="T152" s="175" t="s">
        <v>337</v>
      </c>
      <c r="U152" s="176">
        <v>10</v>
      </c>
      <c r="V152" s="176">
        <v>70</v>
      </c>
      <c r="W152" s="176">
        <v>12</v>
      </c>
      <c r="X152" s="179">
        <f t="shared" si="22"/>
        <v>82</v>
      </c>
      <c r="Y152" s="176">
        <v>4</v>
      </c>
      <c r="Z152" s="176" t="s">
        <v>20</v>
      </c>
      <c r="AA152" s="176" t="s">
        <v>20</v>
      </c>
      <c r="AB152" s="185" t="s">
        <v>18</v>
      </c>
      <c r="AC152" s="186" t="s">
        <v>21</v>
      </c>
      <c r="AD152" s="181" t="s">
        <v>2109</v>
      </c>
      <c r="AE152" s="179" t="s">
        <v>18</v>
      </c>
      <c r="AF152" s="191"/>
      <c r="AG152" s="174" t="s">
        <v>990</v>
      </c>
      <c r="AH152" s="179">
        <v>21</v>
      </c>
      <c r="AI152" s="179">
        <v>2</v>
      </c>
      <c r="AJ152" s="200">
        <f t="shared" si="23"/>
        <v>820</v>
      </c>
      <c r="AK152" s="183">
        <f t="shared" si="24"/>
        <v>6372</v>
      </c>
      <c r="AL152" s="179">
        <f t="shared" si="30"/>
        <v>20.5</v>
      </c>
      <c r="AM152" s="183">
        <v>0</v>
      </c>
      <c r="AN152" s="183">
        <f t="shared" si="31"/>
        <v>840000</v>
      </c>
      <c r="AO152" s="183">
        <f t="shared" si="25"/>
        <v>1050000</v>
      </c>
      <c r="AP152" s="183">
        <f t="shared" si="26"/>
        <v>0</v>
      </c>
      <c r="AQ152" s="183">
        <f t="shared" si="27"/>
        <v>5225040</v>
      </c>
      <c r="AR152" s="183"/>
      <c r="AS152" s="183">
        <f t="shared" si="28"/>
        <v>0</v>
      </c>
      <c r="AT152" s="183">
        <f t="shared" si="29"/>
        <v>7115040</v>
      </c>
      <c r="AU152" s="175" t="s">
        <v>2072</v>
      </c>
      <c r="AV152" s="175" t="s">
        <v>2073</v>
      </c>
      <c r="AW152" s="175" t="s">
        <v>2074</v>
      </c>
      <c r="AX152" s="175" t="s">
        <v>2110</v>
      </c>
    </row>
    <row r="153" spans="1:50" s="179" customFormat="1" ht="24.95" hidden="1" customHeight="1" x14ac:dyDescent="0.25">
      <c r="A153" s="175">
        <v>14226</v>
      </c>
      <c r="B153" s="175" t="s">
        <v>86</v>
      </c>
      <c r="C153" s="175" t="s">
        <v>29</v>
      </c>
      <c r="D153" s="176">
        <v>1</v>
      </c>
      <c r="E153" s="176">
        <v>2025</v>
      </c>
      <c r="F153" s="176">
        <v>2025</v>
      </c>
      <c r="G153" s="175" t="s">
        <v>23</v>
      </c>
      <c r="H153" s="175" t="s">
        <v>86</v>
      </c>
      <c r="I153" s="175" t="s">
        <v>105</v>
      </c>
      <c r="J153" s="177" t="s">
        <v>783</v>
      </c>
      <c r="K153" s="175" t="s">
        <v>782</v>
      </c>
      <c r="L153" s="175" t="s">
        <v>345</v>
      </c>
      <c r="M153" s="175" t="s">
        <v>346</v>
      </c>
      <c r="N153" s="175">
        <v>9</v>
      </c>
      <c r="O153" s="175" t="s">
        <v>424</v>
      </c>
      <c r="P153" s="175" t="s">
        <v>425</v>
      </c>
      <c r="Q153" s="175" t="s">
        <v>817</v>
      </c>
      <c r="R153" s="175" t="s">
        <v>339</v>
      </c>
      <c r="S153" s="175" t="s">
        <v>19</v>
      </c>
      <c r="T153" s="175" t="s">
        <v>337</v>
      </c>
      <c r="U153" s="176">
        <v>10</v>
      </c>
      <c r="V153" s="176">
        <v>115</v>
      </c>
      <c r="W153" s="176">
        <v>12</v>
      </c>
      <c r="X153" s="179">
        <f t="shared" si="22"/>
        <v>127</v>
      </c>
      <c r="Y153" s="176">
        <v>4</v>
      </c>
      <c r="Z153" s="176" t="s">
        <v>20</v>
      </c>
      <c r="AA153" s="176" t="s">
        <v>20</v>
      </c>
      <c r="AB153" s="185" t="s">
        <v>18</v>
      </c>
      <c r="AC153" s="186" t="s">
        <v>21</v>
      </c>
      <c r="AD153" s="181" t="s">
        <v>2122</v>
      </c>
      <c r="AE153" s="179" t="s">
        <v>18</v>
      </c>
      <c r="AF153" s="191"/>
      <c r="AG153" s="174" t="s">
        <v>990</v>
      </c>
      <c r="AH153" s="179">
        <v>32</v>
      </c>
      <c r="AI153" s="179">
        <f>VLOOKUP(K153,[1]TRAMO!$A:$B,2,0)</f>
        <v>2</v>
      </c>
      <c r="AJ153" s="200">
        <f t="shared" si="23"/>
        <v>1270</v>
      </c>
      <c r="AK153" s="183">
        <f t="shared" si="24"/>
        <v>6372</v>
      </c>
      <c r="AL153" s="179">
        <f t="shared" si="30"/>
        <v>31.75</v>
      </c>
      <c r="AM153" s="183">
        <v>0</v>
      </c>
      <c r="AN153" s="183">
        <f t="shared" si="31"/>
        <v>1280000</v>
      </c>
      <c r="AO153" s="183">
        <f t="shared" si="25"/>
        <v>1600000</v>
      </c>
      <c r="AP153" s="183">
        <f t="shared" si="26"/>
        <v>0</v>
      </c>
      <c r="AQ153" s="183">
        <f t="shared" si="27"/>
        <v>8092440</v>
      </c>
      <c r="AR153" s="183"/>
      <c r="AS153" s="183">
        <f t="shared" si="28"/>
        <v>0</v>
      </c>
      <c r="AT153" s="183">
        <f t="shared" si="29"/>
        <v>10972440</v>
      </c>
      <c r="AU153" s="175" t="s">
        <v>2072</v>
      </c>
      <c r="AV153" s="175" t="s">
        <v>2073</v>
      </c>
      <c r="AW153" s="175" t="s">
        <v>2074</v>
      </c>
      <c r="AX153" s="175" t="s">
        <v>2110</v>
      </c>
    </row>
    <row r="154" spans="1:50" s="179" customFormat="1" ht="24.95" hidden="1" customHeight="1" x14ac:dyDescent="0.25">
      <c r="A154" s="175">
        <v>14216</v>
      </c>
      <c r="B154" s="175" t="s">
        <v>86</v>
      </c>
      <c r="C154" s="175" t="s">
        <v>29</v>
      </c>
      <c r="D154" s="176">
        <v>1</v>
      </c>
      <c r="E154" s="176">
        <v>2025</v>
      </c>
      <c r="F154" s="176">
        <v>2025</v>
      </c>
      <c r="G154" s="175" t="s">
        <v>23</v>
      </c>
      <c r="H154" s="175" t="s">
        <v>86</v>
      </c>
      <c r="I154" s="175" t="s">
        <v>105</v>
      </c>
      <c r="J154" s="177" t="s">
        <v>806</v>
      </c>
      <c r="K154" s="175" t="s">
        <v>805</v>
      </c>
      <c r="L154" s="175" t="s">
        <v>345</v>
      </c>
      <c r="M154" s="175" t="s">
        <v>346</v>
      </c>
      <c r="N154" s="175">
        <v>2</v>
      </c>
      <c r="O154" s="175" t="s">
        <v>798</v>
      </c>
      <c r="P154" s="175" t="s">
        <v>797</v>
      </c>
      <c r="Q154" s="175" t="s">
        <v>702</v>
      </c>
      <c r="R154" s="175" t="s">
        <v>339</v>
      </c>
      <c r="S154" s="175" t="s">
        <v>19</v>
      </c>
      <c r="T154" s="175" t="s">
        <v>337</v>
      </c>
      <c r="U154" s="176">
        <v>10</v>
      </c>
      <c r="V154" s="176">
        <v>110</v>
      </c>
      <c r="W154" s="176">
        <v>12</v>
      </c>
      <c r="X154" s="179">
        <f t="shared" si="22"/>
        <v>122</v>
      </c>
      <c r="Y154" s="176">
        <v>4</v>
      </c>
      <c r="Z154" s="176" t="s">
        <v>20</v>
      </c>
      <c r="AA154" s="176" t="s">
        <v>20</v>
      </c>
      <c r="AB154" s="176" t="s">
        <v>20</v>
      </c>
      <c r="AC154" s="186" t="s">
        <v>21</v>
      </c>
      <c r="AD154" s="181" t="s">
        <v>2138</v>
      </c>
      <c r="AE154" s="179" t="s">
        <v>18</v>
      </c>
      <c r="AF154" s="191"/>
      <c r="AG154" s="174" t="s">
        <v>990</v>
      </c>
      <c r="AH154" s="179">
        <v>31</v>
      </c>
      <c r="AI154" s="179">
        <f>VLOOKUP(K154,[1]TRAMO!$A:$B,2,0)</f>
        <v>3</v>
      </c>
      <c r="AJ154" s="200">
        <f t="shared" si="23"/>
        <v>1220</v>
      </c>
      <c r="AK154" s="183">
        <f t="shared" si="24"/>
        <v>7434</v>
      </c>
      <c r="AL154" s="179">
        <f t="shared" si="30"/>
        <v>30.5</v>
      </c>
      <c r="AM154" s="183">
        <v>0</v>
      </c>
      <c r="AN154" s="183">
        <f t="shared" si="31"/>
        <v>1240000</v>
      </c>
      <c r="AO154" s="183">
        <f t="shared" si="25"/>
        <v>1550000</v>
      </c>
      <c r="AP154" s="183">
        <f t="shared" si="26"/>
        <v>2700000</v>
      </c>
      <c r="AQ154" s="183">
        <f t="shared" si="27"/>
        <v>9069480</v>
      </c>
      <c r="AR154" s="183"/>
      <c r="AS154" s="183">
        <f t="shared" si="28"/>
        <v>0</v>
      </c>
      <c r="AT154" s="183">
        <f t="shared" si="29"/>
        <v>14559480</v>
      </c>
      <c r="AU154" s="175" t="s">
        <v>2072</v>
      </c>
      <c r="AV154" s="175" t="s">
        <v>2073</v>
      </c>
      <c r="AW154" s="175" t="s">
        <v>2074</v>
      </c>
      <c r="AX154" s="175" t="s">
        <v>2110</v>
      </c>
    </row>
    <row r="155" spans="1:50" s="179" customFormat="1" ht="24.95" hidden="1" customHeight="1" x14ac:dyDescent="0.25">
      <c r="A155" s="175">
        <v>14254</v>
      </c>
      <c r="B155" s="175" t="s">
        <v>86</v>
      </c>
      <c r="C155" s="175" t="s">
        <v>29</v>
      </c>
      <c r="D155" s="176">
        <v>1</v>
      </c>
      <c r="E155" s="176">
        <v>2025</v>
      </c>
      <c r="F155" s="176">
        <v>2025</v>
      </c>
      <c r="G155" s="175" t="s">
        <v>23</v>
      </c>
      <c r="H155" s="175" t="s">
        <v>86</v>
      </c>
      <c r="I155" s="175" t="s">
        <v>105</v>
      </c>
      <c r="J155" s="177" t="s">
        <v>768</v>
      </c>
      <c r="K155" s="175" t="s">
        <v>767</v>
      </c>
      <c r="L155" s="175" t="s">
        <v>345</v>
      </c>
      <c r="M155" s="175" t="s">
        <v>346</v>
      </c>
      <c r="N155" s="175">
        <v>4</v>
      </c>
      <c r="O155" s="175" t="s">
        <v>415</v>
      </c>
      <c r="P155" s="175" t="s">
        <v>884</v>
      </c>
      <c r="Q155" s="175" t="s">
        <v>1201</v>
      </c>
      <c r="R155" s="175" t="s">
        <v>339</v>
      </c>
      <c r="S155" s="175" t="s">
        <v>19</v>
      </c>
      <c r="T155" s="175" t="s">
        <v>1598</v>
      </c>
      <c r="U155" s="176">
        <v>20</v>
      </c>
      <c r="V155" s="176">
        <v>150</v>
      </c>
      <c r="W155" s="176">
        <v>12</v>
      </c>
      <c r="X155" s="179">
        <f t="shared" si="22"/>
        <v>162</v>
      </c>
      <c r="Y155" s="176">
        <v>4</v>
      </c>
      <c r="Z155" s="176" t="s">
        <v>20</v>
      </c>
      <c r="AA155" s="176" t="s">
        <v>18</v>
      </c>
      <c r="AB155" s="176" t="s">
        <v>20</v>
      </c>
      <c r="AC155" s="186" t="s">
        <v>21</v>
      </c>
      <c r="AD155" s="181" t="s">
        <v>2141</v>
      </c>
      <c r="AE155" s="179" t="s">
        <v>18</v>
      </c>
      <c r="AF155" s="191"/>
      <c r="AG155" s="174" t="s">
        <v>990</v>
      </c>
      <c r="AH155" s="179">
        <v>41</v>
      </c>
      <c r="AI155" s="179">
        <f>VLOOKUP(K155,[1]TRAMO!$A:$B,2,0)</f>
        <v>2</v>
      </c>
      <c r="AJ155" s="200">
        <f t="shared" si="23"/>
        <v>3240</v>
      </c>
      <c r="AK155" s="183">
        <f t="shared" si="24"/>
        <v>6372</v>
      </c>
      <c r="AL155" s="179">
        <f t="shared" si="30"/>
        <v>40.5</v>
      </c>
      <c r="AM155" s="183">
        <v>0</v>
      </c>
      <c r="AN155" s="183">
        <f t="shared" si="31"/>
        <v>3280000</v>
      </c>
      <c r="AO155" s="183">
        <f t="shared" si="25"/>
        <v>0</v>
      </c>
      <c r="AP155" s="183">
        <f t="shared" si="26"/>
        <v>5400000</v>
      </c>
      <c r="AQ155" s="183">
        <f t="shared" si="27"/>
        <v>20645280</v>
      </c>
      <c r="AR155" s="183"/>
      <c r="AS155" s="183">
        <f t="shared" si="28"/>
        <v>0</v>
      </c>
      <c r="AT155" s="183">
        <f t="shared" si="29"/>
        <v>29325280</v>
      </c>
      <c r="AU155" s="175" t="s">
        <v>1600</v>
      </c>
      <c r="AV155" s="175" t="s">
        <v>1601</v>
      </c>
      <c r="AW155" s="175" t="s">
        <v>1602</v>
      </c>
      <c r="AX155" s="175" t="s">
        <v>1604</v>
      </c>
    </row>
    <row r="156" spans="1:50" s="179" customFormat="1" ht="24.95" hidden="1" customHeight="1" x14ac:dyDescent="0.25">
      <c r="A156" s="175">
        <v>14239</v>
      </c>
      <c r="B156" s="175" t="s">
        <v>86</v>
      </c>
      <c r="C156" s="175" t="s">
        <v>29</v>
      </c>
      <c r="D156" s="176">
        <v>1</v>
      </c>
      <c r="E156" s="176">
        <v>2025</v>
      </c>
      <c r="F156" s="176">
        <v>2025</v>
      </c>
      <c r="G156" s="175" t="s">
        <v>23</v>
      </c>
      <c r="H156" s="175" t="s">
        <v>86</v>
      </c>
      <c r="I156" s="175" t="s">
        <v>105</v>
      </c>
      <c r="J156" s="177" t="s">
        <v>352</v>
      </c>
      <c r="K156" s="175" t="s">
        <v>351</v>
      </c>
      <c r="L156" s="175" t="s">
        <v>345</v>
      </c>
      <c r="M156" s="175" t="s">
        <v>346</v>
      </c>
      <c r="N156" s="175">
        <v>5</v>
      </c>
      <c r="O156" s="175" t="s">
        <v>395</v>
      </c>
      <c r="P156" s="175" t="s">
        <v>1630</v>
      </c>
      <c r="Q156" s="175" t="s">
        <v>1201</v>
      </c>
      <c r="R156" s="175" t="s">
        <v>339</v>
      </c>
      <c r="S156" s="175" t="s">
        <v>19</v>
      </c>
      <c r="T156" s="175" t="s">
        <v>337</v>
      </c>
      <c r="U156" s="176">
        <v>10</v>
      </c>
      <c r="V156" s="176">
        <v>95</v>
      </c>
      <c r="W156" s="176">
        <v>12</v>
      </c>
      <c r="X156" s="179">
        <f t="shared" si="22"/>
        <v>107</v>
      </c>
      <c r="Y156" s="176">
        <v>5</v>
      </c>
      <c r="Z156" s="176" t="s">
        <v>20</v>
      </c>
      <c r="AA156" s="176" t="s">
        <v>18</v>
      </c>
      <c r="AB156" s="176" t="s">
        <v>18</v>
      </c>
      <c r="AC156" s="186" t="s">
        <v>21</v>
      </c>
      <c r="AD156" s="181" t="s">
        <v>2146</v>
      </c>
      <c r="AE156" s="179" t="s">
        <v>18</v>
      </c>
      <c r="AF156" s="191"/>
      <c r="AG156" s="174" t="s">
        <v>990</v>
      </c>
      <c r="AH156" s="179">
        <v>22</v>
      </c>
      <c r="AI156" s="179">
        <f>VLOOKUP(K156,[1]TRAMO!$A:$B,2,0)</f>
        <v>2</v>
      </c>
      <c r="AJ156" s="200">
        <f t="shared" si="23"/>
        <v>1070</v>
      </c>
      <c r="AK156" s="183">
        <f t="shared" si="24"/>
        <v>6372</v>
      </c>
      <c r="AL156" s="179">
        <f t="shared" si="30"/>
        <v>21.4</v>
      </c>
      <c r="AM156" s="183">
        <v>0</v>
      </c>
      <c r="AN156" s="183">
        <f t="shared" si="31"/>
        <v>880000</v>
      </c>
      <c r="AO156" s="183">
        <f t="shared" si="25"/>
        <v>0</v>
      </c>
      <c r="AP156" s="183">
        <f t="shared" si="26"/>
        <v>0</v>
      </c>
      <c r="AQ156" s="183">
        <f t="shared" si="27"/>
        <v>6818040</v>
      </c>
      <c r="AR156" s="183"/>
      <c r="AS156" s="183">
        <f t="shared" si="28"/>
        <v>0</v>
      </c>
      <c r="AT156" s="183">
        <f t="shared" si="29"/>
        <v>7698040</v>
      </c>
      <c r="AU156" s="175" t="s">
        <v>1632</v>
      </c>
      <c r="AV156" s="175" t="s">
        <v>1633</v>
      </c>
      <c r="AW156" s="175" t="s">
        <v>1634</v>
      </c>
      <c r="AX156" s="175" t="s">
        <v>1031</v>
      </c>
    </row>
    <row r="157" spans="1:50" s="179" customFormat="1" ht="24.95" hidden="1" customHeight="1" x14ac:dyDescent="0.25">
      <c r="A157" s="175">
        <v>14240</v>
      </c>
      <c r="B157" s="175" t="s">
        <v>86</v>
      </c>
      <c r="C157" s="175" t="s">
        <v>29</v>
      </c>
      <c r="D157" s="176">
        <v>1</v>
      </c>
      <c r="E157" s="176">
        <v>2025</v>
      </c>
      <c r="F157" s="176">
        <v>2025</v>
      </c>
      <c r="G157" s="175" t="s">
        <v>23</v>
      </c>
      <c r="H157" s="175" t="s">
        <v>86</v>
      </c>
      <c r="I157" s="175" t="s">
        <v>105</v>
      </c>
      <c r="J157" s="177" t="s">
        <v>352</v>
      </c>
      <c r="K157" s="175" t="s">
        <v>351</v>
      </c>
      <c r="L157" s="175" t="s">
        <v>345</v>
      </c>
      <c r="M157" s="175" t="s">
        <v>346</v>
      </c>
      <c r="N157" s="175">
        <v>5</v>
      </c>
      <c r="O157" s="175" t="s">
        <v>395</v>
      </c>
      <c r="P157" s="175" t="s">
        <v>1630</v>
      </c>
      <c r="Q157" s="175" t="s">
        <v>1201</v>
      </c>
      <c r="R157" s="175" t="s">
        <v>339</v>
      </c>
      <c r="S157" s="175" t="s">
        <v>19</v>
      </c>
      <c r="T157" s="175" t="s">
        <v>337</v>
      </c>
      <c r="U157" s="176">
        <v>10</v>
      </c>
      <c r="V157" s="176">
        <v>95</v>
      </c>
      <c r="W157" s="176">
        <v>12</v>
      </c>
      <c r="X157" s="179">
        <f t="shared" si="22"/>
        <v>107</v>
      </c>
      <c r="Y157" s="176">
        <v>5</v>
      </c>
      <c r="Z157" s="176" t="s">
        <v>20</v>
      </c>
      <c r="AA157" s="176" t="s">
        <v>18</v>
      </c>
      <c r="AB157" s="176" t="s">
        <v>20</v>
      </c>
      <c r="AC157" s="186" t="s">
        <v>21</v>
      </c>
      <c r="AD157" s="181" t="s">
        <v>1636</v>
      </c>
      <c r="AE157" s="179" t="s">
        <v>18</v>
      </c>
      <c r="AF157" s="191"/>
      <c r="AG157" s="174" t="s">
        <v>990</v>
      </c>
      <c r="AH157" s="179">
        <v>22</v>
      </c>
      <c r="AI157" s="179">
        <f>VLOOKUP(K157,[1]TRAMO!$A:$B,2,0)</f>
        <v>2</v>
      </c>
      <c r="AJ157" s="200">
        <f t="shared" si="23"/>
        <v>1070</v>
      </c>
      <c r="AK157" s="183">
        <f t="shared" si="24"/>
        <v>6372</v>
      </c>
      <c r="AL157" s="179">
        <f t="shared" si="30"/>
        <v>21.4</v>
      </c>
      <c r="AM157" s="183">
        <v>0</v>
      </c>
      <c r="AN157" s="183">
        <f t="shared" si="31"/>
        <v>880000</v>
      </c>
      <c r="AO157" s="183">
        <f t="shared" si="25"/>
        <v>0</v>
      </c>
      <c r="AP157" s="183">
        <f t="shared" si="26"/>
        <v>2700000</v>
      </c>
      <c r="AQ157" s="183">
        <f t="shared" si="27"/>
        <v>6818040</v>
      </c>
      <c r="AR157" s="183"/>
      <c r="AS157" s="183">
        <f t="shared" si="28"/>
        <v>0</v>
      </c>
      <c r="AT157" s="183">
        <f t="shared" si="29"/>
        <v>10398040</v>
      </c>
      <c r="AU157" s="175" t="s">
        <v>1632</v>
      </c>
      <c r="AV157" s="175" t="s">
        <v>1633</v>
      </c>
      <c r="AW157" s="175" t="s">
        <v>1634</v>
      </c>
      <c r="AX157" s="175" t="s">
        <v>1635</v>
      </c>
    </row>
    <row r="158" spans="1:50" s="179" customFormat="1" ht="24.95" hidden="1" customHeight="1" x14ac:dyDescent="0.25">
      <c r="A158" s="175">
        <v>14241</v>
      </c>
      <c r="B158" s="175" t="s">
        <v>86</v>
      </c>
      <c r="C158" s="175" t="s">
        <v>29</v>
      </c>
      <c r="D158" s="176">
        <v>1</v>
      </c>
      <c r="E158" s="176">
        <v>2025</v>
      </c>
      <c r="F158" s="176">
        <v>2025</v>
      </c>
      <c r="G158" s="175" t="s">
        <v>23</v>
      </c>
      <c r="H158" s="175" t="s">
        <v>86</v>
      </c>
      <c r="I158" s="175" t="s">
        <v>105</v>
      </c>
      <c r="J158" s="177" t="s">
        <v>352</v>
      </c>
      <c r="K158" s="175" t="s">
        <v>351</v>
      </c>
      <c r="L158" s="175" t="s">
        <v>345</v>
      </c>
      <c r="M158" s="175" t="s">
        <v>346</v>
      </c>
      <c r="N158" s="175">
        <v>13</v>
      </c>
      <c r="O158" s="175" t="s">
        <v>382</v>
      </c>
      <c r="P158" s="175" t="s">
        <v>416</v>
      </c>
      <c r="Q158" s="175" t="s">
        <v>1201</v>
      </c>
      <c r="R158" s="175" t="s">
        <v>339</v>
      </c>
      <c r="S158" s="175" t="s">
        <v>19</v>
      </c>
      <c r="T158" s="175" t="s">
        <v>337</v>
      </c>
      <c r="U158" s="176">
        <v>10</v>
      </c>
      <c r="V158" s="176">
        <v>95</v>
      </c>
      <c r="W158" s="176">
        <v>12</v>
      </c>
      <c r="X158" s="179">
        <f t="shared" si="22"/>
        <v>107</v>
      </c>
      <c r="Y158" s="176">
        <v>5</v>
      </c>
      <c r="Z158" s="176" t="s">
        <v>20</v>
      </c>
      <c r="AA158" s="176" t="s">
        <v>18</v>
      </c>
      <c r="AB158" s="176" t="s">
        <v>20</v>
      </c>
      <c r="AC158" s="186" t="s">
        <v>21</v>
      </c>
      <c r="AD158" s="181" t="s">
        <v>1636</v>
      </c>
      <c r="AE158" s="179" t="s">
        <v>18</v>
      </c>
      <c r="AF158" s="191"/>
      <c r="AG158" s="174" t="s">
        <v>990</v>
      </c>
      <c r="AH158" s="179">
        <v>22</v>
      </c>
      <c r="AI158" s="179">
        <f>VLOOKUP(K158,[1]TRAMO!$A:$B,2,0)</f>
        <v>2</v>
      </c>
      <c r="AJ158" s="200">
        <f t="shared" si="23"/>
        <v>1070</v>
      </c>
      <c r="AK158" s="183">
        <f t="shared" si="24"/>
        <v>6372</v>
      </c>
      <c r="AL158" s="179">
        <f t="shared" si="30"/>
        <v>21.4</v>
      </c>
      <c r="AM158" s="183">
        <v>0</v>
      </c>
      <c r="AN158" s="183">
        <f t="shared" si="31"/>
        <v>880000</v>
      </c>
      <c r="AO158" s="183">
        <f t="shared" si="25"/>
        <v>0</v>
      </c>
      <c r="AP158" s="183">
        <f t="shared" si="26"/>
        <v>2700000</v>
      </c>
      <c r="AQ158" s="183">
        <f t="shared" si="27"/>
        <v>6818040</v>
      </c>
      <c r="AR158" s="183"/>
      <c r="AS158" s="183">
        <f t="shared" si="28"/>
        <v>0</v>
      </c>
      <c r="AT158" s="183">
        <f t="shared" si="29"/>
        <v>10398040</v>
      </c>
      <c r="AU158" s="175" t="s">
        <v>1632</v>
      </c>
      <c r="AV158" s="175" t="s">
        <v>1633</v>
      </c>
      <c r="AW158" s="175" t="s">
        <v>1634</v>
      </c>
      <c r="AX158" s="175" t="s">
        <v>1031</v>
      </c>
    </row>
    <row r="159" spans="1:50" s="179" customFormat="1" ht="24.95" hidden="1" customHeight="1" x14ac:dyDescent="0.25">
      <c r="A159" s="175">
        <v>14242</v>
      </c>
      <c r="B159" s="175" t="s">
        <v>86</v>
      </c>
      <c r="C159" s="175" t="s">
        <v>29</v>
      </c>
      <c r="D159" s="176">
        <v>1</v>
      </c>
      <c r="E159" s="176">
        <v>2025</v>
      </c>
      <c r="F159" s="176">
        <v>2025</v>
      </c>
      <c r="G159" s="175" t="s">
        <v>23</v>
      </c>
      <c r="H159" s="175" t="s">
        <v>86</v>
      </c>
      <c r="I159" s="175" t="s">
        <v>105</v>
      </c>
      <c r="J159" s="177" t="s">
        <v>352</v>
      </c>
      <c r="K159" s="175" t="s">
        <v>351</v>
      </c>
      <c r="L159" s="175" t="s">
        <v>345</v>
      </c>
      <c r="M159" s="175" t="s">
        <v>346</v>
      </c>
      <c r="N159" s="175">
        <v>13</v>
      </c>
      <c r="O159" s="175" t="s">
        <v>382</v>
      </c>
      <c r="P159" s="175" t="s">
        <v>412</v>
      </c>
      <c r="Q159" s="175" t="s">
        <v>1201</v>
      </c>
      <c r="R159" s="175" t="s">
        <v>339</v>
      </c>
      <c r="S159" s="175" t="s">
        <v>19</v>
      </c>
      <c r="T159" s="175" t="s">
        <v>337</v>
      </c>
      <c r="U159" s="176">
        <v>10</v>
      </c>
      <c r="V159" s="176">
        <v>95</v>
      </c>
      <c r="W159" s="176">
        <v>12</v>
      </c>
      <c r="X159" s="179">
        <f t="shared" si="22"/>
        <v>107</v>
      </c>
      <c r="Y159" s="176">
        <v>5</v>
      </c>
      <c r="Z159" s="176" t="s">
        <v>20</v>
      </c>
      <c r="AA159" s="176" t="s">
        <v>18</v>
      </c>
      <c r="AB159" s="176" t="s">
        <v>20</v>
      </c>
      <c r="AC159" s="186" t="s">
        <v>21</v>
      </c>
      <c r="AD159" s="181" t="s">
        <v>1636</v>
      </c>
      <c r="AE159" s="179" t="s">
        <v>18</v>
      </c>
      <c r="AF159" s="191"/>
      <c r="AG159" s="174" t="s">
        <v>990</v>
      </c>
      <c r="AH159" s="179">
        <v>22</v>
      </c>
      <c r="AI159" s="179">
        <f>VLOOKUP(K159,[1]TRAMO!$A:$B,2,0)</f>
        <v>2</v>
      </c>
      <c r="AJ159" s="200">
        <f t="shared" si="23"/>
        <v>1070</v>
      </c>
      <c r="AK159" s="183">
        <f t="shared" si="24"/>
        <v>6372</v>
      </c>
      <c r="AL159" s="179">
        <f t="shared" si="30"/>
        <v>21.4</v>
      </c>
      <c r="AM159" s="183">
        <v>0</v>
      </c>
      <c r="AN159" s="183">
        <f t="shared" si="31"/>
        <v>880000</v>
      </c>
      <c r="AO159" s="183">
        <f t="shared" si="25"/>
        <v>0</v>
      </c>
      <c r="AP159" s="183">
        <f t="shared" si="26"/>
        <v>2700000</v>
      </c>
      <c r="AQ159" s="183">
        <f t="shared" si="27"/>
        <v>6818040</v>
      </c>
      <c r="AR159" s="183"/>
      <c r="AS159" s="183">
        <f t="shared" si="28"/>
        <v>0</v>
      </c>
      <c r="AT159" s="183">
        <f t="shared" si="29"/>
        <v>10398040</v>
      </c>
      <c r="AU159" s="175" t="s">
        <v>1632</v>
      </c>
      <c r="AV159" s="175" t="s">
        <v>1633</v>
      </c>
      <c r="AW159" s="175" t="s">
        <v>1634</v>
      </c>
      <c r="AX159" s="175" t="s">
        <v>1635</v>
      </c>
    </row>
    <row r="160" spans="1:50" s="179" customFormat="1" ht="24.95" hidden="1" customHeight="1" x14ac:dyDescent="0.25">
      <c r="A160" s="175">
        <v>14267</v>
      </c>
      <c r="B160" s="175" t="s">
        <v>86</v>
      </c>
      <c r="C160" s="175" t="s">
        <v>29</v>
      </c>
      <c r="D160" s="176">
        <v>1</v>
      </c>
      <c r="E160" s="176">
        <v>2025</v>
      </c>
      <c r="F160" s="176">
        <v>2025</v>
      </c>
      <c r="G160" s="175" t="s">
        <v>23</v>
      </c>
      <c r="H160" s="175" t="s">
        <v>86</v>
      </c>
      <c r="I160" s="175" t="s">
        <v>105</v>
      </c>
      <c r="J160" s="177" t="s">
        <v>350</v>
      </c>
      <c r="K160" s="175" t="s">
        <v>349</v>
      </c>
      <c r="L160" s="175" t="s">
        <v>345</v>
      </c>
      <c r="M160" s="175" t="s">
        <v>346</v>
      </c>
      <c r="N160" s="175">
        <v>4</v>
      </c>
      <c r="O160" s="175" t="s">
        <v>415</v>
      </c>
      <c r="P160" s="175" t="s">
        <v>884</v>
      </c>
      <c r="Q160" s="175" t="s">
        <v>1201</v>
      </c>
      <c r="R160" s="175" t="s">
        <v>339</v>
      </c>
      <c r="S160" s="175" t="s">
        <v>19</v>
      </c>
      <c r="T160" s="175" t="s">
        <v>1598</v>
      </c>
      <c r="U160" s="176">
        <v>20</v>
      </c>
      <c r="V160" s="176">
        <v>110</v>
      </c>
      <c r="W160" s="176">
        <v>12</v>
      </c>
      <c r="X160" s="179">
        <f t="shared" si="22"/>
        <v>122</v>
      </c>
      <c r="Y160" s="176">
        <v>4</v>
      </c>
      <c r="Z160" s="176" t="s">
        <v>20</v>
      </c>
      <c r="AA160" s="176" t="s">
        <v>18</v>
      </c>
      <c r="AB160" s="176" t="s">
        <v>20</v>
      </c>
      <c r="AC160" s="186" t="s">
        <v>21</v>
      </c>
      <c r="AD160" s="181" t="s">
        <v>2157</v>
      </c>
      <c r="AE160" s="179" t="s">
        <v>18</v>
      </c>
      <c r="AF160" s="191"/>
      <c r="AG160" s="174" t="s">
        <v>990</v>
      </c>
      <c r="AH160" s="179">
        <v>31</v>
      </c>
      <c r="AI160" s="179">
        <f>VLOOKUP(K160,[1]TRAMO!$A:$B,2,0)</f>
        <v>2</v>
      </c>
      <c r="AJ160" s="200">
        <f t="shared" si="23"/>
        <v>2440</v>
      </c>
      <c r="AK160" s="183">
        <f t="shared" si="24"/>
        <v>6372</v>
      </c>
      <c r="AL160" s="179">
        <f t="shared" si="30"/>
        <v>30.5</v>
      </c>
      <c r="AM160" s="183">
        <v>0</v>
      </c>
      <c r="AN160" s="183">
        <f t="shared" si="31"/>
        <v>2480000</v>
      </c>
      <c r="AO160" s="183">
        <f t="shared" si="25"/>
        <v>0</v>
      </c>
      <c r="AP160" s="183">
        <f t="shared" si="26"/>
        <v>5400000</v>
      </c>
      <c r="AQ160" s="183">
        <f t="shared" si="27"/>
        <v>15547680</v>
      </c>
      <c r="AR160" s="183"/>
      <c r="AS160" s="183">
        <f t="shared" si="28"/>
        <v>0</v>
      </c>
      <c r="AT160" s="183">
        <f t="shared" si="29"/>
        <v>23427680</v>
      </c>
      <c r="AU160" s="175" t="s">
        <v>1600</v>
      </c>
      <c r="AV160" s="175" t="s">
        <v>1601</v>
      </c>
      <c r="AW160" s="175" t="s">
        <v>1602</v>
      </c>
      <c r="AX160" s="175" t="s">
        <v>1604</v>
      </c>
    </row>
    <row r="161" spans="1:50" s="179" customFormat="1" ht="24.95" hidden="1" customHeight="1" x14ac:dyDescent="0.25">
      <c r="A161" s="175">
        <v>14257</v>
      </c>
      <c r="B161" s="175" t="s">
        <v>86</v>
      </c>
      <c r="C161" s="175" t="s">
        <v>29</v>
      </c>
      <c r="D161" s="176">
        <v>1</v>
      </c>
      <c r="E161" s="176">
        <v>2025</v>
      </c>
      <c r="F161" s="176">
        <v>2025</v>
      </c>
      <c r="G161" s="175" t="s">
        <v>23</v>
      </c>
      <c r="H161" s="175" t="s">
        <v>86</v>
      </c>
      <c r="I161" s="175" t="s">
        <v>105</v>
      </c>
      <c r="J161" s="177" t="s">
        <v>2038</v>
      </c>
      <c r="K161" s="175" t="s">
        <v>992</v>
      </c>
      <c r="L161" s="175" t="s">
        <v>345</v>
      </c>
      <c r="M161" s="175" t="s">
        <v>346</v>
      </c>
      <c r="N161" s="175">
        <v>13</v>
      </c>
      <c r="O161" s="175" t="s">
        <v>382</v>
      </c>
      <c r="P161" s="175" t="s">
        <v>416</v>
      </c>
      <c r="Q161" s="175" t="s">
        <v>1201</v>
      </c>
      <c r="R161" s="175" t="s">
        <v>339</v>
      </c>
      <c r="S161" s="175" t="s">
        <v>19</v>
      </c>
      <c r="T161" s="175" t="s">
        <v>777</v>
      </c>
      <c r="U161" s="176">
        <v>16</v>
      </c>
      <c r="V161" s="176">
        <v>78</v>
      </c>
      <c r="W161" s="176">
        <v>12</v>
      </c>
      <c r="X161" s="179">
        <f t="shared" si="22"/>
        <v>90</v>
      </c>
      <c r="Y161" s="176">
        <v>4</v>
      </c>
      <c r="Z161" s="176" t="s">
        <v>20</v>
      </c>
      <c r="AA161" s="176" t="s">
        <v>18</v>
      </c>
      <c r="AB161" s="185" t="s">
        <v>18</v>
      </c>
      <c r="AC161" s="186" t="s">
        <v>2039</v>
      </c>
      <c r="AD161" s="181" t="s">
        <v>2182</v>
      </c>
      <c r="AE161" s="179" t="s">
        <v>18</v>
      </c>
      <c r="AF161" s="191"/>
      <c r="AG161" s="174" t="s">
        <v>990</v>
      </c>
      <c r="AH161" s="179">
        <v>23</v>
      </c>
      <c r="AI161" s="179">
        <v>2</v>
      </c>
      <c r="AJ161" s="200">
        <f t="shared" si="23"/>
        <v>1440</v>
      </c>
      <c r="AK161" s="183">
        <f t="shared" si="24"/>
        <v>6372</v>
      </c>
      <c r="AL161" s="179">
        <f t="shared" si="30"/>
        <v>22.5</v>
      </c>
      <c r="AM161" s="183">
        <v>0</v>
      </c>
      <c r="AN161" s="183">
        <f t="shared" si="31"/>
        <v>1472000</v>
      </c>
      <c r="AO161" s="183">
        <f t="shared" si="25"/>
        <v>0</v>
      </c>
      <c r="AP161" s="183">
        <f t="shared" si="26"/>
        <v>0</v>
      </c>
      <c r="AQ161" s="183">
        <f t="shared" si="27"/>
        <v>9175680</v>
      </c>
      <c r="AR161" s="183"/>
      <c r="AS161" s="183">
        <f t="shared" si="28"/>
        <v>0</v>
      </c>
      <c r="AT161" s="183">
        <f t="shared" si="29"/>
        <v>10647680</v>
      </c>
      <c r="AU161" s="175" t="s">
        <v>2077</v>
      </c>
      <c r="AV161" s="175" t="s">
        <v>1975</v>
      </c>
      <c r="AW161" s="175" t="s">
        <v>2078</v>
      </c>
      <c r="AX161" s="175" t="s">
        <v>2087</v>
      </c>
    </row>
    <row r="162" spans="1:50" s="179" customFormat="1" ht="24.95" hidden="1" customHeight="1" x14ac:dyDescent="0.25">
      <c r="A162" s="175">
        <v>14243</v>
      </c>
      <c r="B162" s="175" t="s">
        <v>86</v>
      </c>
      <c r="C162" s="175" t="s">
        <v>29</v>
      </c>
      <c r="D162" s="176">
        <v>1</v>
      </c>
      <c r="E162" s="176">
        <v>2025</v>
      </c>
      <c r="F162" s="176">
        <v>2025</v>
      </c>
      <c r="G162" s="175" t="s">
        <v>23</v>
      </c>
      <c r="H162" s="175" t="s">
        <v>86</v>
      </c>
      <c r="I162" s="175" t="s">
        <v>105</v>
      </c>
      <c r="J162" s="177" t="s">
        <v>2199</v>
      </c>
      <c r="K162" s="175" t="s">
        <v>992</v>
      </c>
      <c r="L162" s="175" t="s">
        <v>345</v>
      </c>
      <c r="M162" s="175" t="s">
        <v>346</v>
      </c>
      <c r="N162" s="175">
        <v>5</v>
      </c>
      <c r="O162" s="175" t="s">
        <v>395</v>
      </c>
      <c r="P162" s="175" t="s">
        <v>1630</v>
      </c>
      <c r="Q162" s="175" t="s">
        <v>1201</v>
      </c>
      <c r="R162" s="175" t="s">
        <v>339</v>
      </c>
      <c r="S162" s="175" t="s">
        <v>19</v>
      </c>
      <c r="T162" s="175" t="s">
        <v>337</v>
      </c>
      <c r="U162" s="176">
        <v>10</v>
      </c>
      <c r="V162" s="176">
        <v>175</v>
      </c>
      <c r="W162" s="176">
        <v>12</v>
      </c>
      <c r="X162" s="179">
        <f t="shared" ref="X162:X172" si="32">(SUM(V162:W162))*1</f>
        <v>187</v>
      </c>
      <c r="Y162" s="176">
        <v>5</v>
      </c>
      <c r="Z162" s="176" t="s">
        <v>20</v>
      </c>
      <c r="AA162" s="176" t="s">
        <v>18</v>
      </c>
      <c r="AB162" s="176" t="s">
        <v>20</v>
      </c>
      <c r="AC162" s="186" t="s">
        <v>2200</v>
      </c>
      <c r="AD162" s="181" t="s">
        <v>2201</v>
      </c>
      <c r="AE162" s="179" t="s">
        <v>18</v>
      </c>
      <c r="AF162" s="191"/>
      <c r="AG162" s="174" t="s">
        <v>990</v>
      </c>
      <c r="AH162" s="179">
        <v>38</v>
      </c>
      <c r="AI162" s="179">
        <v>2</v>
      </c>
      <c r="AJ162" s="200">
        <f t="shared" si="23"/>
        <v>1870</v>
      </c>
      <c r="AK162" s="183">
        <f t="shared" si="24"/>
        <v>6372</v>
      </c>
      <c r="AL162" s="179">
        <f t="shared" si="30"/>
        <v>37.4</v>
      </c>
      <c r="AM162" s="183">
        <v>0</v>
      </c>
      <c r="AN162" s="183">
        <f t="shared" si="31"/>
        <v>1520000</v>
      </c>
      <c r="AO162" s="183">
        <f t="shared" si="25"/>
        <v>0</v>
      </c>
      <c r="AP162" s="183">
        <f t="shared" si="26"/>
        <v>2700000</v>
      </c>
      <c r="AQ162" s="183">
        <f t="shared" si="27"/>
        <v>11915640</v>
      </c>
      <c r="AR162" s="183"/>
      <c r="AS162" s="183">
        <f t="shared" si="28"/>
        <v>0</v>
      </c>
      <c r="AT162" s="183">
        <f t="shared" si="29"/>
        <v>16135640</v>
      </c>
      <c r="AU162" s="175" t="s">
        <v>1632</v>
      </c>
      <c r="AV162" s="175" t="s">
        <v>1633</v>
      </c>
      <c r="AW162" s="175" t="s">
        <v>2202</v>
      </c>
      <c r="AX162" s="175" t="s">
        <v>1031</v>
      </c>
    </row>
    <row r="163" spans="1:50" s="179" customFormat="1" ht="24.95" hidden="1" customHeight="1" x14ac:dyDescent="0.25">
      <c r="A163" s="175">
        <v>14507</v>
      </c>
      <c r="B163" s="175" t="s">
        <v>86</v>
      </c>
      <c r="C163" s="175" t="s">
        <v>29</v>
      </c>
      <c r="D163" s="176">
        <v>1</v>
      </c>
      <c r="E163" s="176">
        <v>2025</v>
      </c>
      <c r="F163" s="176">
        <v>2025</v>
      </c>
      <c r="G163" s="175" t="s">
        <v>23</v>
      </c>
      <c r="H163" s="175" t="s">
        <v>86</v>
      </c>
      <c r="I163" s="175" t="s">
        <v>105</v>
      </c>
      <c r="J163" s="177" t="s">
        <v>2199</v>
      </c>
      <c r="K163" s="175" t="s">
        <v>992</v>
      </c>
      <c r="L163" s="175" t="s">
        <v>345</v>
      </c>
      <c r="M163" s="175" t="s">
        <v>346</v>
      </c>
      <c r="N163" s="175">
        <v>5</v>
      </c>
      <c r="O163" s="175" t="s">
        <v>395</v>
      </c>
      <c r="P163" s="175" t="s">
        <v>403</v>
      </c>
      <c r="Q163" s="175" t="s">
        <v>1201</v>
      </c>
      <c r="R163" s="175" t="s">
        <v>339</v>
      </c>
      <c r="S163" s="175" t="s">
        <v>19</v>
      </c>
      <c r="T163" s="175" t="s">
        <v>337</v>
      </c>
      <c r="U163" s="176">
        <v>10</v>
      </c>
      <c r="V163" s="176">
        <v>175</v>
      </c>
      <c r="W163" s="176">
        <v>12</v>
      </c>
      <c r="X163" s="179">
        <f t="shared" si="32"/>
        <v>187</v>
      </c>
      <c r="Y163" s="176">
        <v>5</v>
      </c>
      <c r="Z163" s="176" t="s">
        <v>20</v>
      </c>
      <c r="AA163" s="176" t="s">
        <v>18</v>
      </c>
      <c r="AB163" s="176" t="s">
        <v>20</v>
      </c>
      <c r="AC163" s="186" t="s">
        <v>2203</v>
      </c>
      <c r="AD163" s="181" t="s">
        <v>2204</v>
      </c>
      <c r="AE163" s="179" t="s">
        <v>18</v>
      </c>
      <c r="AF163" s="191"/>
      <c r="AG163" s="174" t="s">
        <v>990</v>
      </c>
      <c r="AH163" s="179">
        <v>38</v>
      </c>
      <c r="AI163" s="179">
        <v>2</v>
      </c>
      <c r="AJ163" s="200">
        <f t="shared" si="23"/>
        <v>1870</v>
      </c>
      <c r="AK163" s="183">
        <f t="shared" si="24"/>
        <v>6372</v>
      </c>
      <c r="AL163" s="179">
        <f t="shared" si="30"/>
        <v>37.4</v>
      </c>
      <c r="AM163" s="183">
        <v>0</v>
      </c>
      <c r="AN163" s="183">
        <f t="shared" si="31"/>
        <v>1520000</v>
      </c>
      <c r="AO163" s="183">
        <f t="shared" si="25"/>
        <v>0</v>
      </c>
      <c r="AP163" s="183">
        <f t="shared" si="26"/>
        <v>2700000</v>
      </c>
      <c r="AQ163" s="183">
        <f t="shared" si="27"/>
        <v>11915640</v>
      </c>
      <c r="AR163" s="183"/>
      <c r="AS163" s="183">
        <f t="shared" si="28"/>
        <v>0</v>
      </c>
      <c r="AT163" s="183">
        <f t="shared" si="29"/>
        <v>16135640</v>
      </c>
      <c r="AU163" s="175" t="s">
        <v>1632</v>
      </c>
      <c r="AV163" s="175" t="s">
        <v>1633</v>
      </c>
      <c r="AW163" s="175" t="s">
        <v>2205</v>
      </c>
      <c r="AX163" s="175" t="s">
        <v>1031</v>
      </c>
    </row>
    <row r="164" spans="1:50" s="179" customFormat="1" ht="24.95" hidden="1" customHeight="1" x14ac:dyDescent="0.25">
      <c r="A164" s="175">
        <v>14510</v>
      </c>
      <c r="B164" s="175" t="s">
        <v>86</v>
      </c>
      <c r="C164" s="175" t="s">
        <v>29</v>
      </c>
      <c r="D164" s="176">
        <v>1</v>
      </c>
      <c r="E164" s="176">
        <v>2025</v>
      </c>
      <c r="F164" s="176">
        <v>2025</v>
      </c>
      <c r="G164" s="175" t="s">
        <v>23</v>
      </c>
      <c r="H164" s="175" t="s">
        <v>86</v>
      </c>
      <c r="I164" s="175" t="s">
        <v>105</v>
      </c>
      <c r="J164" s="177" t="s">
        <v>2199</v>
      </c>
      <c r="K164" s="175" t="s">
        <v>992</v>
      </c>
      <c r="L164" s="175" t="s">
        <v>345</v>
      </c>
      <c r="M164" s="175" t="s">
        <v>346</v>
      </c>
      <c r="N164" s="175">
        <v>13</v>
      </c>
      <c r="O164" s="175" t="s">
        <v>382</v>
      </c>
      <c r="P164" s="175" t="s">
        <v>416</v>
      </c>
      <c r="Q164" s="175" t="s">
        <v>1201</v>
      </c>
      <c r="R164" s="175" t="s">
        <v>339</v>
      </c>
      <c r="S164" s="175" t="s">
        <v>19</v>
      </c>
      <c r="T164" s="175" t="s">
        <v>337</v>
      </c>
      <c r="U164" s="176">
        <v>10</v>
      </c>
      <c r="V164" s="176">
        <v>175</v>
      </c>
      <c r="W164" s="176">
        <v>12</v>
      </c>
      <c r="X164" s="179">
        <f t="shared" si="32"/>
        <v>187</v>
      </c>
      <c r="Y164" s="176">
        <v>5</v>
      </c>
      <c r="Z164" s="176" t="s">
        <v>20</v>
      </c>
      <c r="AA164" s="176" t="s">
        <v>18</v>
      </c>
      <c r="AB164" s="176" t="s">
        <v>20</v>
      </c>
      <c r="AC164" s="186" t="s">
        <v>2203</v>
      </c>
      <c r="AD164" s="181" t="s">
        <v>2204</v>
      </c>
      <c r="AE164" s="179" t="s">
        <v>18</v>
      </c>
      <c r="AF164" s="191"/>
      <c r="AG164" s="174" t="s">
        <v>990</v>
      </c>
      <c r="AH164" s="179">
        <v>38</v>
      </c>
      <c r="AI164" s="179">
        <v>2</v>
      </c>
      <c r="AJ164" s="200">
        <f t="shared" si="23"/>
        <v>1870</v>
      </c>
      <c r="AK164" s="183">
        <f t="shared" si="24"/>
        <v>6372</v>
      </c>
      <c r="AL164" s="179">
        <f t="shared" si="30"/>
        <v>37.4</v>
      </c>
      <c r="AM164" s="183">
        <v>0</v>
      </c>
      <c r="AN164" s="183">
        <f t="shared" si="31"/>
        <v>1520000</v>
      </c>
      <c r="AO164" s="183">
        <f t="shared" si="25"/>
        <v>0</v>
      </c>
      <c r="AP164" s="183">
        <f t="shared" si="26"/>
        <v>2700000</v>
      </c>
      <c r="AQ164" s="183">
        <f t="shared" si="27"/>
        <v>11915640</v>
      </c>
      <c r="AR164" s="183"/>
      <c r="AS164" s="183">
        <f t="shared" si="28"/>
        <v>0</v>
      </c>
      <c r="AT164" s="183">
        <f t="shared" si="29"/>
        <v>16135640</v>
      </c>
      <c r="AU164" s="175" t="s">
        <v>1632</v>
      </c>
      <c r="AV164" s="175" t="s">
        <v>1633</v>
      </c>
      <c r="AW164" s="175" t="s">
        <v>2206</v>
      </c>
      <c r="AX164" s="175" t="s">
        <v>1635</v>
      </c>
    </row>
    <row r="165" spans="1:50" s="179" customFormat="1" ht="24.95" hidden="1" customHeight="1" x14ac:dyDescent="0.25">
      <c r="A165" s="175">
        <v>14512</v>
      </c>
      <c r="B165" s="175" t="s">
        <v>86</v>
      </c>
      <c r="C165" s="175" t="s">
        <v>29</v>
      </c>
      <c r="D165" s="176">
        <v>1</v>
      </c>
      <c r="E165" s="176">
        <v>2025</v>
      </c>
      <c r="F165" s="176">
        <v>2025</v>
      </c>
      <c r="G165" s="175" t="s">
        <v>23</v>
      </c>
      <c r="H165" s="175" t="s">
        <v>86</v>
      </c>
      <c r="I165" s="175" t="s">
        <v>105</v>
      </c>
      <c r="J165" s="177" t="s">
        <v>2199</v>
      </c>
      <c r="K165" s="175" t="s">
        <v>992</v>
      </c>
      <c r="L165" s="175" t="s">
        <v>345</v>
      </c>
      <c r="M165" s="175" t="s">
        <v>346</v>
      </c>
      <c r="N165" s="175">
        <v>13</v>
      </c>
      <c r="O165" s="175" t="s">
        <v>382</v>
      </c>
      <c r="P165" s="175" t="s">
        <v>412</v>
      </c>
      <c r="Q165" s="175" t="s">
        <v>1201</v>
      </c>
      <c r="R165" s="175" t="s">
        <v>339</v>
      </c>
      <c r="S165" s="175" t="s">
        <v>19</v>
      </c>
      <c r="T165" s="175" t="s">
        <v>337</v>
      </c>
      <c r="U165" s="176">
        <v>10</v>
      </c>
      <c r="V165" s="176">
        <v>187</v>
      </c>
      <c r="W165" s="176">
        <v>12</v>
      </c>
      <c r="X165" s="179">
        <f t="shared" si="32"/>
        <v>199</v>
      </c>
      <c r="Y165" s="176">
        <v>5</v>
      </c>
      <c r="Z165" s="176" t="s">
        <v>20</v>
      </c>
      <c r="AA165" s="176" t="s">
        <v>18</v>
      </c>
      <c r="AB165" s="176" t="s">
        <v>20</v>
      </c>
      <c r="AC165" s="186" t="s">
        <v>2207</v>
      </c>
      <c r="AD165" s="181" t="s">
        <v>2204</v>
      </c>
      <c r="AE165" s="179" t="s">
        <v>18</v>
      </c>
      <c r="AF165" s="191"/>
      <c r="AG165" s="174" t="s">
        <v>990</v>
      </c>
      <c r="AH165" s="179">
        <v>40</v>
      </c>
      <c r="AI165" s="179">
        <v>2</v>
      </c>
      <c r="AJ165" s="200">
        <f t="shared" si="23"/>
        <v>1990</v>
      </c>
      <c r="AK165" s="183">
        <f t="shared" si="24"/>
        <v>6372</v>
      </c>
      <c r="AL165" s="179">
        <f t="shared" si="30"/>
        <v>39.799999999999997</v>
      </c>
      <c r="AM165" s="183">
        <v>0</v>
      </c>
      <c r="AN165" s="183">
        <f t="shared" si="31"/>
        <v>1600000</v>
      </c>
      <c r="AO165" s="183">
        <f t="shared" si="25"/>
        <v>0</v>
      </c>
      <c r="AP165" s="183">
        <f t="shared" si="26"/>
        <v>2700000</v>
      </c>
      <c r="AQ165" s="183">
        <f t="shared" si="27"/>
        <v>12680280</v>
      </c>
      <c r="AR165" s="183"/>
      <c r="AS165" s="183">
        <f t="shared" si="28"/>
        <v>0</v>
      </c>
      <c r="AT165" s="183">
        <f t="shared" si="29"/>
        <v>16980280</v>
      </c>
      <c r="AU165" s="175" t="s">
        <v>1632</v>
      </c>
      <c r="AV165" s="175" t="s">
        <v>1633</v>
      </c>
      <c r="AW165" s="175" t="s">
        <v>2206</v>
      </c>
      <c r="AX165" s="175" t="s">
        <v>1031</v>
      </c>
    </row>
    <row r="166" spans="1:50" s="179" customFormat="1" ht="24.95" hidden="1" customHeight="1" x14ac:dyDescent="0.25">
      <c r="A166" s="175">
        <v>14249</v>
      </c>
      <c r="B166" s="175" t="s">
        <v>86</v>
      </c>
      <c r="C166" s="175" t="s">
        <v>29</v>
      </c>
      <c r="D166" s="176">
        <v>1</v>
      </c>
      <c r="E166" s="176">
        <v>2025</v>
      </c>
      <c r="F166" s="176">
        <v>2025</v>
      </c>
      <c r="G166" s="175" t="s">
        <v>23</v>
      </c>
      <c r="H166" s="175" t="s">
        <v>86</v>
      </c>
      <c r="I166" s="175" t="s">
        <v>105</v>
      </c>
      <c r="J166" s="177" t="s">
        <v>2211</v>
      </c>
      <c r="K166" s="175" t="s">
        <v>992</v>
      </c>
      <c r="L166" s="175" t="s">
        <v>345</v>
      </c>
      <c r="M166" s="175" t="s">
        <v>346</v>
      </c>
      <c r="N166" s="175">
        <v>4</v>
      </c>
      <c r="O166" s="175" t="s">
        <v>415</v>
      </c>
      <c r="P166" s="175" t="s">
        <v>840</v>
      </c>
      <c r="Q166" s="175" t="s">
        <v>1201</v>
      </c>
      <c r="R166" s="175" t="s">
        <v>339</v>
      </c>
      <c r="S166" s="175" t="s">
        <v>19</v>
      </c>
      <c r="T166" s="175" t="s">
        <v>1598</v>
      </c>
      <c r="U166" s="176">
        <v>20</v>
      </c>
      <c r="V166" s="176">
        <v>162</v>
      </c>
      <c r="W166" s="176">
        <v>12</v>
      </c>
      <c r="X166" s="179">
        <f t="shared" si="32"/>
        <v>174</v>
      </c>
      <c r="Y166" s="176">
        <v>4</v>
      </c>
      <c r="Z166" s="176" t="s">
        <v>20</v>
      </c>
      <c r="AA166" s="176" t="s">
        <v>18</v>
      </c>
      <c r="AB166" s="176" t="s">
        <v>20</v>
      </c>
      <c r="AC166" s="186" t="s">
        <v>2212</v>
      </c>
      <c r="AD166" s="181" t="s">
        <v>2213</v>
      </c>
      <c r="AE166" s="179" t="s">
        <v>18</v>
      </c>
      <c r="AF166" s="191"/>
      <c r="AG166" s="174" t="s">
        <v>990</v>
      </c>
      <c r="AH166" s="179">
        <v>44</v>
      </c>
      <c r="AI166" s="179">
        <v>2</v>
      </c>
      <c r="AJ166" s="200">
        <f t="shared" si="23"/>
        <v>3480</v>
      </c>
      <c r="AK166" s="183">
        <f t="shared" si="24"/>
        <v>6372</v>
      </c>
      <c r="AL166" s="179">
        <f t="shared" si="30"/>
        <v>43.5</v>
      </c>
      <c r="AM166" s="183">
        <v>0</v>
      </c>
      <c r="AN166" s="183">
        <f t="shared" si="31"/>
        <v>3520000</v>
      </c>
      <c r="AO166" s="183">
        <f t="shared" si="25"/>
        <v>0</v>
      </c>
      <c r="AP166" s="183">
        <f t="shared" si="26"/>
        <v>5400000</v>
      </c>
      <c r="AQ166" s="183">
        <f t="shared" si="27"/>
        <v>22174560</v>
      </c>
      <c r="AR166" s="183"/>
      <c r="AS166" s="183">
        <f t="shared" si="28"/>
        <v>0</v>
      </c>
      <c r="AT166" s="183">
        <f t="shared" si="29"/>
        <v>31094560</v>
      </c>
      <c r="AU166" s="175" t="s">
        <v>1600</v>
      </c>
      <c r="AV166" s="175" t="s">
        <v>1601</v>
      </c>
      <c r="AW166" s="175" t="s">
        <v>2058</v>
      </c>
      <c r="AX166" s="175" t="s">
        <v>1029</v>
      </c>
    </row>
    <row r="167" spans="1:50" s="179" customFormat="1" ht="24.95" hidden="1" customHeight="1" x14ac:dyDescent="0.25">
      <c r="A167" s="175">
        <v>14230</v>
      </c>
      <c r="B167" s="175" t="s">
        <v>86</v>
      </c>
      <c r="C167" s="175" t="s">
        <v>29</v>
      </c>
      <c r="D167" s="176">
        <v>1</v>
      </c>
      <c r="E167" s="176">
        <v>2025</v>
      </c>
      <c r="F167" s="176">
        <v>2025</v>
      </c>
      <c r="G167" s="175" t="s">
        <v>23</v>
      </c>
      <c r="H167" s="175" t="s">
        <v>86</v>
      </c>
      <c r="I167" s="175" t="s">
        <v>105</v>
      </c>
      <c r="J167" s="177" t="s">
        <v>1034</v>
      </c>
      <c r="K167" s="175" t="s">
        <v>992</v>
      </c>
      <c r="L167" s="175" t="s">
        <v>345</v>
      </c>
      <c r="M167" s="175" t="s">
        <v>346</v>
      </c>
      <c r="N167" s="175">
        <v>6</v>
      </c>
      <c r="O167" s="175" t="s">
        <v>796</v>
      </c>
      <c r="P167" s="175" t="s">
        <v>825</v>
      </c>
      <c r="Q167" s="175" t="s">
        <v>1201</v>
      </c>
      <c r="R167" s="175" t="s">
        <v>339</v>
      </c>
      <c r="S167" s="175" t="s">
        <v>19</v>
      </c>
      <c r="T167" s="175" t="s">
        <v>2236</v>
      </c>
      <c r="U167" s="176">
        <v>15</v>
      </c>
      <c r="V167" s="176">
        <v>200</v>
      </c>
      <c r="W167" s="176">
        <v>12</v>
      </c>
      <c r="X167" s="179">
        <f t="shared" si="32"/>
        <v>212</v>
      </c>
      <c r="Y167" s="176">
        <v>7</v>
      </c>
      <c r="Z167" s="176" t="s">
        <v>20</v>
      </c>
      <c r="AA167" s="176" t="s">
        <v>18</v>
      </c>
      <c r="AB167" s="176" t="s">
        <v>20</v>
      </c>
      <c r="AC167" s="186" t="s">
        <v>2237</v>
      </c>
      <c r="AD167" s="181" t="s">
        <v>2238</v>
      </c>
      <c r="AE167" s="179" t="s">
        <v>18</v>
      </c>
      <c r="AF167" s="191"/>
      <c r="AG167" s="174" t="s">
        <v>990</v>
      </c>
      <c r="AH167" s="179">
        <v>31</v>
      </c>
      <c r="AI167" s="179">
        <v>2</v>
      </c>
      <c r="AJ167" s="200">
        <f t="shared" si="23"/>
        <v>3180</v>
      </c>
      <c r="AK167" s="183">
        <f t="shared" si="24"/>
        <v>6372</v>
      </c>
      <c r="AL167" s="179">
        <f t="shared" si="30"/>
        <v>30.285714285714285</v>
      </c>
      <c r="AM167" s="183">
        <v>0</v>
      </c>
      <c r="AN167" s="183">
        <f t="shared" si="31"/>
        <v>1860000</v>
      </c>
      <c r="AO167" s="183">
        <f t="shared" si="25"/>
        <v>0</v>
      </c>
      <c r="AP167" s="183">
        <f t="shared" si="26"/>
        <v>4050000</v>
      </c>
      <c r="AQ167" s="183">
        <f t="shared" si="27"/>
        <v>20262960</v>
      </c>
      <c r="AR167" s="183"/>
      <c r="AS167" s="183">
        <f t="shared" si="28"/>
        <v>0</v>
      </c>
      <c r="AT167" s="183">
        <f t="shared" si="29"/>
        <v>26172960</v>
      </c>
      <c r="AU167" s="175" t="s">
        <v>2239</v>
      </c>
      <c r="AV167" s="175" t="s">
        <v>2240</v>
      </c>
      <c r="AW167" s="175" t="s">
        <v>2241</v>
      </c>
      <c r="AX167" s="175" t="s">
        <v>2242</v>
      </c>
    </row>
    <row r="168" spans="1:50" s="179" customFormat="1" ht="24.95" hidden="1" customHeight="1" x14ac:dyDescent="0.25">
      <c r="A168" s="175">
        <v>14229</v>
      </c>
      <c r="B168" s="175" t="s">
        <v>86</v>
      </c>
      <c r="C168" s="175" t="s">
        <v>29</v>
      </c>
      <c r="D168" s="176">
        <v>1</v>
      </c>
      <c r="E168" s="176">
        <v>2025</v>
      </c>
      <c r="F168" s="176">
        <v>2025</v>
      </c>
      <c r="G168" s="175" t="s">
        <v>23</v>
      </c>
      <c r="H168" s="175" t="s">
        <v>86</v>
      </c>
      <c r="I168" s="175" t="s">
        <v>105</v>
      </c>
      <c r="J168" s="177" t="s">
        <v>1036</v>
      </c>
      <c r="K168" s="175" t="s">
        <v>992</v>
      </c>
      <c r="L168" s="175" t="s">
        <v>345</v>
      </c>
      <c r="M168" s="175" t="s">
        <v>346</v>
      </c>
      <c r="N168" s="175">
        <v>6</v>
      </c>
      <c r="O168" s="175" t="s">
        <v>796</v>
      </c>
      <c r="P168" s="175" t="s">
        <v>825</v>
      </c>
      <c r="Q168" s="175" t="s">
        <v>1201</v>
      </c>
      <c r="R168" s="175" t="s">
        <v>339</v>
      </c>
      <c r="S168" s="175" t="s">
        <v>19</v>
      </c>
      <c r="T168" s="175" t="s">
        <v>2243</v>
      </c>
      <c r="U168" s="176">
        <v>15</v>
      </c>
      <c r="V168" s="176">
        <v>250</v>
      </c>
      <c r="W168" s="176">
        <v>12</v>
      </c>
      <c r="X168" s="179">
        <f t="shared" si="32"/>
        <v>262</v>
      </c>
      <c r="Y168" s="176">
        <v>7</v>
      </c>
      <c r="Z168" s="176" t="s">
        <v>20</v>
      </c>
      <c r="AA168" s="176" t="s">
        <v>18</v>
      </c>
      <c r="AB168" s="176" t="s">
        <v>20</v>
      </c>
      <c r="AC168" s="186" t="s">
        <v>2244</v>
      </c>
      <c r="AD168" s="181" t="s">
        <v>2245</v>
      </c>
      <c r="AE168" s="179" t="s">
        <v>18</v>
      </c>
      <c r="AF168" s="191"/>
      <c r="AG168" s="174" t="s">
        <v>990</v>
      </c>
      <c r="AH168" s="179">
        <v>38</v>
      </c>
      <c r="AI168" s="179">
        <v>2</v>
      </c>
      <c r="AJ168" s="200">
        <f t="shared" si="23"/>
        <v>3930</v>
      </c>
      <c r="AK168" s="183">
        <f t="shared" si="24"/>
        <v>6372</v>
      </c>
      <c r="AL168" s="179">
        <f t="shared" si="30"/>
        <v>37.428571428571431</v>
      </c>
      <c r="AM168" s="183">
        <v>0</v>
      </c>
      <c r="AN168" s="183">
        <f t="shared" si="31"/>
        <v>2280000</v>
      </c>
      <c r="AO168" s="183">
        <f t="shared" si="25"/>
        <v>0</v>
      </c>
      <c r="AP168" s="183">
        <f t="shared" si="26"/>
        <v>4050000</v>
      </c>
      <c r="AQ168" s="183">
        <f t="shared" si="27"/>
        <v>25041960</v>
      </c>
      <c r="AR168" s="183"/>
      <c r="AS168" s="183">
        <f t="shared" si="28"/>
        <v>0</v>
      </c>
      <c r="AT168" s="183">
        <f t="shared" si="29"/>
        <v>31371960</v>
      </c>
      <c r="AU168" s="175" t="s">
        <v>2239</v>
      </c>
      <c r="AV168" s="175" t="s">
        <v>2240</v>
      </c>
      <c r="AW168" s="175" t="s">
        <v>2241</v>
      </c>
      <c r="AX168" s="175" t="s">
        <v>2242</v>
      </c>
    </row>
    <row r="169" spans="1:50" s="179" customFormat="1" ht="24.95" hidden="1" customHeight="1" x14ac:dyDescent="0.25">
      <c r="A169" s="175">
        <v>14228</v>
      </c>
      <c r="B169" s="175" t="s">
        <v>86</v>
      </c>
      <c r="C169" s="175" t="s">
        <v>29</v>
      </c>
      <c r="D169" s="176">
        <v>1</v>
      </c>
      <c r="E169" s="176">
        <v>2025</v>
      </c>
      <c r="F169" s="176">
        <v>2025</v>
      </c>
      <c r="G169" s="175" t="s">
        <v>23</v>
      </c>
      <c r="H169" s="175" t="s">
        <v>86</v>
      </c>
      <c r="I169" s="175" t="s">
        <v>105</v>
      </c>
      <c r="J169" s="177" t="s">
        <v>2246</v>
      </c>
      <c r="K169" s="175" t="s">
        <v>992</v>
      </c>
      <c r="L169" s="175" t="s">
        <v>345</v>
      </c>
      <c r="M169" s="175" t="s">
        <v>346</v>
      </c>
      <c r="N169" s="175">
        <v>6</v>
      </c>
      <c r="O169" s="175" t="s">
        <v>796</v>
      </c>
      <c r="P169" s="175" t="s">
        <v>825</v>
      </c>
      <c r="Q169" s="175" t="s">
        <v>1201</v>
      </c>
      <c r="R169" s="175" t="s">
        <v>339</v>
      </c>
      <c r="S169" s="175" t="s">
        <v>19</v>
      </c>
      <c r="T169" s="175" t="s">
        <v>1035</v>
      </c>
      <c r="U169" s="176">
        <v>20</v>
      </c>
      <c r="V169" s="176">
        <v>300</v>
      </c>
      <c r="W169" s="176">
        <v>12</v>
      </c>
      <c r="X169" s="179">
        <f t="shared" si="32"/>
        <v>312</v>
      </c>
      <c r="Y169" s="176">
        <v>7</v>
      </c>
      <c r="Z169" s="176" t="s">
        <v>20</v>
      </c>
      <c r="AA169" s="176" t="s">
        <v>18</v>
      </c>
      <c r="AB169" s="176" t="s">
        <v>20</v>
      </c>
      <c r="AC169" s="186" t="s">
        <v>2247</v>
      </c>
      <c r="AD169" s="181" t="s">
        <v>2248</v>
      </c>
      <c r="AE169" s="179" t="s">
        <v>18</v>
      </c>
      <c r="AF169" s="191"/>
      <c r="AG169" s="174" t="s">
        <v>990</v>
      </c>
      <c r="AH169" s="179">
        <v>45</v>
      </c>
      <c r="AI169" s="179">
        <v>2</v>
      </c>
      <c r="AJ169" s="200">
        <f t="shared" si="23"/>
        <v>6240</v>
      </c>
      <c r="AK169" s="183">
        <f t="shared" si="24"/>
        <v>6372</v>
      </c>
      <c r="AL169" s="179">
        <f t="shared" si="30"/>
        <v>44.571428571428569</v>
      </c>
      <c r="AM169" s="183">
        <v>0</v>
      </c>
      <c r="AN169" s="183">
        <f t="shared" si="31"/>
        <v>3600000</v>
      </c>
      <c r="AO169" s="183">
        <f t="shared" si="25"/>
        <v>0</v>
      </c>
      <c r="AP169" s="183">
        <f t="shared" si="26"/>
        <v>5400000</v>
      </c>
      <c r="AQ169" s="183">
        <f t="shared" si="27"/>
        <v>39761280</v>
      </c>
      <c r="AR169" s="183"/>
      <c r="AS169" s="183">
        <f t="shared" si="28"/>
        <v>0</v>
      </c>
      <c r="AT169" s="183">
        <f t="shared" si="29"/>
        <v>48761280</v>
      </c>
      <c r="AU169" s="175" t="s">
        <v>2239</v>
      </c>
      <c r="AV169" s="175" t="s">
        <v>2240</v>
      </c>
      <c r="AW169" s="175" t="s">
        <v>2241</v>
      </c>
      <c r="AX169" s="175" t="s">
        <v>2242</v>
      </c>
    </row>
    <row r="170" spans="1:50" s="179" customFormat="1" ht="24.95" hidden="1" customHeight="1" x14ac:dyDescent="0.25">
      <c r="A170" s="175">
        <v>14218</v>
      </c>
      <c r="B170" s="175" t="s">
        <v>89</v>
      </c>
      <c r="C170" s="175" t="s">
        <v>32</v>
      </c>
      <c r="D170" s="176">
        <v>1</v>
      </c>
      <c r="E170" s="176">
        <v>2025</v>
      </c>
      <c r="F170" s="176">
        <v>2025</v>
      </c>
      <c r="G170" s="175" t="s">
        <v>23</v>
      </c>
      <c r="H170" s="175" t="s">
        <v>89</v>
      </c>
      <c r="I170" s="175" t="s">
        <v>1170</v>
      </c>
      <c r="J170" s="177" t="s">
        <v>1171</v>
      </c>
      <c r="K170" s="175" t="s">
        <v>1172</v>
      </c>
      <c r="L170" s="175" t="s">
        <v>21</v>
      </c>
      <c r="M170" s="175" t="s">
        <v>21</v>
      </c>
      <c r="N170" s="175">
        <v>13</v>
      </c>
      <c r="O170" s="175" t="s">
        <v>382</v>
      </c>
      <c r="P170" s="175" t="s">
        <v>402</v>
      </c>
      <c r="Q170" s="175" t="s">
        <v>1201</v>
      </c>
      <c r="R170" s="175" t="s">
        <v>339</v>
      </c>
      <c r="S170" s="175" t="s">
        <v>19</v>
      </c>
      <c r="T170" s="175" t="s">
        <v>337</v>
      </c>
      <c r="U170" s="176">
        <v>15</v>
      </c>
      <c r="V170" s="176">
        <v>120</v>
      </c>
      <c r="W170" s="176" t="s">
        <v>21</v>
      </c>
      <c r="X170" s="179">
        <f t="shared" si="32"/>
        <v>120</v>
      </c>
      <c r="Y170" s="176">
        <v>4</v>
      </c>
      <c r="Z170" s="176" t="s">
        <v>20</v>
      </c>
      <c r="AA170" s="176" t="s">
        <v>18</v>
      </c>
      <c r="AB170" s="185" t="s">
        <v>18</v>
      </c>
      <c r="AC170" s="186" t="s">
        <v>21</v>
      </c>
      <c r="AD170" s="181" t="s">
        <v>1738</v>
      </c>
      <c r="AE170" s="179" t="s">
        <v>18</v>
      </c>
      <c r="AF170" s="191"/>
      <c r="AG170" s="174" t="s">
        <v>990</v>
      </c>
      <c r="AH170" s="179">
        <v>30</v>
      </c>
      <c r="AI170" s="179">
        <v>2</v>
      </c>
      <c r="AJ170" s="200">
        <f t="shared" si="23"/>
        <v>1800</v>
      </c>
      <c r="AK170" s="183">
        <f t="shared" si="24"/>
        <v>6372</v>
      </c>
      <c r="AL170" s="179">
        <f t="shared" si="30"/>
        <v>30</v>
      </c>
      <c r="AM170" s="183">
        <v>0</v>
      </c>
      <c r="AN170" s="183">
        <f t="shared" si="31"/>
        <v>1800000</v>
      </c>
      <c r="AO170" s="183">
        <f t="shared" si="25"/>
        <v>0</v>
      </c>
      <c r="AP170" s="183">
        <f t="shared" si="26"/>
        <v>0</v>
      </c>
      <c r="AQ170" s="183">
        <f t="shared" si="27"/>
        <v>11469600</v>
      </c>
      <c r="AR170" s="183"/>
      <c r="AS170" s="183">
        <f t="shared" si="28"/>
        <v>0</v>
      </c>
      <c r="AT170" s="183">
        <f t="shared" si="29"/>
        <v>13269600</v>
      </c>
      <c r="AU170" s="175" t="s">
        <v>1739</v>
      </c>
      <c r="AV170" s="175" t="s">
        <v>1740</v>
      </c>
      <c r="AW170" s="175" t="s">
        <v>1741</v>
      </c>
      <c r="AX170" s="175" t="s">
        <v>1742</v>
      </c>
    </row>
    <row r="171" spans="1:50" s="179" customFormat="1" ht="24.95" hidden="1" customHeight="1" x14ac:dyDescent="0.25">
      <c r="A171" s="175">
        <v>14299</v>
      </c>
      <c r="B171" s="175" t="s">
        <v>94</v>
      </c>
      <c r="C171" s="175" t="s">
        <v>37</v>
      </c>
      <c r="D171" s="176">
        <v>1</v>
      </c>
      <c r="E171" s="176">
        <v>2025</v>
      </c>
      <c r="F171" s="176">
        <v>2025</v>
      </c>
      <c r="G171" s="175" t="s">
        <v>23</v>
      </c>
      <c r="H171" s="175" t="s">
        <v>94</v>
      </c>
      <c r="I171" s="175" t="s">
        <v>113</v>
      </c>
      <c r="J171" s="177" t="s">
        <v>704</v>
      </c>
      <c r="K171" s="175" t="s">
        <v>705</v>
      </c>
      <c r="L171" s="175" t="s">
        <v>21</v>
      </c>
      <c r="M171" s="175" t="s">
        <v>21</v>
      </c>
      <c r="N171" s="175">
        <v>13</v>
      </c>
      <c r="O171" s="175" t="s">
        <v>382</v>
      </c>
      <c r="P171" s="175" t="s">
        <v>717</v>
      </c>
      <c r="Q171" s="175" t="s">
        <v>1201</v>
      </c>
      <c r="R171" s="175" t="s">
        <v>339</v>
      </c>
      <c r="S171" s="175" t="s">
        <v>22</v>
      </c>
      <c r="T171" s="175" t="s">
        <v>337</v>
      </c>
      <c r="U171" s="176">
        <v>15</v>
      </c>
      <c r="V171" s="176">
        <v>90</v>
      </c>
      <c r="W171" s="176" t="s">
        <v>21</v>
      </c>
      <c r="X171" s="179">
        <f t="shared" si="32"/>
        <v>90</v>
      </c>
      <c r="Y171" s="176">
        <v>4</v>
      </c>
      <c r="Z171" s="176" t="s">
        <v>20</v>
      </c>
      <c r="AA171" s="176" t="s">
        <v>18</v>
      </c>
      <c r="AB171" s="185" t="s">
        <v>18</v>
      </c>
      <c r="AC171" s="186" t="s">
        <v>21</v>
      </c>
      <c r="AD171" s="181" t="s">
        <v>1712</v>
      </c>
      <c r="AE171" s="179" t="s">
        <v>18</v>
      </c>
      <c r="AF171" s="191"/>
      <c r="AG171" s="174" t="s">
        <v>990</v>
      </c>
      <c r="AH171" s="179">
        <v>23</v>
      </c>
      <c r="AI171" s="179">
        <f>VLOOKUP(K171,[1]TRAMO!$A:$B,2,0)</f>
        <v>2</v>
      </c>
      <c r="AJ171" s="200">
        <f t="shared" si="23"/>
        <v>1350</v>
      </c>
      <c r="AK171" s="183">
        <f t="shared" si="24"/>
        <v>6372</v>
      </c>
      <c r="AL171" s="179">
        <f t="shared" si="30"/>
        <v>22.5</v>
      </c>
      <c r="AM171" s="183">
        <v>0</v>
      </c>
      <c r="AN171" s="183">
        <f t="shared" si="31"/>
        <v>1380000</v>
      </c>
      <c r="AO171" s="183">
        <f t="shared" si="25"/>
        <v>0</v>
      </c>
      <c r="AP171" s="183">
        <f t="shared" si="26"/>
        <v>0</v>
      </c>
      <c r="AQ171" s="183">
        <f t="shared" si="27"/>
        <v>8602200</v>
      </c>
      <c r="AR171" s="183"/>
      <c r="AS171" s="183">
        <f t="shared" si="28"/>
        <v>0</v>
      </c>
      <c r="AT171" s="183">
        <f t="shared" si="29"/>
        <v>9982200</v>
      </c>
      <c r="AU171" s="175" t="s">
        <v>1713</v>
      </c>
      <c r="AV171" s="175" t="s">
        <v>1714</v>
      </c>
      <c r="AW171" s="175" t="s">
        <v>1715</v>
      </c>
      <c r="AX171" s="175" t="s">
        <v>1041</v>
      </c>
    </row>
    <row r="172" spans="1:50" s="179" customFormat="1" ht="24.95" hidden="1" customHeight="1" x14ac:dyDescent="0.25">
      <c r="A172" s="175">
        <v>14348</v>
      </c>
      <c r="B172" s="175" t="s">
        <v>94</v>
      </c>
      <c r="C172" s="175" t="s">
        <v>37</v>
      </c>
      <c r="D172" s="176">
        <v>1</v>
      </c>
      <c r="E172" s="176">
        <v>2025</v>
      </c>
      <c r="F172" s="176">
        <v>2025</v>
      </c>
      <c r="G172" s="175" t="s">
        <v>23</v>
      </c>
      <c r="H172" s="175" t="s">
        <v>94</v>
      </c>
      <c r="I172" s="175" t="s">
        <v>113</v>
      </c>
      <c r="J172" s="177" t="s">
        <v>1998</v>
      </c>
      <c r="K172" s="175" t="s">
        <v>992</v>
      </c>
      <c r="L172" s="175" t="s">
        <v>21</v>
      </c>
      <c r="M172" s="175" t="s">
        <v>21</v>
      </c>
      <c r="N172" s="175">
        <v>6</v>
      </c>
      <c r="O172" s="175" t="s">
        <v>796</v>
      </c>
      <c r="P172" s="175" t="s">
        <v>858</v>
      </c>
      <c r="Q172" s="175" t="s">
        <v>1201</v>
      </c>
      <c r="R172" s="175" t="s">
        <v>339</v>
      </c>
      <c r="S172" s="175" t="s">
        <v>22</v>
      </c>
      <c r="T172" s="175" t="s">
        <v>347</v>
      </c>
      <c r="U172" s="176">
        <v>15</v>
      </c>
      <c r="V172" s="176">
        <v>90</v>
      </c>
      <c r="W172" s="176" t="s">
        <v>21</v>
      </c>
      <c r="X172" s="179">
        <f t="shared" si="32"/>
        <v>90</v>
      </c>
      <c r="Y172" s="176">
        <v>3</v>
      </c>
      <c r="Z172" s="176" t="s">
        <v>20</v>
      </c>
      <c r="AA172" s="176" t="s">
        <v>18</v>
      </c>
      <c r="AB172" s="185" t="s">
        <v>18</v>
      </c>
      <c r="AC172" s="186" t="s">
        <v>1999</v>
      </c>
      <c r="AD172" s="181" t="s">
        <v>2000</v>
      </c>
      <c r="AE172" s="179" t="s">
        <v>18</v>
      </c>
      <c r="AF172" s="191"/>
      <c r="AG172" s="174" t="s">
        <v>990</v>
      </c>
      <c r="AH172" s="179">
        <v>30</v>
      </c>
      <c r="AI172" s="179">
        <v>2</v>
      </c>
      <c r="AJ172" s="200">
        <f t="shared" si="23"/>
        <v>1350</v>
      </c>
      <c r="AK172" s="183">
        <f t="shared" si="24"/>
        <v>6372</v>
      </c>
      <c r="AL172" s="179">
        <f t="shared" si="30"/>
        <v>30</v>
      </c>
      <c r="AM172" s="183">
        <v>0</v>
      </c>
      <c r="AN172" s="183">
        <f t="shared" si="31"/>
        <v>1800000</v>
      </c>
      <c r="AO172" s="183">
        <f t="shared" si="25"/>
        <v>0</v>
      </c>
      <c r="AP172" s="183">
        <f t="shared" si="26"/>
        <v>0</v>
      </c>
      <c r="AQ172" s="183">
        <f t="shared" si="27"/>
        <v>8602200</v>
      </c>
      <c r="AR172" s="183"/>
      <c r="AS172" s="183">
        <f t="shared" si="28"/>
        <v>0</v>
      </c>
      <c r="AT172" s="183">
        <f t="shared" si="29"/>
        <v>10402200</v>
      </c>
      <c r="AU172" s="175" t="s">
        <v>2001</v>
      </c>
      <c r="AV172" s="175" t="s">
        <v>1714</v>
      </c>
      <c r="AW172" s="175" t="s">
        <v>2002</v>
      </c>
      <c r="AX172" s="175" t="s">
        <v>2003</v>
      </c>
    </row>
    <row r="173" spans="1:50" s="179" customFormat="1" ht="24.95" hidden="1" customHeight="1" x14ac:dyDescent="0.25">
      <c r="A173" s="175">
        <v>14326</v>
      </c>
      <c r="B173" s="175" t="s">
        <v>94</v>
      </c>
      <c r="C173" s="175" t="s">
        <v>37</v>
      </c>
      <c r="D173" s="176">
        <v>1</v>
      </c>
      <c r="E173" s="176">
        <v>2025</v>
      </c>
      <c r="F173" s="176">
        <v>2025</v>
      </c>
      <c r="G173" s="175" t="s">
        <v>23</v>
      </c>
      <c r="H173" s="175" t="s">
        <v>94</v>
      </c>
      <c r="I173" s="175" t="s">
        <v>113</v>
      </c>
      <c r="J173" s="177" t="s">
        <v>2258</v>
      </c>
      <c r="K173" s="175" t="s">
        <v>992</v>
      </c>
      <c r="L173" s="175" t="s">
        <v>345</v>
      </c>
      <c r="M173" s="175" t="s">
        <v>346</v>
      </c>
      <c r="N173" s="175">
        <v>6</v>
      </c>
      <c r="O173" s="175" t="s">
        <v>796</v>
      </c>
      <c r="P173" s="175" t="s">
        <v>819</v>
      </c>
      <c r="Q173" s="175" t="s">
        <v>1201</v>
      </c>
      <c r="R173" s="175" t="s">
        <v>339</v>
      </c>
      <c r="S173" s="175" t="s">
        <v>19</v>
      </c>
      <c r="T173" s="175" t="s">
        <v>347</v>
      </c>
      <c r="U173" s="176">
        <v>15</v>
      </c>
      <c r="V173" s="176">
        <v>168</v>
      </c>
      <c r="W173" s="176">
        <v>12</v>
      </c>
      <c r="X173" s="179">
        <f t="shared" ref="X173:X190" si="33">((SUM(V173:W173))*1)*1</f>
        <v>180</v>
      </c>
      <c r="Y173" s="176">
        <v>4</v>
      </c>
      <c r="Z173" s="176" t="s">
        <v>20</v>
      </c>
      <c r="AA173" s="176" t="s">
        <v>18</v>
      </c>
      <c r="AB173" s="176" t="s">
        <v>20</v>
      </c>
      <c r="AC173" s="186" t="s">
        <v>2259</v>
      </c>
      <c r="AD173" s="181" t="s">
        <v>2260</v>
      </c>
      <c r="AE173" s="179" t="s">
        <v>18</v>
      </c>
      <c r="AF173" s="191"/>
      <c r="AG173" s="174" t="s">
        <v>990</v>
      </c>
      <c r="AH173" s="179">
        <v>45</v>
      </c>
      <c r="AI173" s="179">
        <v>2</v>
      </c>
      <c r="AJ173" s="200">
        <f t="shared" si="23"/>
        <v>2700</v>
      </c>
      <c r="AK173" s="183">
        <f t="shared" si="24"/>
        <v>6372</v>
      </c>
      <c r="AL173" s="179">
        <f t="shared" si="30"/>
        <v>45</v>
      </c>
      <c r="AM173" s="183">
        <v>0</v>
      </c>
      <c r="AN173" s="183">
        <f t="shared" si="31"/>
        <v>2700000</v>
      </c>
      <c r="AO173" s="183">
        <f t="shared" si="25"/>
        <v>0</v>
      </c>
      <c r="AP173" s="183">
        <f t="shared" si="26"/>
        <v>4050000</v>
      </c>
      <c r="AQ173" s="183">
        <f t="shared" si="27"/>
        <v>17204400</v>
      </c>
      <c r="AR173" s="183"/>
      <c r="AS173" s="183">
        <f t="shared" si="28"/>
        <v>0</v>
      </c>
      <c r="AT173" s="183">
        <f t="shared" si="29"/>
        <v>23954400</v>
      </c>
      <c r="AU173" s="175" t="s">
        <v>2261</v>
      </c>
      <c r="AV173" s="175" t="s">
        <v>2262</v>
      </c>
      <c r="AW173" s="175" t="s">
        <v>2263</v>
      </c>
      <c r="AX173" s="175" t="s">
        <v>2264</v>
      </c>
    </row>
    <row r="174" spans="1:50" s="179" customFormat="1" ht="24.95" hidden="1" customHeight="1" x14ac:dyDescent="0.25">
      <c r="A174" s="175">
        <v>14343</v>
      </c>
      <c r="B174" s="175" t="s">
        <v>94</v>
      </c>
      <c r="C174" s="175" t="s">
        <v>37</v>
      </c>
      <c r="D174" s="176">
        <v>1</v>
      </c>
      <c r="E174" s="176">
        <v>2025</v>
      </c>
      <c r="F174" s="176">
        <v>2025</v>
      </c>
      <c r="G174" s="175" t="s">
        <v>23</v>
      </c>
      <c r="H174" s="175" t="s">
        <v>94</v>
      </c>
      <c r="I174" s="175" t="s">
        <v>113</v>
      </c>
      <c r="J174" s="177" t="s">
        <v>2265</v>
      </c>
      <c r="K174" s="175" t="s">
        <v>992</v>
      </c>
      <c r="L174" s="175" t="s">
        <v>345</v>
      </c>
      <c r="M174" s="175" t="s">
        <v>346</v>
      </c>
      <c r="N174" s="175">
        <v>6</v>
      </c>
      <c r="O174" s="175" t="s">
        <v>796</v>
      </c>
      <c r="P174" s="175" t="s">
        <v>2266</v>
      </c>
      <c r="Q174" s="175" t="s">
        <v>1201</v>
      </c>
      <c r="R174" s="175" t="s">
        <v>339</v>
      </c>
      <c r="S174" s="175" t="s">
        <v>19</v>
      </c>
      <c r="T174" s="175" t="s">
        <v>394</v>
      </c>
      <c r="U174" s="176">
        <v>15</v>
      </c>
      <c r="V174" s="176">
        <v>168</v>
      </c>
      <c r="W174" s="176">
        <v>12</v>
      </c>
      <c r="X174" s="179">
        <f t="shared" si="33"/>
        <v>180</v>
      </c>
      <c r="Y174" s="176">
        <v>4</v>
      </c>
      <c r="Z174" s="176" t="s">
        <v>20</v>
      </c>
      <c r="AA174" s="176" t="s">
        <v>18</v>
      </c>
      <c r="AB174" s="176" t="s">
        <v>20</v>
      </c>
      <c r="AC174" s="186" t="s">
        <v>2267</v>
      </c>
      <c r="AD174" s="181" t="s">
        <v>2268</v>
      </c>
      <c r="AE174" s="179" t="s">
        <v>18</v>
      </c>
      <c r="AF174" s="191"/>
      <c r="AG174" s="174" t="s">
        <v>990</v>
      </c>
      <c r="AH174" s="179">
        <v>45</v>
      </c>
      <c r="AI174" s="179">
        <v>2</v>
      </c>
      <c r="AJ174" s="200">
        <f t="shared" si="23"/>
        <v>2700</v>
      </c>
      <c r="AK174" s="183">
        <f t="shared" si="24"/>
        <v>6372</v>
      </c>
      <c r="AL174" s="179">
        <f t="shared" si="30"/>
        <v>45</v>
      </c>
      <c r="AM174" s="183">
        <v>0</v>
      </c>
      <c r="AN174" s="183">
        <f t="shared" si="31"/>
        <v>2700000</v>
      </c>
      <c r="AO174" s="183">
        <f t="shared" si="25"/>
        <v>0</v>
      </c>
      <c r="AP174" s="183">
        <f t="shared" si="26"/>
        <v>4050000</v>
      </c>
      <c r="AQ174" s="183">
        <f t="shared" si="27"/>
        <v>17204400</v>
      </c>
      <c r="AR174" s="183"/>
      <c r="AS174" s="183">
        <f t="shared" si="28"/>
        <v>0</v>
      </c>
      <c r="AT174" s="183">
        <f t="shared" si="29"/>
        <v>23954400</v>
      </c>
      <c r="AU174" s="175" t="s">
        <v>2261</v>
      </c>
      <c r="AV174" s="175" t="s">
        <v>2262</v>
      </c>
      <c r="AW174" s="175" t="s">
        <v>2269</v>
      </c>
      <c r="AX174" s="175" t="s">
        <v>2270</v>
      </c>
    </row>
    <row r="175" spans="1:50" s="179" customFormat="1" ht="24.95" hidden="1" customHeight="1" x14ac:dyDescent="0.25">
      <c r="A175" s="175">
        <v>14356</v>
      </c>
      <c r="B175" s="175" t="s">
        <v>94</v>
      </c>
      <c r="C175" s="175" t="s">
        <v>37</v>
      </c>
      <c r="D175" s="176">
        <v>1</v>
      </c>
      <c r="E175" s="176">
        <v>2025</v>
      </c>
      <c r="F175" s="176">
        <v>2025</v>
      </c>
      <c r="G175" s="175" t="s">
        <v>23</v>
      </c>
      <c r="H175" s="175" t="s">
        <v>94</v>
      </c>
      <c r="I175" s="175" t="s">
        <v>113</v>
      </c>
      <c r="J175" s="177" t="s">
        <v>2265</v>
      </c>
      <c r="K175" s="175" t="s">
        <v>992</v>
      </c>
      <c r="L175" s="175" t="s">
        <v>345</v>
      </c>
      <c r="M175" s="175" t="s">
        <v>346</v>
      </c>
      <c r="N175" s="175">
        <v>6</v>
      </c>
      <c r="O175" s="175" t="s">
        <v>796</v>
      </c>
      <c r="P175" s="175" t="s">
        <v>820</v>
      </c>
      <c r="Q175" s="175" t="s">
        <v>1201</v>
      </c>
      <c r="R175" s="175" t="s">
        <v>339</v>
      </c>
      <c r="S175" s="175" t="s">
        <v>19</v>
      </c>
      <c r="T175" s="175" t="s">
        <v>775</v>
      </c>
      <c r="U175" s="176">
        <v>15</v>
      </c>
      <c r="V175" s="176">
        <v>168</v>
      </c>
      <c r="W175" s="176">
        <v>12</v>
      </c>
      <c r="X175" s="179">
        <f t="shared" si="33"/>
        <v>180</v>
      </c>
      <c r="Y175" s="176">
        <v>4</v>
      </c>
      <c r="Z175" s="176" t="s">
        <v>20</v>
      </c>
      <c r="AA175" s="176" t="s">
        <v>18</v>
      </c>
      <c r="AB175" s="176" t="s">
        <v>20</v>
      </c>
      <c r="AC175" s="186" t="s">
        <v>2267</v>
      </c>
      <c r="AD175" s="181" t="s">
        <v>2271</v>
      </c>
      <c r="AE175" s="179" t="s">
        <v>18</v>
      </c>
      <c r="AF175" s="191"/>
      <c r="AG175" s="174" t="s">
        <v>990</v>
      </c>
      <c r="AH175" s="179">
        <v>45</v>
      </c>
      <c r="AI175" s="179">
        <v>2</v>
      </c>
      <c r="AJ175" s="200">
        <f t="shared" si="23"/>
        <v>2700</v>
      </c>
      <c r="AK175" s="183">
        <f t="shared" si="24"/>
        <v>6372</v>
      </c>
      <c r="AL175" s="179">
        <f t="shared" si="30"/>
        <v>45</v>
      </c>
      <c r="AM175" s="183">
        <v>0</v>
      </c>
      <c r="AN175" s="183">
        <f t="shared" si="31"/>
        <v>2700000</v>
      </c>
      <c r="AO175" s="183">
        <f t="shared" si="25"/>
        <v>0</v>
      </c>
      <c r="AP175" s="183">
        <f t="shared" si="26"/>
        <v>4050000</v>
      </c>
      <c r="AQ175" s="183">
        <f t="shared" si="27"/>
        <v>17204400</v>
      </c>
      <c r="AR175" s="183"/>
      <c r="AS175" s="183">
        <f t="shared" si="28"/>
        <v>0</v>
      </c>
      <c r="AT175" s="183">
        <f t="shared" si="29"/>
        <v>23954400</v>
      </c>
      <c r="AU175" s="175" t="s">
        <v>2272</v>
      </c>
      <c r="AV175" s="175" t="s">
        <v>2273</v>
      </c>
      <c r="AW175" s="175" t="s">
        <v>2274</v>
      </c>
      <c r="AX175" s="175" t="s">
        <v>2273</v>
      </c>
    </row>
    <row r="176" spans="1:50" s="179" customFormat="1" ht="24.95" hidden="1" customHeight="1" x14ac:dyDescent="0.25">
      <c r="A176" s="174">
        <v>14613</v>
      </c>
      <c r="B176" s="175" t="s">
        <v>96</v>
      </c>
      <c r="C176" s="175" t="s">
        <v>39</v>
      </c>
      <c r="D176" s="176">
        <v>4</v>
      </c>
      <c r="E176" s="176">
        <v>2025</v>
      </c>
      <c r="F176" s="176">
        <v>2025</v>
      </c>
      <c r="G176" s="174" t="s">
        <v>1466</v>
      </c>
      <c r="H176" s="174" t="s">
        <v>336</v>
      </c>
      <c r="I176" s="174" t="s">
        <v>1467</v>
      </c>
      <c r="J176" s="177" t="s">
        <v>413</v>
      </c>
      <c r="K176" s="174" t="s">
        <v>414</v>
      </c>
      <c r="L176" s="174" t="s">
        <v>345</v>
      </c>
      <c r="M176" s="174" t="s">
        <v>346</v>
      </c>
      <c r="N176" s="174">
        <v>8</v>
      </c>
      <c r="O176" s="174" t="s">
        <v>709</v>
      </c>
      <c r="P176" s="174" t="s">
        <v>1468</v>
      </c>
      <c r="Q176" s="174" t="s">
        <v>1469</v>
      </c>
      <c r="R176" s="174" t="s">
        <v>339</v>
      </c>
      <c r="S176" s="174" t="s">
        <v>19</v>
      </c>
      <c r="T176" s="174" t="s">
        <v>337</v>
      </c>
      <c r="U176" s="178">
        <v>15</v>
      </c>
      <c r="V176" s="178">
        <v>100</v>
      </c>
      <c r="W176" s="178">
        <v>12</v>
      </c>
      <c r="X176" s="179">
        <f t="shared" si="33"/>
        <v>112</v>
      </c>
      <c r="Y176" s="178">
        <v>5</v>
      </c>
      <c r="Z176" s="178" t="s">
        <v>20</v>
      </c>
      <c r="AA176" s="178" t="s">
        <v>20</v>
      </c>
      <c r="AB176" s="178" t="s">
        <v>20</v>
      </c>
      <c r="AC176" s="180" t="s">
        <v>21</v>
      </c>
      <c r="AD176" s="181" t="s">
        <v>1470</v>
      </c>
      <c r="AE176" s="178" t="s">
        <v>18</v>
      </c>
      <c r="AF176" s="182" t="s">
        <v>21</v>
      </c>
      <c r="AG176" s="174" t="s">
        <v>990</v>
      </c>
      <c r="AH176" s="179">
        <v>23</v>
      </c>
      <c r="AI176" s="178">
        <v>1</v>
      </c>
      <c r="AJ176" s="200">
        <f t="shared" si="23"/>
        <v>1680</v>
      </c>
      <c r="AK176" s="178">
        <f t="shared" si="24"/>
        <v>5074</v>
      </c>
      <c r="AL176" s="179">
        <f t="shared" si="30"/>
        <v>22.4</v>
      </c>
      <c r="AM176" s="183">
        <v>0</v>
      </c>
      <c r="AN176" s="183">
        <f t="shared" si="31"/>
        <v>1380000</v>
      </c>
      <c r="AO176" s="183">
        <f t="shared" si="25"/>
        <v>1725000</v>
      </c>
      <c r="AP176" s="183">
        <f t="shared" si="26"/>
        <v>4050000</v>
      </c>
      <c r="AQ176" s="183">
        <f t="shared" si="27"/>
        <v>8524320</v>
      </c>
      <c r="AR176" s="183"/>
      <c r="AS176" s="183">
        <f t="shared" si="28"/>
        <v>0</v>
      </c>
      <c r="AT176" s="183">
        <f t="shared" si="29"/>
        <v>15679320</v>
      </c>
      <c r="AU176" s="174"/>
      <c r="AV176" s="174"/>
      <c r="AW176" s="174"/>
      <c r="AX176" s="174"/>
    </row>
    <row r="177" spans="1:50" s="179" customFormat="1" ht="24.95" hidden="1" customHeight="1" x14ac:dyDescent="0.25">
      <c r="A177" s="174">
        <v>14615</v>
      </c>
      <c r="B177" s="175" t="s">
        <v>96</v>
      </c>
      <c r="C177" s="175" t="s">
        <v>39</v>
      </c>
      <c r="D177" s="176">
        <v>4</v>
      </c>
      <c r="E177" s="176">
        <v>2025</v>
      </c>
      <c r="F177" s="176">
        <v>2025</v>
      </c>
      <c r="G177" s="174" t="s">
        <v>1466</v>
      </c>
      <c r="H177" s="174" t="s">
        <v>336</v>
      </c>
      <c r="I177" s="174" t="s">
        <v>1467</v>
      </c>
      <c r="J177" s="177" t="s">
        <v>715</v>
      </c>
      <c r="K177" s="174" t="s">
        <v>716</v>
      </c>
      <c r="L177" s="174" t="s">
        <v>345</v>
      </c>
      <c r="M177" s="174" t="s">
        <v>346</v>
      </c>
      <c r="N177" s="174">
        <v>8</v>
      </c>
      <c r="O177" s="174" t="s">
        <v>709</v>
      </c>
      <c r="P177" s="174" t="s">
        <v>735</v>
      </c>
      <c r="Q177" s="174" t="s">
        <v>1471</v>
      </c>
      <c r="R177" s="174" t="s">
        <v>339</v>
      </c>
      <c r="S177" s="174" t="s">
        <v>19</v>
      </c>
      <c r="T177" s="174" t="s">
        <v>337</v>
      </c>
      <c r="U177" s="178">
        <v>15</v>
      </c>
      <c r="V177" s="178">
        <v>150</v>
      </c>
      <c r="W177" s="178">
        <v>12</v>
      </c>
      <c r="X177" s="179">
        <f t="shared" si="33"/>
        <v>162</v>
      </c>
      <c r="Y177" s="178">
        <v>5</v>
      </c>
      <c r="Z177" s="178" t="s">
        <v>20</v>
      </c>
      <c r="AA177" s="178" t="s">
        <v>20</v>
      </c>
      <c r="AB177" s="178" t="s">
        <v>20</v>
      </c>
      <c r="AC177" s="180" t="s">
        <v>21</v>
      </c>
      <c r="AD177" s="181" t="s">
        <v>1472</v>
      </c>
      <c r="AE177" s="178" t="s">
        <v>18</v>
      </c>
      <c r="AF177" s="182" t="s">
        <v>21</v>
      </c>
      <c r="AG177" s="174" t="s">
        <v>990</v>
      </c>
      <c r="AH177" s="179">
        <v>33</v>
      </c>
      <c r="AI177" s="178">
        <v>2</v>
      </c>
      <c r="AJ177" s="200">
        <f t="shared" si="23"/>
        <v>2430</v>
      </c>
      <c r="AK177" s="178">
        <f t="shared" si="24"/>
        <v>6372</v>
      </c>
      <c r="AL177" s="179">
        <f t="shared" si="30"/>
        <v>32.4</v>
      </c>
      <c r="AM177" s="183">
        <v>0</v>
      </c>
      <c r="AN177" s="183">
        <f t="shared" si="31"/>
        <v>1980000</v>
      </c>
      <c r="AO177" s="183">
        <f t="shared" si="25"/>
        <v>2475000</v>
      </c>
      <c r="AP177" s="183">
        <f t="shared" si="26"/>
        <v>4050000</v>
      </c>
      <c r="AQ177" s="183">
        <f t="shared" si="27"/>
        <v>15483960</v>
      </c>
      <c r="AR177" s="183"/>
      <c r="AS177" s="183">
        <f t="shared" si="28"/>
        <v>0</v>
      </c>
      <c r="AT177" s="183">
        <f t="shared" si="29"/>
        <v>23988960</v>
      </c>
      <c r="AU177" s="174"/>
      <c r="AV177" s="174"/>
      <c r="AW177" s="174"/>
      <c r="AX177" s="174"/>
    </row>
    <row r="178" spans="1:50" s="179" customFormat="1" ht="24.95" hidden="1" customHeight="1" x14ac:dyDescent="0.25">
      <c r="A178" s="174">
        <v>14616</v>
      </c>
      <c r="B178" s="175" t="s">
        <v>96</v>
      </c>
      <c r="C178" s="175" t="s">
        <v>39</v>
      </c>
      <c r="D178" s="176">
        <v>4</v>
      </c>
      <c r="E178" s="176">
        <v>2025</v>
      </c>
      <c r="F178" s="176">
        <v>2025</v>
      </c>
      <c r="G178" s="174" t="s">
        <v>1466</v>
      </c>
      <c r="H178" s="174" t="s">
        <v>336</v>
      </c>
      <c r="I178" s="174" t="s">
        <v>1467</v>
      </c>
      <c r="J178" s="177" t="s">
        <v>711</v>
      </c>
      <c r="K178" s="174" t="s">
        <v>712</v>
      </c>
      <c r="L178" s="174" t="s">
        <v>345</v>
      </c>
      <c r="M178" s="174" t="s">
        <v>346</v>
      </c>
      <c r="N178" s="174">
        <v>8</v>
      </c>
      <c r="O178" s="174" t="s">
        <v>709</v>
      </c>
      <c r="P178" s="174" t="s">
        <v>755</v>
      </c>
      <c r="Q178" s="174" t="s">
        <v>1473</v>
      </c>
      <c r="R178" s="174" t="s">
        <v>339</v>
      </c>
      <c r="S178" s="174" t="s">
        <v>19</v>
      </c>
      <c r="T178" s="174" t="s">
        <v>337</v>
      </c>
      <c r="U178" s="178">
        <v>15</v>
      </c>
      <c r="V178" s="178">
        <v>160</v>
      </c>
      <c r="W178" s="178">
        <v>12</v>
      </c>
      <c r="X178" s="179">
        <f t="shared" si="33"/>
        <v>172</v>
      </c>
      <c r="Y178" s="178">
        <v>5</v>
      </c>
      <c r="Z178" s="178" t="s">
        <v>20</v>
      </c>
      <c r="AA178" s="178" t="s">
        <v>20</v>
      </c>
      <c r="AB178" s="178" t="s">
        <v>20</v>
      </c>
      <c r="AC178" s="180" t="s">
        <v>21</v>
      </c>
      <c r="AD178" s="181" t="s">
        <v>1474</v>
      </c>
      <c r="AE178" s="178" t="s">
        <v>18</v>
      </c>
      <c r="AF178" s="182" t="s">
        <v>21</v>
      </c>
      <c r="AG178" s="174" t="s">
        <v>990</v>
      </c>
      <c r="AH178" s="179">
        <v>35</v>
      </c>
      <c r="AI178" s="178">
        <v>2</v>
      </c>
      <c r="AJ178" s="200">
        <f t="shared" si="23"/>
        <v>2580</v>
      </c>
      <c r="AK178" s="178">
        <f t="shared" si="24"/>
        <v>6372</v>
      </c>
      <c r="AL178" s="179">
        <f t="shared" si="30"/>
        <v>34.4</v>
      </c>
      <c r="AM178" s="183">
        <v>0</v>
      </c>
      <c r="AN178" s="183">
        <f t="shared" si="31"/>
        <v>2100000</v>
      </c>
      <c r="AO178" s="183">
        <f t="shared" si="25"/>
        <v>2625000</v>
      </c>
      <c r="AP178" s="183">
        <f t="shared" si="26"/>
        <v>4050000</v>
      </c>
      <c r="AQ178" s="183">
        <f t="shared" si="27"/>
        <v>16439760</v>
      </c>
      <c r="AR178" s="183"/>
      <c r="AS178" s="183">
        <f t="shared" si="28"/>
        <v>0</v>
      </c>
      <c r="AT178" s="183">
        <f t="shared" si="29"/>
        <v>25214760</v>
      </c>
      <c r="AU178" s="174"/>
      <c r="AV178" s="174"/>
      <c r="AW178" s="174"/>
      <c r="AX178" s="174"/>
    </row>
    <row r="179" spans="1:50" s="179" customFormat="1" ht="24.95" hidden="1" customHeight="1" x14ac:dyDescent="0.25">
      <c r="A179" s="174">
        <v>14617</v>
      </c>
      <c r="B179" s="175" t="s">
        <v>96</v>
      </c>
      <c r="C179" s="175" t="s">
        <v>39</v>
      </c>
      <c r="D179" s="176">
        <v>4</v>
      </c>
      <c r="E179" s="176">
        <v>2025</v>
      </c>
      <c r="F179" s="176">
        <v>2025</v>
      </c>
      <c r="G179" s="174" t="s">
        <v>1466</v>
      </c>
      <c r="H179" s="174" t="s">
        <v>336</v>
      </c>
      <c r="I179" s="174" t="s">
        <v>1467</v>
      </c>
      <c r="J179" s="177" t="s">
        <v>350</v>
      </c>
      <c r="K179" s="174" t="s">
        <v>349</v>
      </c>
      <c r="L179" s="174" t="s">
        <v>345</v>
      </c>
      <c r="M179" s="174" t="s">
        <v>346</v>
      </c>
      <c r="N179" s="174">
        <v>8</v>
      </c>
      <c r="O179" s="174" t="s">
        <v>709</v>
      </c>
      <c r="P179" s="174" t="s">
        <v>755</v>
      </c>
      <c r="Q179" s="174" t="s">
        <v>1473</v>
      </c>
      <c r="R179" s="174" t="s">
        <v>339</v>
      </c>
      <c r="S179" s="174" t="s">
        <v>19</v>
      </c>
      <c r="T179" s="174" t="s">
        <v>337</v>
      </c>
      <c r="U179" s="178">
        <v>15</v>
      </c>
      <c r="V179" s="178">
        <v>110</v>
      </c>
      <c r="W179" s="178">
        <v>12</v>
      </c>
      <c r="X179" s="179">
        <f t="shared" si="33"/>
        <v>122</v>
      </c>
      <c r="Y179" s="178">
        <v>5</v>
      </c>
      <c r="Z179" s="178" t="s">
        <v>20</v>
      </c>
      <c r="AA179" s="178" t="s">
        <v>20</v>
      </c>
      <c r="AB179" s="178" t="s">
        <v>20</v>
      </c>
      <c r="AC179" s="180" t="s">
        <v>21</v>
      </c>
      <c r="AD179" s="181" t="s">
        <v>1475</v>
      </c>
      <c r="AE179" s="178" t="s">
        <v>18</v>
      </c>
      <c r="AF179" s="182" t="s">
        <v>21</v>
      </c>
      <c r="AG179" s="174" t="s">
        <v>990</v>
      </c>
      <c r="AH179" s="179">
        <v>25</v>
      </c>
      <c r="AI179" s="178">
        <v>2</v>
      </c>
      <c r="AJ179" s="200">
        <f t="shared" si="23"/>
        <v>1830</v>
      </c>
      <c r="AK179" s="178">
        <f t="shared" si="24"/>
        <v>6372</v>
      </c>
      <c r="AL179" s="179">
        <f t="shared" si="30"/>
        <v>24.4</v>
      </c>
      <c r="AM179" s="183">
        <v>0</v>
      </c>
      <c r="AN179" s="183">
        <f t="shared" si="31"/>
        <v>1500000</v>
      </c>
      <c r="AO179" s="183">
        <f t="shared" si="25"/>
        <v>1875000</v>
      </c>
      <c r="AP179" s="183">
        <f t="shared" si="26"/>
        <v>4050000</v>
      </c>
      <c r="AQ179" s="183">
        <f t="shared" si="27"/>
        <v>11660760</v>
      </c>
      <c r="AR179" s="183"/>
      <c r="AS179" s="183">
        <f t="shared" si="28"/>
        <v>0</v>
      </c>
      <c r="AT179" s="183">
        <f t="shared" si="29"/>
        <v>19085760</v>
      </c>
      <c r="AU179" s="174"/>
      <c r="AV179" s="174"/>
      <c r="AW179" s="174"/>
      <c r="AX179" s="174"/>
    </row>
    <row r="180" spans="1:50" s="179" customFormat="1" ht="24.95" hidden="1" customHeight="1" x14ac:dyDescent="0.25">
      <c r="A180" s="174">
        <v>14622</v>
      </c>
      <c r="B180" s="175" t="s">
        <v>96</v>
      </c>
      <c r="C180" s="175" t="s">
        <v>39</v>
      </c>
      <c r="D180" s="176">
        <v>4</v>
      </c>
      <c r="E180" s="176">
        <v>2025</v>
      </c>
      <c r="F180" s="176">
        <v>2025</v>
      </c>
      <c r="G180" s="174" t="s">
        <v>1466</v>
      </c>
      <c r="H180" s="174" t="s">
        <v>336</v>
      </c>
      <c r="I180" s="174" t="s">
        <v>1467</v>
      </c>
      <c r="J180" s="177" t="s">
        <v>786</v>
      </c>
      <c r="K180" s="174" t="s">
        <v>785</v>
      </c>
      <c r="L180" s="174" t="s">
        <v>345</v>
      </c>
      <c r="M180" s="174" t="s">
        <v>346</v>
      </c>
      <c r="N180" s="174">
        <v>8</v>
      </c>
      <c r="O180" s="174" t="s">
        <v>709</v>
      </c>
      <c r="P180" s="174" t="s">
        <v>829</v>
      </c>
      <c r="Q180" s="174" t="s">
        <v>418</v>
      </c>
      <c r="R180" s="174" t="s">
        <v>339</v>
      </c>
      <c r="S180" s="174" t="s">
        <v>19</v>
      </c>
      <c r="T180" s="174" t="s">
        <v>337</v>
      </c>
      <c r="U180" s="178">
        <v>15</v>
      </c>
      <c r="V180" s="178">
        <v>120</v>
      </c>
      <c r="W180" s="178">
        <v>12</v>
      </c>
      <c r="X180" s="179">
        <f t="shared" si="33"/>
        <v>132</v>
      </c>
      <c r="Y180" s="178">
        <v>5</v>
      </c>
      <c r="Z180" s="178" t="s">
        <v>20</v>
      </c>
      <c r="AA180" s="178" t="s">
        <v>20</v>
      </c>
      <c r="AB180" s="178" t="s">
        <v>20</v>
      </c>
      <c r="AC180" s="180" t="s">
        <v>21</v>
      </c>
      <c r="AD180" s="181" t="s">
        <v>1476</v>
      </c>
      <c r="AE180" s="178" t="s">
        <v>18</v>
      </c>
      <c r="AF180" s="182" t="s">
        <v>21</v>
      </c>
      <c r="AG180" s="174" t="s">
        <v>990</v>
      </c>
      <c r="AH180" s="179">
        <v>27</v>
      </c>
      <c r="AI180" s="178">
        <v>2</v>
      </c>
      <c r="AJ180" s="200">
        <f t="shared" si="23"/>
        <v>1980</v>
      </c>
      <c r="AK180" s="178">
        <f t="shared" si="24"/>
        <v>6372</v>
      </c>
      <c r="AL180" s="179">
        <f t="shared" si="30"/>
        <v>26.4</v>
      </c>
      <c r="AM180" s="183">
        <v>0</v>
      </c>
      <c r="AN180" s="183">
        <f t="shared" si="31"/>
        <v>1620000</v>
      </c>
      <c r="AO180" s="183">
        <f t="shared" si="25"/>
        <v>2025000</v>
      </c>
      <c r="AP180" s="183">
        <f t="shared" si="26"/>
        <v>4050000</v>
      </c>
      <c r="AQ180" s="183">
        <f t="shared" si="27"/>
        <v>12616560</v>
      </c>
      <c r="AR180" s="183"/>
      <c r="AS180" s="183">
        <f t="shared" si="28"/>
        <v>0</v>
      </c>
      <c r="AT180" s="183">
        <f t="shared" si="29"/>
        <v>20311560</v>
      </c>
      <c r="AU180" s="174"/>
      <c r="AV180" s="174"/>
      <c r="AW180" s="174"/>
      <c r="AX180" s="174"/>
    </row>
    <row r="181" spans="1:50" s="179" customFormat="1" ht="24.95" hidden="1" customHeight="1" x14ac:dyDescent="0.25">
      <c r="A181" s="174">
        <v>14623</v>
      </c>
      <c r="B181" s="175" t="s">
        <v>96</v>
      </c>
      <c r="C181" s="175" t="s">
        <v>39</v>
      </c>
      <c r="D181" s="176">
        <v>4</v>
      </c>
      <c r="E181" s="176">
        <v>2025</v>
      </c>
      <c r="F181" s="176">
        <v>2025</v>
      </c>
      <c r="G181" s="174" t="s">
        <v>1466</v>
      </c>
      <c r="H181" s="174" t="s">
        <v>336</v>
      </c>
      <c r="I181" s="174" t="s">
        <v>1467</v>
      </c>
      <c r="J181" s="177" t="s">
        <v>413</v>
      </c>
      <c r="K181" s="174" t="s">
        <v>414</v>
      </c>
      <c r="L181" s="174" t="s">
        <v>345</v>
      </c>
      <c r="M181" s="174" t="s">
        <v>346</v>
      </c>
      <c r="N181" s="174">
        <v>8</v>
      </c>
      <c r="O181" s="174" t="s">
        <v>709</v>
      </c>
      <c r="P181" s="174" t="s">
        <v>1477</v>
      </c>
      <c r="Q181" s="174" t="s">
        <v>1469</v>
      </c>
      <c r="R181" s="174" t="s">
        <v>339</v>
      </c>
      <c r="S181" s="174" t="s">
        <v>19</v>
      </c>
      <c r="T181" s="174" t="s">
        <v>337</v>
      </c>
      <c r="U181" s="178">
        <v>15</v>
      </c>
      <c r="V181" s="178">
        <v>100</v>
      </c>
      <c r="W181" s="178">
        <v>12</v>
      </c>
      <c r="X181" s="179">
        <f t="shared" si="33"/>
        <v>112</v>
      </c>
      <c r="Y181" s="178">
        <v>5</v>
      </c>
      <c r="Z181" s="178" t="s">
        <v>20</v>
      </c>
      <c r="AA181" s="178" t="s">
        <v>20</v>
      </c>
      <c r="AB181" s="178" t="s">
        <v>20</v>
      </c>
      <c r="AC181" s="180" t="s">
        <v>21</v>
      </c>
      <c r="AD181" s="181" t="s">
        <v>1478</v>
      </c>
      <c r="AE181" s="178" t="s">
        <v>18</v>
      </c>
      <c r="AF181" s="182" t="s">
        <v>21</v>
      </c>
      <c r="AG181" s="174" t="s">
        <v>990</v>
      </c>
      <c r="AH181" s="179">
        <v>23</v>
      </c>
      <c r="AI181" s="178">
        <v>1</v>
      </c>
      <c r="AJ181" s="200">
        <f t="shared" si="23"/>
        <v>1680</v>
      </c>
      <c r="AK181" s="178">
        <f t="shared" si="24"/>
        <v>5074</v>
      </c>
      <c r="AL181" s="179">
        <f t="shared" si="30"/>
        <v>22.4</v>
      </c>
      <c r="AM181" s="183">
        <v>0</v>
      </c>
      <c r="AN181" s="183">
        <f t="shared" si="31"/>
        <v>1380000</v>
      </c>
      <c r="AO181" s="183">
        <f t="shared" si="25"/>
        <v>1725000</v>
      </c>
      <c r="AP181" s="183">
        <f t="shared" si="26"/>
        <v>4050000</v>
      </c>
      <c r="AQ181" s="183">
        <f t="shared" si="27"/>
        <v>8524320</v>
      </c>
      <c r="AR181" s="183"/>
      <c r="AS181" s="183">
        <f t="shared" si="28"/>
        <v>0</v>
      </c>
      <c r="AT181" s="183">
        <f t="shared" si="29"/>
        <v>15679320</v>
      </c>
      <c r="AU181" s="174"/>
      <c r="AV181" s="174"/>
      <c r="AW181" s="174"/>
      <c r="AX181" s="174"/>
    </row>
    <row r="182" spans="1:50" s="179" customFormat="1" ht="24.95" hidden="1" customHeight="1" x14ac:dyDescent="0.25">
      <c r="A182" s="174">
        <v>14624</v>
      </c>
      <c r="B182" s="175" t="s">
        <v>96</v>
      </c>
      <c r="C182" s="175" t="s">
        <v>39</v>
      </c>
      <c r="D182" s="176">
        <v>4</v>
      </c>
      <c r="E182" s="176">
        <v>2025</v>
      </c>
      <c r="F182" s="176">
        <v>2025</v>
      </c>
      <c r="G182" s="174" t="s">
        <v>1466</v>
      </c>
      <c r="H182" s="174" t="s">
        <v>336</v>
      </c>
      <c r="I182" s="174" t="s">
        <v>1467</v>
      </c>
      <c r="J182" s="177" t="s">
        <v>804</v>
      </c>
      <c r="K182" s="174" t="s">
        <v>803</v>
      </c>
      <c r="L182" s="174" t="s">
        <v>345</v>
      </c>
      <c r="M182" s="174" t="s">
        <v>346</v>
      </c>
      <c r="N182" s="174">
        <v>8</v>
      </c>
      <c r="O182" s="174" t="s">
        <v>709</v>
      </c>
      <c r="P182" s="174" t="s">
        <v>1479</v>
      </c>
      <c r="Q182" s="174" t="s">
        <v>418</v>
      </c>
      <c r="R182" s="174" t="s">
        <v>339</v>
      </c>
      <c r="S182" s="174" t="s">
        <v>19</v>
      </c>
      <c r="T182" s="174" t="s">
        <v>337</v>
      </c>
      <c r="U182" s="178">
        <v>15</v>
      </c>
      <c r="V182" s="178">
        <v>172</v>
      </c>
      <c r="W182" s="178">
        <v>12</v>
      </c>
      <c r="X182" s="179">
        <f t="shared" si="33"/>
        <v>184</v>
      </c>
      <c r="Y182" s="178">
        <v>5</v>
      </c>
      <c r="Z182" s="178" t="s">
        <v>20</v>
      </c>
      <c r="AA182" s="178" t="s">
        <v>20</v>
      </c>
      <c r="AB182" s="178" t="s">
        <v>20</v>
      </c>
      <c r="AC182" s="180" t="s">
        <v>21</v>
      </c>
      <c r="AD182" s="181" t="s">
        <v>1480</v>
      </c>
      <c r="AE182" s="178" t="s">
        <v>18</v>
      </c>
      <c r="AF182" s="182" t="s">
        <v>21</v>
      </c>
      <c r="AG182" s="174" t="s">
        <v>990</v>
      </c>
      <c r="AH182" s="179">
        <v>37</v>
      </c>
      <c r="AI182" s="178">
        <v>2</v>
      </c>
      <c r="AJ182" s="200">
        <f t="shared" si="23"/>
        <v>2760</v>
      </c>
      <c r="AK182" s="178">
        <f t="shared" si="24"/>
        <v>6372</v>
      </c>
      <c r="AL182" s="179">
        <f t="shared" si="30"/>
        <v>36.799999999999997</v>
      </c>
      <c r="AM182" s="183">
        <v>0</v>
      </c>
      <c r="AN182" s="183">
        <f t="shared" si="31"/>
        <v>2220000</v>
      </c>
      <c r="AO182" s="183">
        <f t="shared" si="25"/>
        <v>2775000</v>
      </c>
      <c r="AP182" s="183">
        <f t="shared" si="26"/>
        <v>4050000</v>
      </c>
      <c r="AQ182" s="183">
        <f t="shared" si="27"/>
        <v>17586720</v>
      </c>
      <c r="AR182" s="183"/>
      <c r="AS182" s="183">
        <f t="shared" si="28"/>
        <v>0</v>
      </c>
      <c r="AT182" s="183">
        <f t="shared" si="29"/>
        <v>26631720</v>
      </c>
      <c r="AU182" s="174"/>
      <c r="AV182" s="174"/>
      <c r="AW182" s="174"/>
      <c r="AX182" s="174"/>
    </row>
    <row r="183" spans="1:50" s="179" customFormat="1" ht="24.95" hidden="1" customHeight="1" x14ac:dyDescent="0.25">
      <c r="A183" s="174">
        <v>14625</v>
      </c>
      <c r="B183" s="175" t="s">
        <v>96</v>
      </c>
      <c r="C183" s="175" t="s">
        <v>39</v>
      </c>
      <c r="D183" s="176">
        <v>4</v>
      </c>
      <c r="E183" s="176">
        <v>2025</v>
      </c>
      <c r="F183" s="176">
        <v>2025</v>
      </c>
      <c r="G183" s="174" t="s">
        <v>1466</v>
      </c>
      <c r="H183" s="174" t="s">
        <v>336</v>
      </c>
      <c r="I183" s="174" t="s">
        <v>1467</v>
      </c>
      <c r="J183" s="177" t="s">
        <v>1481</v>
      </c>
      <c r="K183" s="174" t="s">
        <v>1482</v>
      </c>
      <c r="L183" s="174" t="s">
        <v>345</v>
      </c>
      <c r="M183" s="174" t="s">
        <v>346</v>
      </c>
      <c r="N183" s="174">
        <v>8</v>
      </c>
      <c r="O183" s="174" t="s">
        <v>709</v>
      </c>
      <c r="P183" s="174" t="s">
        <v>1479</v>
      </c>
      <c r="Q183" s="174" t="s">
        <v>418</v>
      </c>
      <c r="R183" s="174" t="s">
        <v>339</v>
      </c>
      <c r="S183" s="174" t="s">
        <v>19</v>
      </c>
      <c r="T183" s="174" t="s">
        <v>337</v>
      </c>
      <c r="U183" s="178">
        <v>15</v>
      </c>
      <c r="V183" s="178">
        <v>170</v>
      </c>
      <c r="W183" s="178">
        <v>12</v>
      </c>
      <c r="X183" s="179">
        <f t="shared" si="33"/>
        <v>182</v>
      </c>
      <c r="Y183" s="178">
        <v>5</v>
      </c>
      <c r="Z183" s="178" t="s">
        <v>20</v>
      </c>
      <c r="AA183" s="178" t="s">
        <v>20</v>
      </c>
      <c r="AB183" s="178" t="s">
        <v>20</v>
      </c>
      <c r="AC183" s="180" t="s">
        <v>21</v>
      </c>
      <c r="AD183" s="181" t="s">
        <v>1483</v>
      </c>
      <c r="AE183" s="178" t="s">
        <v>18</v>
      </c>
      <c r="AF183" s="182" t="s">
        <v>21</v>
      </c>
      <c r="AG183" s="174" t="s">
        <v>990</v>
      </c>
      <c r="AH183" s="179">
        <v>37</v>
      </c>
      <c r="AI183" s="178">
        <v>2</v>
      </c>
      <c r="AJ183" s="200">
        <f t="shared" si="23"/>
        <v>2730</v>
      </c>
      <c r="AK183" s="178">
        <f t="shared" si="24"/>
        <v>6372</v>
      </c>
      <c r="AL183" s="179">
        <f t="shared" si="30"/>
        <v>36.4</v>
      </c>
      <c r="AM183" s="183">
        <v>0</v>
      </c>
      <c r="AN183" s="183">
        <f t="shared" si="31"/>
        <v>2220000</v>
      </c>
      <c r="AO183" s="183">
        <f t="shared" si="25"/>
        <v>2775000</v>
      </c>
      <c r="AP183" s="183">
        <f t="shared" si="26"/>
        <v>4050000</v>
      </c>
      <c r="AQ183" s="183">
        <f t="shared" si="27"/>
        <v>17395560</v>
      </c>
      <c r="AR183" s="183"/>
      <c r="AS183" s="183">
        <f t="shared" si="28"/>
        <v>0</v>
      </c>
      <c r="AT183" s="183">
        <f t="shared" si="29"/>
        <v>26440560</v>
      </c>
      <c r="AU183" s="174"/>
      <c r="AV183" s="174"/>
      <c r="AW183" s="174"/>
      <c r="AX183" s="174"/>
    </row>
    <row r="184" spans="1:50" s="179" customFormat="1" ht="24.95" hidden="1" customHeight="1" x14ac:dyDescent="0.25">
      <c r="A184" s="174">
        <v>14614</v>
      </c>
      <c r="B184" s="175" t="s">
        <v>96</v>
      </c>
      <c r="C184" s="175" t="s">
        <v>39</v>
      </c>
      <c r="D184" s="176">
        <v>4</v>
      </c>
      <c r="E184" s="176">
        <v>2025</v>
      </c>
      <c r="F184" s="176">
        <v>2025</v>
      </c>
      <c r="G184" s="174" t="s">
        <v>1466</v>
      </c>
      <c r="H184" s="174" t="s">
        <v>336</v>
      </c>
      <c r="I184" s="174" t="s">
        <v>1467</v>
      </c>
      <c r="J184" s="177" t="s">
        <v>745</v>
      </c>
      <c r="K184" s="110" t="s">
        <v>744</v>
      </c>
      <c r="L184" s="174" t="s">
        <v>21</v>
      </c>
      <c r="M184" s="174" t="s">
        <v>21</v>
      </c>
      <c r="N184" s="174">
        <v>8</v>
      </c>
      <c r="O184" s="174" t="s">
        <v>709</v>
      </c>
      <c r="P184" s="174" t="s">
        <v>755</v>
      </c>
      <c r="Q184" s="174" t="s">
        <v>1469</v>
      </c>
      <c r="R184" s="174" t="s">
        <v>339</v>
      </c>
      <c r="S184" s="174" t="s">
        <v>19</v>
      </c>
      <c r="T184" s="174" t="s">
        <v>337</v>
      </c>
      <c r="U184" s="178">
        <v>15</v>
      </c>
      <c r="V184" s="178">
        <v>260</v>
      </c>
      <c r="W184" s="178" t="s">
        <v>21</v>
      </c>
      <c r="X184" s="179">
        <f t="shared" si="33"/>
        <v>260</v>
      </c>
      <c r="Y184" s="178">
        <v>5</v>
      </c>
      <c r="Z184" s="178" t="s">
        <v>20</v>
      </c>
      <c r="AA184" s="178" t="s">
        <v>20</v>
      </c>
      <c r="AB184" s="187" t="s">
        <v>18</v>
      </c>
      <c r="AC184" s="180" t="s">
        <v>21</v>
      </c>
      <c r="AD184" s="181" t="s">
        <v>1529</v>
      </c>
      <c r="AE184" s="179" t="s">
        <v>20</v>
      </c>
      <c r="AF184" s="180" t="s">
        <v>995</v>
      </c>
      <c r="AG184" s="174" t="s">
        <v>990</v>
      </c>
      <c r="AH184" s="179">
        <v>52</v>
      </c>
      <c r="AI184" s="178">
        <v>3</v>
      </c>
      <c r="AJ184" s="200">
        <f t="shared" si="23"/>
        <v>3900</v>
      </c>
      <c r="AK184" s="178">
        <f t="shared" si="24"/>
        <v>7434</v>
      </c>
      <c r="AL184" s="179">
        <f t="shared" si="30"/>
        <v>52</v>
      </c>
      <c r="AM184" s="183">
        <v>300000</v>
      </c>
      <c r="AN184" s="183">
        <f t="shared" si="31"/>
        <v>3120000</v>
      </c>
      <c r="AO184" s="183">
        <f t="shared" si="25"/>
        <v>3900000</v>
      </c>
      <c r="AP184" s="183">
        <f t="shared" si="26"/>
        <v>0</v>
      </c>
      <c r="AQ184" s="183">
        <f t="shared" si="27"/>
        <v>28992600</v>
      </c>
      <c r="AR184" s="183"/>
      <c r="AS184" s="183">
        <f t="shared" si="28"/>
        <v>4500000</v>
      </c>
      <c r="AT184" s="183">
        <f t="shared" si="29"/>
        <v>40512600</v>
      </c>
      <c r="AU184" s="174"/>
      <c r="AV184" s="174"/>
      <c r="AW184" s="174"/>
      <c r="AX184" s="174"/>
    </row>
    <row r="185" spans="1:50" s="179" customFormat="1" ht="24.95" hidden="1" customHeight="1" x14ac:dyDescent="0.25">
      <c r="A185" s="174">
        <v>14621</v>
      </c>
      <c r="B185" s="175" t="s">
        <v>96</v>
      </c>
      <c r="C185" s="175" t="s">
        <v>39</v>
      </c>
      <c r="D185" s="176">
        <v>4</v>
      </c>
      <c r="E185" s="176">
        <v>2025</v>
      </c>
      <c r="F185" s="176">
        <v>2025</v>
      </c>
      <c r="G185" s="174" t="s">
        <v>1466</v>
      </c>
      <c r="H185" s="174" t="s">
        <v>336</v>
      </c>
      <c r="I185" s="174" t="s">
        <v>1467</v>
      </c>
      <c r="J185" s="177" t="s">
        <v>745</v>
      </c>
      <c r="K185" s="110" t="s">
        <v>744</v>
      </c>
      <c r="L185" s="174" t="s">
        <v>21</v>
      </c>
      <c r="M185" s="174" t="s">
        <v>21</v>
      </c>
      <c r="N185" s="174">
        <v>8</v>
      </c>
      <c r="O185" s="174" t="s">
        <v>709</v>
      </c>
      <c r="P185" s="174" t="s">
        <v>735</v>
      </c>
      <c r="Q185" s="174" t="s">
        <v>1493</v>
      </c>
      <c r="R185" s="174" t="s">
        <v>339</v>
      </c>
      <c r="S185" s="174" t="s">
        <v>19</v>
      </c>
      <c r="T185" s="174" t="s">
        <v>337</v>
      </c>
      <c r="U185" s="178">
        <v>15</v>
      </c>
      <c r="V185" s="178">
        <v>260</v>
      </c>
      <c r="W185" s="178" t="s">
        <v>21</v>
      </c>
      <c r="X185" s="179">
        <f t="shared" si="33"/>
        <v>260</v>
      </c>
      <c r="Y185" s="178">
        <v>5</v>
      </c>
      <c r="Z185" s="178" t="s">
        <v>20</v>
      </c>
      <c r="AA185" s="178" t="s">
        <v>20</v>
      </c>
      <c r="AB185" s="187" t="s">
        <v>18</v>
      </c>
      <c r="AC185" s="180" t="s">
        <v>21</v>
      </c>
      <c r="AD185" s="181" t="s">
        <v>1530</v>
      </c>
      <c r="AE185" s="179" t="s">
        <v>20</v>
      </c>
      <c r="AF185" s="180" t="s">
        <v>995</v>
      </c>
      <c r="AG185" s="174" t="s">
        <v>990</v>
      </c>
      <c r="AH185" s="179">
        <v>52</v>
      </c>
      <c r="AI185" s="178">
        <v>3</v>
      </c>
      <c r="AJ185" s="200">
        <f t="shared" si="23"/>
        <v>3900</v>
      </c>
      <c r="AK185" s="178">
        <f t="shared" si="24"/>
        <v>7434</v>
      </c>
      <c r="AL185" s="179">
        <f t="shared" si="30"/>
        <v>52</v>
      </c>
      <c r="AM185" s="183">
        <v>300000</v>
      </c>
      <c r="AN185" s="183">
        <f t="shared" si="31"/>
        <v>3120000</v>
      </c>
      <c r="AO185" s="183">
        <f t="shared" si="25"/>
        <v>3900000</v>
      </c>
      <c r="AP185" s="183">
        <f t="shared" si="26"/>
        <v>0</v>
      </c>
      <c r="AQ185" s="183">
        <f t="shared" si="27"/>
        <v>28992600</v>
      </c>
      <c r="AR185" s="183"/>
      <c r="AS185" s="183">
        <f t="shared" si="28"/>
        <v>4500000</v>
      </c>
      <c r="AT185" s="183">
        <f t="shared" si="29"/>
        <v>40512600</v>
      </c>
      <c r="AU185" s="174"/>
      <c r="AV185" s="174"/>
      <c r="AW185" s="174"/>
      <c r="AX185" s="174"/>
    </row>
    <row r="186" spans="1:50" s="179" customFormat="1" ht="24.95" hidden="1" customHeight="1" x14ac:dyDescent="0.25">
      <c r="A186" s="174">
        <v>14618</v>
      </c>
      <c r="B186" s="175" t="s">
        <v>96</v>
      </c>
      <c r="C186" s="175" t="s">
        <v>39</v>
      </c>
      <c r="D186" s="176">
        <v>4</v>
      </c>
      <c r="E186" s="176">
        <v>2025</v>
      </c>
      <c r="F186" s="176">
        <v>2025</v>
      </c>
      <c r="G186" s="174" t="s">
        <v>1466</v>
      </c>
      <c r="H186" s="174" t="s">
        <v>336</v>
      </c>
      <c r="I186" s="174" t="s">
        <v>1467</v>
      </c>
      <c r="J186" s="177" t="s">
        <v>422</v>
      </c>
      <c r="K186" s="174" t="s">
        <v>423</v>
      </c>
      <c r="L186" s="174" t="s">
        <v>21</v>
      </c>
      <c r="M186" s="174" t="s">
        <v>21</v>
      </c>
      <c r="N186" s="174">
        <v>8</v>
      </c>
      <c r="O186" s="174" t="s">
        <v>709</v>
      </c>
      <c r="P186" s="174" t="s">
        <v>727</v>
      </c>
      <c r="Q186" s="174" t="s">
        <v>1493</v>
      </c>
      <c r="R186" s="174" t="s">
        <v>339</v>
      </c>
      <c r="S186" s="174" t="s">
        <v>19</v>
      </c>
      <c r="T186" s="174" t="s">
        <v>337</v>
      </c>
      <c r="U186" s="178">
        <v>15</v>
      </c>
      <c r="V186" s="178">
        <v>200</v>
      </c>
      <c r="W186" s="178" t="s">
        <v>21</v>
      </c>
      <c r="X186" s="179">
        <f t="shared" si="33"/>
        <v>200</v>
      </c>
      <c r="Y186" s="178">
        <v>5</v>
      </c>
      <c r="Z186" s="178" t="s">
        <v>20</v>
      </c>
      <c r="AA186" s="178" t="s">
        <v>20</v>
      </c>
      <c r="AB186" s="187" t="s">
        <v>18</v>
      </c>
      <c r="AC186" s="180" t="s">
        <v>21</v>
      </c>
      <c r="AD186" s="181" t="s">
        <v>1558</v>
      </c>
      <c r="AE186" s="179" t="s">
        <v>20</v>
      </c>
      <c r="AF186" s="182" t="s">
        <v>1559</v>
      </c>
      <c r="AG186" s="174" t="s">
        <v>990</v>
      </c>
      <c r="AH186" s="179">
        <v>59</v>
      </c>
      <c r="AI186" s="178">
        <v>3</v>
      </c>
      <c r="AJ186" s="200">
        <f t="shared" si="23"/>
        <v>3000</v>
      </c>
      <c r="AK186" s="178">
        <f t="shared" si="24"/>
        <v>7434</v>
      </c>
      <c r="AL186" s="179">
        <f t="shared" si="30"/>
        <v>40</v>
      </c>
      <c r="AM186" s="183">
        <v>70000</v>
      </c>
      <c r="AN186" s="183">
        <f t="shared" si="31"/>
        <v>3540000</v>
      </c>
      <c r="AO186" s="183">
        <f t="shared" si="25"/>
        <v>4425000</v>
      </c>
      <c r="AP186" s="183">
        <f t="shared" si="26"/>
        <v>0</v>
      </c>
      <c r="AQ186" s="183">
        <f t="shared" si="27"/>
        <v>22302000</v>
      </c>
      <c r="AR186" s="183"/>
      <c r="AS186" s="183">
        <f t="shared" si="28"/>
        <v>1050000</v>
      </c>
      <c r="AT186" s="183">
        <f t="shared" si="29"/>
        <v>31317000</v>
      </c>
      <c r="AU186" s="174"/>
      <c r="AV186" s="174"/>
      <c r="AW186" s="174"/>
      <c r="AX186" s="174"/>
    </row>
    <row r="187" spans="1:50" s="179" customFormat="1" ht="24.95" hidden="1" customHeight="1" x14ac:dyDescent="0.25">
      <c r="A187" s="174">
        <v>14564</v>
      </c>
      <c r="B187" s="175" t="s">
        <v>96</v>
      </c>
      <c r="C187" s="175" t="s">
        <v>39</v>
      </c>
      <c r="D187" s="176">
        <v>4</v>
      </c>
      <c r="E187" s="176">
        <v>2025</v>
      </c>
      <c r="F187" s="176">
        <v>2025</v>
      </c>
      <c r="G187" s="174" t="s">
        <v>1466</v>
      </c>
      <c r="H187" s="174" t="s">
        <v>336</v>
      </c>
      <c r="I187" s="174" t="s">
        <v>1467</v>
      </c>
      <c r="J187" s="177" t="s">
        <v>740</v>
      </c>
      <c r="K187" s="174" t="s">
        <v>739</v>
      </c>
      <c r="L187" s="174" t="s">
        <v>407</v>
      </c>
      <c r="M187" s="174" t="s">
        <v>408</v>
      </c>
      <c r="N187" s="174">
        <v>15</v>
      </c>
      <c r="O187" s="174" t="s">
        <v>810</v>
      </c>
      <c r="P187" s="174" t="s">
        <v>809</v>
      </c>
      <c r="Q187" s="174" t="s">
        <v>1493</v>
      </c>
      <c r="R187" s="174" t="s">
        <v>339</v>
      </c>
      <c r="S187" s="174" t="s">
        <v>22</v>
      </c>
      <c r="T187" s="174" t="s">
        <v>337</v>
      </c>
      <c r="U187" s="178">
        <v>20</v>
      </c>
      <c r="V187" s="178">
        <v>160</v>
      </c>
      <c r="W187" s="178">
        <v>12</v>
      </c>
      <c r="X187" s="179">
        <f t="shared" si="33"/>
        <v>172</v>
      </c>
      <c r="Y187" s="178">
        <v>4</v>
      </c>
      <c r="Z187" s="178" t="s">
        <v>20</v>
      </c>
      <c r="AA187" s="178" t="s">
        <v>20</v>
      </c>
      <c r="AB187" s="187" t="s">
        <v>18</v>
      </c>
      <c r="AC187" s="180" t="s">
        <v>21</v>
      </c>
      <c r="AD187" s="181" t="s">
        <v>1606</v>
      </c>
      <c r="AE187" s="179" t="s">
        <v>20</v>
      </c>
      <c r="AF187" s="186" t="s">
        <v>1348</v>
      </c>
      <c r="AG187" s="184" t="s">
        <v>989</v>
      </c>
      <c r="AH187" s="179">
        <v>43</v>
      </c>
      <c r="AI187" s="178">
        <v>3</v>
      </c>
      <c r="AJ187" s="200">
        <f t="shared" si="23"/>
        <v>3440</v>
      </c>
      <c r="AK187" s="183">
        <f t="shared" si="24"/>
        <v>7434</v>
      </c>
      <c r="AL187" s="179">
        <f t="shared" si="30"/>
        <v>43</v>
      </c>
      <c r="AM187" s="183">
        <v>60000</v>
      </c>
      <c r="AN187" s="183">
        <f t="shared" si="31"/>
        <v>3440000</v>
      </c>
      <c r="AO187" s="183">
        <f t="shared" si="25"/>
        <v>4300000</v>
      </c>
      <c r="AP187" s="183">
        <f t="shared" si="26"/>
        <v>0</v>
      </c>
      <c r="AQ187" s="183">
        <f t="shared" si="27"/>
        <v>25572960</v>
      </c>
      <c r="AR187" s="183"/>
      <c r="AS187" s="183">
        <f t="shared" si="28"/>
        <v>1200000</v>
      </c>
      <c r="AT187" s="183">
        <f t="shared" si="29"/>
        <v>34512960</v>
      </c>
      <c r="AU187" s="174"/>
      <c r="AV187" s="174"/>
      <c r="AW187" s="174"/>
      <c r="AX187" s="174"/>
    </row>
    <row r="188" spans="1:50" s="179" customFormat="1" ht="24.95" hidden="1" customHeight="1" x14ac:dyDescent="0.25">
      <c r="A188" s="174">
        <v>14606</v>
      </c>
      <c r="B188" s="175" t="s">
        <v>96</v>
      </c>
      <c r="C188" s="175" t="s">
        <v>39</v>
      </c>
      <c r="D188" s="176">
        <v>4</v>
      </c>
      <c r="E188" s="176">
        <v>2025</v>
      </c>
      <c r="F188" s="176">
        <v>2025</v>
      </c>
      <c r="G188" s="174" t="s">
        <v>1466</v>
      </c>
      <c r="H188" s="174" t="s">
        <v>336</v>
      </c>
      <c r="I188" s="174" t="s">
        <v>1467</v>
      </c>
      <c r="J188" s="177" t="s">
        <v>740</v>
      </c>
      <c r="K188" s="174" t="s">
        <v>739</v>
      </c>
      <c r="L188" s="174" t="s">
        <v>407</v>
      </c>
      <c r="M188" s="174" t="s">
        <v>408</v>
      </c>
      <c r="N188" s="174">
        <v>15</v>
      </c>
      <c r="O188" s="174" t="s">
        <v>810</v>
      </c>
      <c r="P188" s="174" t="s">
        <v>809</v>
      </c>
      <c r="Q188" s="174" t="s">
        <v>1493</v>
      </c>
      <c r="R188" s="174" t="s">
        <v>339</v>
      </c>
      <c r="S188" s="174" t="s">
        <v>22</v>
      </c>
      <c r="T188" s="174" t="s">
        <v>347</v>
      </c>
      <c r="U188" s="178">
        <v>20</v>
      </c>
      <c r="V188" s="178">
        <v>160</v>
      </c>
      <c r="W188" s="178">
        <v>12</v>
      </c>
      <c r="X188" s="179">
        <f t="shared" si="33"/>
        <v>172</v>
      </c>
      <c r="Y188" s="178">
        <v>4</v>
      </c>
      <c r="Z188" s="178" t="s">
        <v>20</v>
      </c>
      <c r="AA188" s="178" t="s">
        <v>20</v>
      </c>
      <c r="AB188" s="187" t="s">
        <v>18</v>
      </c>
      <c r="AC188" s="180" t="s">
        <v>21</v>
      </c>
      <c r="AD188" s="181" t="s">
        <v>1607</v>
      </c>
      <c r="AE188" s="179" t="s">
        <v>20</v>
      </c>
      <c r="AF188" s="186" t="s">
        <v>1348</v>
      </c>
      <c r="AG188" s="184" t="s">
        <v>989</v>
      </c>
      <c r="AH188" s="179">
        <v>43</v>
      </c>
      <c r="AI188" s="178">
        <v>3</v>
      </c>
      <c r="AJ188" s="200">
        <f t="shared" si="23"/>
        <v>3440</v>
      </c>
      <c r="AK188" s="183">
        <f t="shared" si="24"/>
        <v>7434</v>
      </c>
      <c r="AL188" s="179">
        <f t="shared" si="30"/>
        <v>43</v>
      </c>
      <c r="AM188" s="183">
        <v>60000</v>
      </c>
      <c r="AN188" s="183">
        <f t="shared" si="31"/>
        <v>3440000</v>
      </c>
      <c r="AO188" s="183">
        <f t="shared" si="25"/>
        <v>4300000</v>
      </c>
      <c r="AP188" s="183">
        <f t="shared" si="26"/>
        <v>0</v>
      </c>
      <c r="AQ188" s="183">
        <f t="shared" si="27"/>
        <v>25572960</v>
      </c>
      <c r="AR188" s="183"/>
      <c r="AS188" s="183">
        <f t="shared" si="28"/>
        <v>1200000</v>
      </c>
      <c r="AT188" s="183">
        <f t="shared" si="29"/>
        <v>34512960</v>
      </c>
      <c r="AU188" s="174"/>
      <c r="AV188" s="174"/>
      <c r="AW188" s="174"/>
      <c r="AX188" s="174"/>
    </row>
    <row r="189" spans="1:50" s="179" customFormat="1" ht="24.95" hidden="1" customHeight="1" x14ac:dyDescent="0.25">
      <c r="A189" s="174">
        <v>14608</v>
      </c>
      <c r="B189" s="175" t="s">
        <v>96</v>
      </c>
      <c r="C189" s="175" t="s">
        <v>39</v>
      </c>
      <c r="D189" s="176">
        <v>4</v>
      </c>
      <c r="E189" s="176">
        <v>2025</v>
      </c>
      <c r="F189" s="176">
        <v>2025</v>
      </c>
      <c r="G189" s="174" t="s">
        <v>1466</v>
      </c>
      <c r="H189" s="174" t="s">
        <v>336</v>
      </c>
      <c r="I189" s="174" t="s">
        <v>1467</v>
      </c>
      <c r="J189" s="177" t="s">
        <v>740</v>
      </c>
      <c r="K189" s="174" t="s">
        <v>739</v>
      </c>
      <c r="L189" s="174" t="s">
        <v>407</v>
      </c>
      <c r="M189" s="174" t="s">
        <v>408</v>
      </c>
      <c r="N189" s="174">
        <v>15</v>
      </c>
      <c r="O189" s="174" t="s">
        <v>810</v>
      </c>
      <c r="P189" s="174" t="s">
        <v>809</v>
      </c>
      <c r="Q189" s="174" t="s">
        <v>1493</v>
      </c>
      <c r="R189" s="174" t="s">
        <v>339</v>
      </c>
      <c r="S189" s="174" t="s">
        <v>22</v>
      </c>
      <c r="T189" s="174" t="s">
        <v>337</v>
      </c>
      <c r="U189" s="178">
        <v>20</v>
      </c>
      <c r="V189" s="178">
        <v>160</v>
      </c>
      <c r="W189" s="178">
        <v>12</v>
      </c>
      <c r="X189" s="179">
        <f t="shared" si="33"/>
        <v>172</v>
      </c>
      <c r="Y189" s="178">
        <v>4</v>
      </c>
      <c r="Z189" s="178" t="s">
        <v>20</v>
      </c>
      <c r="AA189" s="178" t="s">
        <v>20</v>
      </c>
      <c r="AB189" s="187" t="s">
        <v>18</v>
      </c>
      <c r="AC189" s="180" t="s">
        <v>21</v>
      </c>
      <c r="AD189" s="181" t="s">
        <v>1608</v>
      </c>
      <c r="AE189" s="179" t="s">
        <v>20</v>
      </c>
      <c r="AF189" s="186" t="s">
        <v>1348</v>
      </c>
      <c r="AG189" s="184" t="s">
        <v>989</v>
      </c>
      <c r="AH189" s="179">
        <v>43</v>
      </c>
      <c r="AI189" s="178">
        <v>3</v>
      </c>
      <c r="AJ189" s="200">
        <f t="shared" si="23"/>
        <v>3440</v>
      </c>
      <c r="AK189" s="183">
        <f t="shared" si="24"/>
        <v>7434</v>
      </c>
      <c r="AL189" s="179">
        <f t="shared" si="30"/>
        <v>43</v>
      </c>
      <c r="AM189" s="183">
        <v>60000</v>
      </c>
      <c r="AN189" s="183">
        <f t="shared" si="31"/>
        <v>3440000</v>
      </c>
      <c r="AO189" s="183">
        <f t="shared" si="25"/>
        <v>4300000</v>
      </c>
      <c r="AP189" s="183">
        <f t="shared" si="26"/>
        <v>0</v>
      </c>
      <c r="AQ189" s="183">
        <f t="shared" si="27"/>
        <v>25572960</v>
      </c>
      <c r="AR189" s="183"/>
      <c r="AS189" s="183">
        <f t="shared" si="28"/>
        <v>1200000</v>
      </c>
      <c r="AT189" s="183">
        <f t="shared" si="29"/>
        <v>34512960</v>
      </c>
      <c r="AU189" s="174"/>
      <c r="AV189" s="174"/>
      <c r="AW189" s="174"/>
      <c r="AX189" s="174"/>
    </row>
    <row r="190" spans="1:50" s="179" customFormat="1" ht="24.95" hidden="1" customHeight="1" x14ac:dyDescent="0.25">
      <c r="A190" s="174">
        <v>14610</v>
      </c>
      <c r="B190" s="175" t="s">
        <v>96</v>
      </c>
      <c r="C190" s="175" t="s">
        <v>39</v>
      </c>
      <c r="D190" s="176">
        <v>4</v>
      </c>
      <c r="E190" s="176">
        <v>2025</v>
      </c>
      <c r="F190" s="176">
        <v>2025</v>
      </c>
      <c r="G190" s="174" t="s">
        <v>1466</v>
      </c>
      <c r="H190" s="174" t="s">
        <v>336</v>
      </c>
      <c r="I190" s="174" t="s">
        <v>1467</v>
      </c>
      <c r="J190" s="177" t="s">
        <v>832</v>
      </c>
      <c r="K190" s="174" t="s">
        <v>831</v>
      </c>
      <c r="L190" s="174" t="s">
        <v>407</v>
      </c>
      <c r="M190" s="174" t="s">
        <v>408</v>
      </c>
      <c r="N190" s="174">
        <v>15</v>
      </c>
      <c r="O190" s="174" t="s">
        <v>810</v>
      </c>
      <c r="P190" s="174" t="s">
        <v>809</v>
      </c>
      <c r="Q190" s="174" t="s">
        <v>1493</v>
      </c>
      <c r="R190" s="174" t="s">
        <v>339</v>
      </c>
      <c r="S190" s="174" t="s">
        <v>22</v>
      </c>
      <c r="T190" s="174" t="s">
        <v>337</v>
      </c>
      <c r="U190" s="178">
        <v>20</v>
      </c>
      <c r="V190" s="178">
        <v>176</v>
      </c>
      <c r="W190" s="178">
        <v>12</v>
      </c>
      <c r="X190" s="179">
        <f t="shared" si="33"/>
        <v>188</v>
      </c>
      <c r="Y190" s="178">
        <v>4</v>
      </c>
      <c r="Z190" s="178" t="s">
        <v>20</v>
      </c>
      <c r="AA190" s="178" t="s">
        <v>20</v>
      </c>
      <c r="AB190" s="187" t="s">
        <v>18</v>
      </c>
      <c r="AC190" s="180" t="s">
        <v>21</v>
      </c>
      <c r="AD190" s="181" t="s">
        <v>1609</v>
      </c>
      <c r="AE190" s="179" t="s">
        <v>20</v>
      </c>
      <c r="AF190" s="186" t="s">
        <v>1348</v>
      </c>
      <c r="AG190" s="184" t="s">
        <v>989</v>
      </c>
      <c r="AH190" s="179">
        <v>47</v>
      </c>
      <c r="AI190" s="178">
        <v>3</v>
      </c>
      <c r="AJ190" s="200">
        <f t="shared" si="23"/>
        <v>3760</v>
      </c>
      <c r="AK190" s="178">
        <f t="shared" si="24"/>
        <v>7434</v>
      </c>
      <c r="AL190" s="179">
        <f t="shared" si="30"/>
        <v>47</v>
      </c>
      <c r="AM190" s="183">
        <v>60000</v>
      </c>
      <c r="AN190" s="183">
        <f t="shared" si="31"/>
        <v>3760000</v>
      </c>
      <c r="AO190" s="183">
        <f t="shared" si="25"/>
        <v>4700000</v>
      </c>
      <c r="AP190" s="183">
        <f t="shared" si="26"/>
        <v>0</v>
      </c>
      <c r="AQ190" s="183">
        <f t="shared" si="27"/>
        <v>27951840</v>
      </c>
      <c r="AR190" s="183"/>
      <c r="AS190" s="183">
        <f t="shared" si="28"/>
        <v>1200000</v>
      </c>
      <c r="AT190" s="183">
        <f t="shared" si="29"/>
        <v>37611840</v>
      </c>
      <c r="AU190" s="174"/>
      <c r="AV190" s="174"/>
      <c r="AW190" s="174"/>
      <c r="AX190" s="174"/>
    </row>
    <row r="191" spans="1:50" s="179" customFormat="1" ht="24.95" hidden="1" customHeight="1" x14ac:dyDescent="0.25">
      <c r="A191" s="189">
        <v>14875</v>
      </c>
      <c r="B191" s="175" t="s">
        <v>96</v>
      </c>
      <c r="C191" s="175" t="s">
        <v>39</v>
      </c>
      <c r="D191" s="190">
        <v>4</v>
      </c>
      <c r="E191" s="176">
        <v>2025</v>
      </c>
      <c r="F191" s="189">
        <v>2005</v>
      </c>
      <c r="G191" s="189" t="s">
        <v>1466</v>
      </c>
      <c r="H191" s="189" t="s">
        <v>336</v>
      </c>
      <c r="I191" s="189" t="s">
        <v>1467</v>
      </c>
      <c r="J191" s="189" t="s">
        <v>740</v>
      </c>
      <c r="K191" s="189" t="s">
        <v>739</v>
      </c>
      <c r="L191" s="189" t="s">
        <v>21</v>
      </c>
      <c r="M191" s="189" t="s">
        <v>21</v>
      </c>
      <c r="N191" s="189">
        <v>16</v>
      </c>
      <c r="O191" s="189" t="s">
        <v>808</v>
      </c>
      <c r="P191" s="189" t="s">
        <v>846</v>
      </c>
      <c r="Q191" s="189" t="s">
        <v>1493</v>
      </c>
      <c r="R191" s="189" t="s">
        <v>339</v>
      </c>
      <c r="S191" s="189" t="s">
        <v>22</v>
      </c>
      <c r="T191" s="189" t="s">
        <v>337</v>
      </c>
      <c r="U191" s="190">
        <v>15</v>
      </c>
      <c r="V191" s="190">
        <v>160</v>
      </c>
      <c r="W191" s="190" t="s">
        <v>21</v>
      </c>
      <c r="X191" s="190">
        <f>SUM(V191:W191)</f>
        <v>160</v>
      </c>
      <c r="Y191" s="190">
        <v>4</v>
      </c>
      <c r="Z191" s="190" t="s">
        <v>20</v>
      </c>
      <c r="AA191" s="190" t="s">
        <v>20</v>
      </c>
      <c r="AB191" s="189" t="s">
        <v>18</v>
      </c>
      <c r="AC191" s="189"/>
      <c r="AD191" s="189" t="s">
        <v>1638</v>
      </c>
      <c r="AE191" s="190" t="s">
        <v>20</v>
      </c>
      <c r="AF191" s="189" t="s">
        <v>1613</v>
      </c>
      <c r="AG191" s="174" t="s">
        <v>990</v>
      </c>
      <c r="AH191" s="190">
        <v>40</v>
      </c>
      <c r="AI191" s="190">
        <v>3</v>
      </c>
      <c r="AJ191" s="200">
        <f t="shared" si="23"/>
        <v>2400</v>
      </c>
      <c r="AK191" s="183">
        <f t="shared" si="24"/>
        <v>7434</v>
      </c>
      <c r="AL191" s="179">
        <f t="shared" si="30"/>
        <v>40</v>
      </c>
      <c r="AM191" s="183">
        <v>60000</v>
      </c>
      <c r="AN191" s="183">
        <f t="shared" si="31"/>
        <v>2400000</v>
      </c>
      <c r="AO191" s="183">
        <f t="shared" si="25"/>
        <v>3000000</v>
      </c>
      <c r="AP191" s="183">
        <f t="shared" si="26"/>
        <v>0</v>
      </c>
      <c r="AQ191" s="183">
        <f t="shared" si="27"/>
        <v>17841600</v>
      </c>
      <c r="AR191" s="183"/>
      <c r="AS191" s="183">
        <f t="shared" si="28"/>
        <v>900000</v>
      </c>
      <c r="AT191" s="183">
        <f t="shared" si="29"/>
        <v>24141600</v>
      </c>
    </row>
    <row r="192" spans="1:50" s="179" customFormat="1" ht="24.95" hidden="1" customHeight="1" x14ac:dyDescent="0.25">
      <c r="A192" s="189">
        <v>14882</v>
      </c>
      <c r="B192" s="175" t="s">
        <v>96</v>
      </c>
      <c r="C192" s="175" t="s">
        <v>39</v>
      </c>
      <c r="D192" s="190">
        <v>4</v>
      </c>
      <c r="E192" s="176">
        <v>2025</v>
      </c>
      <c r="F192" s="189">
        <v>2005</v>
      </c>
      <c r="G192" s="189" t="s">
        <v>1466</v>
      </c>
      <c r="H192" s="189" t="s">
        <v>336</v>
      </c>
      <c r="I192" s="189" t="s">
        <v>1467</v>
      </c>
      <c r="J192" s="189" t="s">
        <v>422</v>
      </c>
      <c r="K192" s="189" t="s">
        <v>423</v>
      </c>
      <c r="L192" s="189" t="s">
        <v>21</v>
      </c>
      <c r="M192" s="189" t="s">
        <v>21</v>
      </c>
      <c r="N192" s="189">
        <v>16</v>
      </c>
      <c r="O192" s="189" t="s">
        <v>808</v>
      </c>
      <c r="P192" s="189" t="s">
        <v>870</v>
      </c>
      <c r="Q192" s="189" t="s">
        <v>1493</v>
      </c>
      <c r="R192" s="189" t="s">
        <v>339</v>
      </c>
      <c r="S192" s="189" t="s">
        <v>22</v>
      </c>
      <c r="T192" s="189" t="s">
        <v>337</v>
      </c>
      <c r="U192" s="190">
        <v>15</v>
      </c>
      <c r="V192" s="190">
        <v>200</v>
      </c>
      <c r="W192" s="190" t="s">
        <v>21</v>
      </c>
      <c r="X192" s="190">
        <f>SUM(V192:W192)</f>
        <v>200</v>
      </c>
      <c r="Y192" s="190">
        <v>4</v>
      </c>
      <c r="Z192" s="190" t="s">
        <v>20</v>
      </c>
      <c r="AA192" s="190" t="s">
        <v>20</v>
      </c>
      <c r="AB192" s="189" t="s">
        <v>18</v>
      </c>
      <c r="AC192" s="189"/>
      <c r="AD192" s="189" t="s">
        <v>1641</v>
      </c>
      <c r="AE192" s="190" t="s">
        <v>20</v>
      </c>
      <c r="AF192" s="189" t="s">
        <v>1005</v>
      </c>
      <c r="AG192" s="174" t="s">
        <v>990</v>
      </c>
      <c r="AH192" s="190">
        <v>59</v>
      </c>
      <c r="AI192" s="190">
        <v>3</v>
      </c>
      <c r="AJ192" s="200">
        <f t="shared" si="23"/>
        <v>3000</v>
      </c>
      <c r="AK192" s="183">
        <f t="shared" si="24"/>
        <v>7434</v>
      </c>
      <c r="AL192" s="179">
        <f t="shared" si="30"/>
        <v>50</v>
      </c>
      <c r="AM192" s="183">
        <v>380000</v>
      </c>
      <c r="AN192" s="183">
        <f t="shared" si="31"/>
        <v>3540000</v>
      </c>
      <c r="AO192" s="183">
        <f t="shared" si="25"/>
        <v>4425000</v>
      </c>
      <c r="AP192" s="183">
        <f t="shared" si="26"/>
        <v>0</v>
      </c>
      <c r="AQ192" s="183">
        <f t="shared" si="27"/>
        <v>22302000</v>
      </c>
      <c r="AR192" s="183"/>
      <c r="AS192" s="183">
        <f t="shared" si="28"/>
        <v>5700000</v>
      </c>
      <c r="AT192" s="183">
        <f t="shared" si="29"/>
        <v>35967000</v>
      </c>
    </row>
    <row r="193" spans="1:50" s="179" customFormat="1" ht="24.95" hidden="1" customHeight="1" x14ac:dyDescent="0.25">
      <c r="A193" s="189">
        <v>14659</v>
      </c>
      <c r="B193" s="175" t="s">
        <v>96</v>
      </c>
      <c r="C193" s="175" t="s">
        <v>39</v>
      </c>
      <c r="D193" s="190">
        <v>4</v>
      </c>
      <c r="E193" s="176">
        <v>2025</v>
      </c>
      <c r="F193" s="189">
        <v>2005</v>
      </c>
      <c r="G193" s="189" t="s">
        <v>1466</v>
      </c>
      <c r="H193" s="189" t="s">
        <v>336</v>
      </c>
      <c r="I193" s="189" t="s">
        <v>1467</v>
      </c>
      <c r="J193" s="189" t="s">
        <v>865</v>
      </c>
      <c r="K193" s="189" t="s">
        <v>864</v>
      </c>
      <c r="L193" s="189" t="s">
        <v>345</v>
      </c>
      <c r="M193" s="189" t="s">
        <v>346</v>
      </c>
      <c r="N193" s="189">
        <v>16</v>
      </c>
      <c r="O193" s="189" t="s">
        <v>808</v>
      </c>
      <c r="P193" s="189" t="s">
        <v>855</v>
      </c>
      <c r="Q193" s="189" t="s">
        <v>1493</v>
      </c>
      <c r="R193" s="189" t="s">
        <v>339</v>
      </c>
      <c r="S193" s="189" t="s">
        <v>19</v>
      </c>
      <c r="T193" s="189" t="s">
        <v>337</v>
      </c>
      <c r="U193" s="190">
        <v>15</v>
      </c>
      <c r="V193" s="190">
        <v>190</v>
      </c>
      <c r="W193" s="190">
        <v>12</v>
      </c>
      <c r="X193" s="190">
        <f>SUM(V193:W193)</f>
        <v>202</v>
      </c>
      <c r="Y193" s="190">
        <v>4</v>
      </c>
      <c r="Z193" s="190" t="s">
        <v>20</v>
      </c>
      <c r="AA193" s="190" t="s">
        <v>20</v>
      </c>
      <c r="AB193" s="189" t="s">
        <v>20</v>
      </c>
      <c r="AC193" s="189"/>
      <c r="AD193" s="189" t="s">
        <v>1642</v>
      </c>
      <c r="AE193" s="190" t="s">
        <v>20</v>
      </c>
      <c r="AF193" s="189" t="s">
        <v>1009</v>
      </c>
      <c r="AG193" s="174" t="s">
        <v>990</v>
      </c>
      <c r="AH193" s="190">
        <v>51</v>
      </c>
      <c r="AI193" s="190">
        <v>2</v>
      </c>
      <c r="AJ193" s="200">
        <f t="shared" si="23"/>
        <v>3030</v>
      </c>
      <c r="AK193" s="183">
        <f t="shared" si="24"/>
        <v>6372</v>
      </c>
      <c r="AL193" s="179">
        <f t="shared" si="30"/>
        <v>50.5</v>
      </c>
      <c r="AM193" s="183">
        <v>300000</v>
      </c>
      <c r="AN193" s="183">
        <f t="shared" si="31"/>
        <v>3060000</v>
      </c>
      <c r="AO193" s="183">
        <f t="shared" si="25"/>
        <v>3825000</v>
      </c>
      <c r="AP193" s="183">
        <f t="shared" si="26"/>
        <v>4050000</v>
      </c>
      <c r="AQ193" s="183">
        <f t="shared" si="27"/>
        <v>19307160</v>
      </c>
      <c r="AR193" s="183"/>
      <c r="AS193" s="183">
        <f t="shared" si="28"/>
        <v>4500000</v>
      </c>
      <c r="AT193" s="183">
        <f t="shared" si="29"/>
        <v>34742160</v>
      </c>
    </row>
    <row r="194" spans="1:50" s="179" customFormat="1" ht="24.95" hidden="1" customHeight="1" x14ac:dyDescent="0.25">
      <c r="A194" s="175">
        <v>14252</v>
      </c>
      <c r="B194" s="175" t="s">
        <v>96</v>
      </c>
      <c r="C194" s="175" t="s">
        <v>39</v>
      </c>
      <c r="D194" s="176">
        <v>4</v>
      </c>
      <c r="E194" s="176">
        <v>2025</v>
      </c>
      <c r="F194" s="176">
        <v>2025</v>
      </c>
      <c r="G194" s="175" t="s">
        <v>23</v>
      </c>
      <c r="H194" s="175" t="s">
        <v>96</v>
      </c>
      <c r="I194" s="175" t="s">
        <v>1042</v>
      </c>
      <c r="J194" s="177" t="s">
        <v>788</v>
      </c>
      <c r="K194" s="175" t="s">
        <v>787</v>
      </c>
      <c r="L194" s="175" t="s">
        <v>21</v>
      </c>
      <c r="M194" s="175" t="s">
        <v>21</v>
      </c>
      <c r="N194" s="175">
        <v>13</v>
      </c>
      <c r="O194" s="175" t="s">
        <v>382</v>
      </c>
      <c r="P194" s="175" t="s">
        <v>717</v>
      </c>
      <c r="Q194" s="175" t="s">
        <v>1201</v>
      </c>
      <c r="R194" s="175" t="s">
        <v>339</v>
      </c>
      <c r="S194" s="175" t="s">
        <v>22</v>
      </c>
      <c r="T194" s="175" t="s">
        <v>337</v>
      </c>
      <c r="U194" s="176">
        <v>19</v>
      </c>
      <c r="V194" s="176">
        <v>20</v>
      </c>
      <c r="W194" s="176" t="s">
        <v>21</v>
      </c>
      <c r="X194" s="179">
        <f t="shared" ref="X194:X234" si="34">(SUM(V194:W194))*1</f>
        <v>20</v>
      </c>
      <c r="Y194" s="176">
        <v>4</v>
      </c>
      <c r="Z194" s="176" t="s">
        <v>20</v>
      </c>
      <c r="AA194" s="176" t="s">
        <v>18</v>
      </c>
      <c r="AB194" s="185" t="s">
        <v>18</v>
      </c>
      <c r="AC194" s="186" t="s">
        <v>21</v>
      </c>
      <c r="AD194" s="181" t="s">
        <v>1702</v>
      </c>
      <c r="AE194" s="179" t="s">
        <v>18</v>
      </c>
      <c r="AF194" s="191"/>
      <c r="AG194" s="174" t="s">
        <v>990</v>
      </c>
      <c r="AH194" s="179">
        <v>5</v>
      </c>
      <c r="AI194" s="179">
        <v>1</v>
      </c>
      <c r="AJ194" s="200">
        <f t="shared" ref="AJ194:AJ257" si="35">+(U194*X194)</f>
        <v>380</v>
      </c>
      <c r="AK194" s="183">
        <f t="shared" ref="AK194:AK257" si="36">IF(AI194=1,5074,IF(AI194=2,6372,IF(AI194=3,7434,"ERROR")))</f>
        <v>5074</v>
      </c>
      <c r="AL194" s="179">
        <f t="shared" si="30"/>
        <v>5</v>
      </c>
      <c r="AM194" s="183">
        <v>0</v>
      </c>
      <c r="AN194" s="183">
        <f t="shared" si="31"/>
        <v>380000</v>
      </c>
      <c r="AO194" s="183">
        <f t="shared" ref="AO194:AO257" si="37">IF(AA194="SI",5000*AH194*U194,0)</f>
        <v>0</v>
      </c>
      <c r="AP194" s="183">
        <f t="shared" ref="AP194:AP257" si="38">IF(AB194="SI",270000*U194,0)</f>
        <v>0</v>
      </c>
      <c r="AQ194" s="183">
        <f t="shared" ref="AQ194:AQ257" si="39">+(AK194*X194*U194)</f>
        <v>1928120</v>
      </c>
      <c r="AR194" s="183"/>
      <c r="AS194" s="183">
        <f t="shared" ref="AS194:AS257" si="40">+(AM194*U194)</f>
        <v>0</v>
      </c>
      <c r="AT194" s="183">
        <f t="shared" ref="AT194:AT257" si="41">+(AN194+AO194+AP194+AQ194+AS194)</f>
        <v>2308120</v>
      </c>
      <c r="AU194" s="175" t="s">
        <v>1703</v>
      </c>
      <c r="AV194" s="175" t="s">
        <v>1704</v>
      </c>
      <c r="AW194" s="175" t="s">
        <v>1705</v>
      </c>
      <c r="AX194" s="175" t="s">
        <v>1706</v>
      </c>
    </row>
    <row r="195" spans="1:50" s="179" customFormat="1" ht="24.95" hidden="1" customHeight="1" x14ac:dyDescent="0.25">
      <c r="A195" s="175">
        <v>14470</v>
      </c>
      <c r="B195" s="175" t="s">
        <v>96</v>
      </c>
      <c r="C195" s="175" t="s">
        <v>39</v>
      </c>
      <c r="D195" s="176">
        <v>4</v>
      </c>
      <c r="E195" s="176">
        <v>2025</v>
      </c>
      <c r="F195" s="176">
        <v>2025</v>
      </c>
      <c r="G195" s="175" t="s">
        <v>23</v>
      </c>
      <c r="H195" s="175" t="s">
        <v>96</v>
      </c>
      <c r="I195" s="175" t="s">
        <v>1042</v>
      </c>
      <c r="J195" s="177" t="s">
        <v>704</v>
      </c>
      <c r="K195" s="175" t="s">
        <v>705</v>
      </c>
      <c r="L195" s="175" t="s">
        <v>21</v>
      </c>
      <c r="M195" s="175" t="s">
        <v>21</v>
      </c>
      <c r="N195" s="175">
        <v>8</v>
      </c>
      <c r="O195" s="175" t="s">
        <v>709</v>
      </c>
      <c r="P195" s="175" t="s">
        <v>1539</v>
      </c>
      <c r="Q195" s="175" t="s">
        <v>1201</v>
      </c>
      <c r="R195" s="175" t="s">
        <v>339</v>
      </c>
      <c r="S195" s="175" t="s">
        <v>22</v>
      </c>
      <c r="T195" s="175" t="s">
        <v>337</v>
      </c>
      <c r="U195" s="176">
        <v>15</v>
      </c>
      <c r="V195" s="176">
        <v>90</v>
      </c>
      <c r="W195" s="176" t="s">
        <v>21</v>
      </c>
      <c r="X195" s="179">
        <f t="shared" si="34"/>
        <v>90</v>
      </c>
      <c r="Y195" s="176">
        <v>5</v>
      </c>
      <c r="Z195" s="176" t="s">
        <v>20</v>
      </c>
      <c r="AA195" s="176" t="s">
        <v>18</v>
      </c>
      <c r="AB195" s="185" t="s">
        <v>18</v>
      </c>
      <c r="AC195" s="186" t="s">
        <v>21</v>
      </c>
      <c r="AD195" s="181" t="s">
        <v>1717</v>
      </c>
      <c r="AE195" s="179" t="s">
        <v>18</v>
      </c>
      <c r="AF195" s="191"/>
      <c r="AG195" s="174" t="s">
        <v>990</v>
      </c>
      <c r="AH195" s="179">
        <v>18</v>
      </c>
      <c r="AI195" s="179">
        <f>VLOOKUP(K195,[1]TRAMO!$A:$B,2,0)</f>
        <v>2</v>
      </c>
      <c r="AJ195" s="200">
        <f t="shared" si="35"/>
        <v>1350</v>
      </c>
      <c r="AK195" s="183">
        <f t="shared" si="36"/>
        <v>6372</v>
      </c>
      <c r="AL195" s="179">
        <f t="shared" ref="AL195:AL258" si="42">+(X195/Y195)</f>
        <v>18</v>
      </c>
      <c r="AM195" s="183">
        <v>0</v>
      </c>
      <c r="AN195" s="183">
        <f t="shared" ref="AN195:AN258" si="43">IF(Z195="SI",4000*U195*AH195,0)</f>
        <v>1080000</v>
      </c>
      <c r="AO195" s="183">
        <f t="shared" si="37"/>
        <v>0</v>
      </c>
      <c r="AP195" s="183">
        <f t="shared" si="38"/>
        <v>0</v>
      </c>
      <c r="AQ195" s="183">
        <f t="shared" si="39"/>
        <v>8602200</v>
      </c>
      <c r="AR195" s="183"/>
      <c r="AS195" s="183">
        <f t="shared" si="40"/>
        <v>0</v>
      </c>
      <c r="AT195" s="183">
        <f t="shared" si="41"/>
        <v>9682200</v>
      </c>
      <c r="AU195" s="175" t="s">
        <v>1718</v>
      </c>
      <c r="AV195" s="175" t="s">
        <v>1719</v>
      </c>
      <c r="AW195" s="175" t="s">
        <v>1720</v>
      </c>
      <c r="AX195" s="175" t="s">
        <v>1721</v>
      </c>
    </row>
    <row r="196" spans="1:50" s="179" customFormat="1" ht="24.95" hidden="1" customHeight="1" x14ac:dyDescent="0.25">
      <c r="A196" s="175">
        <v>14495</v>
      </c>
      <c r="B196" s="175" t="s">
        <v>96</v>
      </c>
      <c r="C196" s="175" t="s">
        <v>39</v>
      </c>
      <c r="D196" s="176">
        <v>4</v>
      </c>
      <c r="E196" s="176">
        <v>2025</v>
      </c>
      <c r="F196" s="176">
        <v>2025</v>
      </c>
      <c r="G196" s="175" t="s">
        <v>23</v>
      </c>
      <c r="H196" s="175" t="s">
        <v>96</v>
      </c>
      <c r="I196" s="175" t="s">
        <v>1042</v>
      </c>
      <c r="J196" s="177" t="s">
        <v>1176</v>
      </c>
      <c r="K196" s="175" t="s">
        <v>1177</v>
      </c>
      <c r="L196" s="175" t="s">
        <v>21</v>
      </c>
      <c r="M196" s="175" t="s">
        <v>21</v>
      </c>
      <c r="N196" s="175">
        <v>13</v>
      </c>
      <c r="O196" s="175" t="s">
        <v>382</v>
      </c>
      <c r="P196" s="175" t="s">
        <v>714</v>
      </c>
      <c r="Q196" s="175" t="s">
        <v>1201</v>
      </c>
      <c r="R196" s="175" t="s">
        <v>339</v>
      </c>
      <c r="S196" s="175" t="s">
        <v>22</v>
      </c>
      <c r="T196" s="175" t="s">
        <v>337</v>
      </c>
      <c r="U196" s="176">
        <v>10</v>
      </c>
      <c r="V196" s="176">
        <v>110</v>
      </c>
      <c r="W196" s="176" t="s">
        <v>21</v>
      </c>
      <c r="X196" s="179">
        <f t="shared" si="34"/>
        <v>110</v>
      </c>
      <c r="Y196" s="176">
        <v>5</v>
      </c>
      <c r="Z196" s="176" t="s">
        <v>20</v>
      </c>
      <c r="AA196" s="176" t="s">
        <v>18</v>
      </c>
      <c r="AB196" s="185" t="s">
        <v>18</v>
      </c>
      <c r="AC196" s="186" t="s">
        <v>21</v>
      </c>
      <c r="AD196" s="181" t="s">
        <v>1748</v>
      </c>
      <c r="AE196" s="179" t="s">
        <v>18</v>
      </c>
      <c r="AF196" s="191"/>
      <c r="AG196" s="174" t="s">
        <v>990</v>
      </c>
      <c r="AH196" s="179">
        <v>22</v>
      </c>
      <c r="AI196" s="179">
        <v>2</v>
      </c>
      <c r="AJ196" s="200">
        <f t="shared" si="35"/>
        <v>1100</v>
      </c>
      <c r="AK196" s="183">
        <f t="shared" si="36"/>
        <v>6372</v>
      </c>
      <c r="AL196" s="179">
        <f t="shared" si="42"/>
        <v>22</v>
      </c>
      <c r="AM196" s="183">
        <v>0</v>
      </c>
      <c r="AN196" s="183">
        <f t="shared" si="43"/>
        <v>880000</v>
      </c>
      <c r="AO196" s="183">
        <f t="shared" si="37"/>
        <v>0</v>
      </c>
      <c r="AP196" s="183">
        <f t="shared" si="38"/>
        <v>0</v>
      </c>
      <c r="AQ196" s="183">
        <f t="shared" si="39"/>
        <v>7009200</v>
      </c>
      <c r="AR196" s="183"/>
      <c r="AS196" s="183">
        <f t="shared" si="40"/>
        <v>0</v>
      </c>
      <c r="AT196" s="183">
        <f t="shared" si="41"/>
        <v>7889200</v>
      </c>
      <c r="AU196" s="175" t="s">
        <v>1718</v>
      </c>
      <c r="AV196" s="175" t="s">
        <v>1719</v>
      </c>
      <c r="AW196" s="175" t="s">
        <v>1720</v>
      </c>
      <c r="AX196" s="175" t="s">
        <v>1721</v>
      </c>
    </row>
    <row r="197" spans="1:50" s="179" customFormat="1" ht="24.95" hidden="1" customHeight="1" x14ac:dyDescent="0.25">
      <c r="A197" s="175">
        <v>14291</v>
      </c>
      <c r="B197" s="175" t="s">
        <v>96</v>
      </c>
      <c r="C197" s="175" t="s">
        <v>39</v>
      </c>
      <c r="D197" s="176">
        <v>4</v>
      </c>
      <c r="E197" s="176">
        <v>2025</v>
      </c>
      <c r="F197" s="176">
        <v>2025</v>
      </c>
      <c r="G197" s="175" t="s">
        <v>23</v>
      </c>
      <c r="H197" s="175" t="s">
        <v>96</v>
      </c>
      <c r="I197" s="175" t="s">
        <v>1042</v>
      </c>
      <c r="J197" s="177" t="s">
        <v>802</v>
      </c>
      <c r="K197" s="175" t="s">
        <v>801</v>
      </c>
      <c r="L197" s="175" t="s">
        <v>21</v>
      </c>
      <c r="M197" s="175" t="s">
        <v>21</v>
      </c>
      <c r="N197" s="175">
        <v>10</v>
      </c>
      <c r="O197" s="175" t="s">
        <v>706</v>
      </c>
      <c r="P197" s="175" t="s">
        <v>754</v>
      </c>
      <c r="Q197" s="175" t="s">
        <v>1201</v>
      </c>
      <c r="R197" s="175" t="s">
        <v>339</v>
      </c>
      <c r="S197" s="175" t="s">
        <v>22</v>
      </c>
      <c r="T197" s="175" t="s">
        <v>337</v>
      </c>
      <c r="U197" s="176">
        <v>15</v>
      </c>
      <c r="V197" s="176">
        <v>110</v>
      </c>
      <c r="W197" s="176" t="s">
        <v>21</v>
      </c>
      <c r="X197" s="179">
        <f t="shared" si="34"/>
        <v>110</v>
      </c>
      <c r="Y197" s="176">
        <v>5</v>
      </c>
      <c r="Z197" s="176" t="s">
        <v>20</v>
      </c>
      <c r="AA197" s="176" t="s">
        <v>18</v>
      </c>
      <c r="AB197" s="185" t="s">
        <v>18</v>
      </c>
      <c r="AC197" s="186" t="s">
        <v>21</v>
      </c>
      <c r="AD197" s="181" t="s">
        <v>1749</v>
      </c>
      <c r="AE197" s="179" t="s">
        <v>18</v>
      </c>
      <c r="AF197" s="191"/>
      <c r="AG197" s="174" t="s">
        <v>990</v>
      </c>
      <c r="AH197" s="179">
        <v>22</v>
      </c>
      <c r="AI197" s="179">
        <f>VLOOKUP(K197,[1]TRAMO!$A:$B,2,0)</f>
        <v>1</v>
      </c>
      <c r="AJ197" s="200">
        <f t="shared" si="35"/>
        <v>1650</v>
      </c>
      <c r="AK197" s="183">
        <f t="shared" si="36"/>
        <v>5074</v>
      </c>
      <c r="AL197" s="179">
        <f t="shared" si="42"/>
        <v>22</v>
      </c>
      <c r="AM197" s="183">
        <v>0</v>
      </c>
      <c r="AN197" s="183">
        <f t="shared" si="43"/>
        <v>1320000</v>
      </c>
      <c r="AO197" s="183">
        <f t="shared" si="37"/>
        <v>0</v>
      </c>
      <c r="AP197" s="183">
        <f t="shared" si="38"/>
        <v>0</v>
      </c>
      <c r="AQ197" s="183">
        <f t="shared" si="39"/>
        <v>8372100</v>
      </c>
      <c r="AR197" s="183"/>
      <c r="AS197" s="183">
        <f t="shared" si="40"/>
        <v>0</v>
      </c>
      <c r="AT197" s="183">
        <f t="shared" si="41"/>
        <v>9692100</v>
      </c>
      <c r="AU197" s="175" t="s">
        <v>1750</v>
      </c>
      <c r="AV197" s="175" t="s">
        <v>1751</v>
      </c>
      <c r="AW197" s="175" t="s">
        <v>1752</v>
      </c>
      <c r="AX197" s="175" t="s">
        <v>1025</v>
      </c>
    </row>
    <row r="198" spans="1:50" s="179" customFormat="1" ht="24.95" hidden="1" customHeight="1" x14ac:dyDescent="0.25">
      <c r="A198" s="175">
        <v>14295</v>
      </c>
      <c r="B198" s="175" t="s">
        <v>96</v>
      </c>
      <c r="C198" s="175" t="s">
        <v>39</v>
      </c>
      <c r="D198" s="176">
        <v>4</v>
      </c>
      <c r="E198" s="176">
        <v>2025</v>
      </c>
      <c r="F198" s="176">
        <v>2025</v>
      </c>
      <c r="G198" s="175" t="s">
        <v>23</v>
      </c>
      <c r="H198" s="175" t="s">
        <v>96</v>
      </c>
      <c r="I198" s="175" t="s">
        <v>1042</v>
      </c>
      <c r="J198" s="177" t="s">
        <v>800</v>
      </c>
      <c r="K198" s="175" t="s">
        <v>799</v>
      </c>
      <c r="L198" s="175" t="s">
        <v>21</v>
      </c>
      <c r="M198" s="175" t="s">
        <v>21</v>
      </c>
      <c r="N198" s="175">
        <v>6</v>
      </c>
      <c r="O198" s="175" t="s">
        <v>796</v>
      </c>
      <c r="P198" s="175" t="s">
        <v>858</v>
      </c>
      <c r="Q198" s="175" t="s">
        <v>385</v>
      </c>
      <c r="R198" s="175" t="s">
        <v>339</v>
      </c>
      <c r="S198" s="175" t="s">
        <v>22</v>
      </c>
      <c r="T198" s="175" t="s">
        <v>337</v>
      </c>
      <c r="U198" s="176">
        <v>10</v>
      </c>
      <c r="V198" s="176">
        <v>108</v>
      </c>
      <c r="W198" s="176" t="s">
        <v>21</v>
      </c>
      <c r="X198" s="179">
        <f t="shared" si="34"/>
        <v>108</v>
      </c>
      <c r="Y198" s="176">
        <v>5</v>
      </c>
      <c r="Z198" s="176" t="s">
        <v>20</v>
      </c>
      <c r="AA198" s="176" t="s">
        <v>18</v>
      </c>
      <c r="AB198" s="185" t="s">
        <v>18</v>
      </c>
      <c r="AC198" s="186" t="s">
        <v>21</v>
      </c>
      <c r="AD198" s="181" t="s">
        <v>1787</v>
      </c>
      <c r="AE198" s="179" t="s">
        <v>18</v>
      </c>
      <c r="AF198" s="191"/>
      <c r="AG198" s="174" t="s">
        <v>990</v>
      </c>
      <c r="AH198" s="179">
        <v>22</v>
      </c>
      <c r="AI198" s="179">
        <f>VLOOKUP(K198,[1]TRAMO!$A:$B,2,0)</f>
        <v>2</v>
      </c>
      <c r="AJ198" s="200">
        <f t="shared" si="35"/>
        <v>1080</v>
      </c>
      <c r="AK198" s="183">
        <f t="shared" si="36"/>
        <v>6372</v>
      </c>
      <c r="AL198" s="179">
        <f t="shared" si="42"/>
        <v>21.6</v>
      </c>
      <c r="AM198" s="183">
        <v>0</v>
      </c>
      <c r="AN198" s="183">
        <f t="shared" si="43"/>
        <v>880000</v>
      </c>
      <c r="AO198" s="183">
        <f t="shared" si="37"/>
        <v>0</v>
      </c>
      <c r="AP198" s="183">
        <f t="shared" si="38"/>
        <v>0</v>
      </c>
      <c r="AQ198" s="183">
        <f t="shared" si="39"/>
        <v>6881760</v>
      </c>
      <c r="AR198" s="183"/>
      <c r="AS198" s="183">
        <f t="shared" si="40"/>
        <v>0</v>
      </c>
      <c r="AT198" s="183">
        <f t="shared" si="41"/>
        <v>7761760</v>
      </c>
      <c r="AU198" s="175" t="s">
        <v>1750</v>
      </c>
      <c r="AV198" s="175" t="s">
        <v>1751</v>
      </c>
      <c r="AW198" s="175" t="s">
        <v>1788</v>
      </c>
      <c r="AX198" s="175" t="s">
        <v>1789</v>
      </c>
    </row>
    <row r="199" spans="1:50" s="179" customFormat="1" ht="24.95" hidden="1" customHeight="1" x14ac:dyDescent="0.25">
      <c r="A199" s="175">
        <v>14496</v>
      </c>
      <c r="B199" s="175" t="s">
        <v>96</v>
      </c>
      <c r="C199" s="175" t="s">
        <v>39</v>
      </c>
      <c r="D199" s="176">
        <v>4</v>
      </c>
      <c r="E199" s="176">
        <v>2025</v>
      </c>
      <c r="F199" s="176">
        <v>2025</v>
      </c>
      <c r="G199" s="175" t="s">
        <v>23</v>
      </c>
      <c r="H199" s="175" t="s">
        <v>96</v>
      </c>
      <c r="I199" s="175" t="s">
        <v>1042</v>
      </c>
      <c r="J199" s="177" t="s">
        <v>1811</v>
      </c>
      <c r="K199" s="175" t="s">
        <v>1812</v>
      </c>
      <c r="L199" s="175" t="s">
        <v>21</v>
      </c>
      <c r="M199" s="175" t="s">
        <v>21</v>
      </c>
      <c r="N199" s="175">
        <v>13</v>
      </c>
      <c r="O199" s="175" t="s">
        <v>382</v>
      </c>
      <c r="P199" s="175" t="s">
        <v>717</v>
      </c>
      <c r="Q199" s="175" t="s">
        <v>1201</v>
      </c>
      <c r="R199" s="175" t="s">
        <v>339</v>
      </c>
      <c r="S199" s="175" t="s">
        <v>22</v>
      </c>
      <c r="T199" s="175" t="s">
        <v>337</v>
      </c>
      <c r="U199" s="176">
        <v>15</v>
      </c>
      <c r="V199" s="176">
        <v>64</v>
      </c>
      <c r="W199" s="176" t="s">
        <v>21</v>
      </c>
      <c r="X199" s="179">
        <f t="shared" si="34"/>
        <v>64</v>
      </c>
      <c r="Y199" s="176">
        <v>5</v>
      </c>
      <c r="Z199" s="176" t="s">
        <v>20</v>
      </c>
      <c r="AA199" s="176" t="s">
        <v>18</v>
      </c>
      <c r="AB199" s="185" t="s">
        <v>18</v>
      </c>
      <c r="AC199" s="186" t="s">
        <v>21</v>
      </c>
      <c r="AD199" s="181" t="s">
        <v>1813</v>
      </c>
      <c r="AE199" s="179" t="s">
        <v>18</v>
      </c>
      <c r="AF199" s="191"/>
      <c r="AG199" s="174" t="s">
        <v>990</v>
      </c>
      <c r="AH199" s="179">
        <v>13</v>
      </c>
      <c r="AI199" s="179">
        <f>VLOOKUP(K199,[1]TRAMO!$A:$B,2,0)</f>
        <v>3</v>
      </c>
      <c r="AJ199" s="200">
        <f t="shared" si="35"/>
        <v>960</v>
      </c>
      <c r="AK199" s="183">
        <f t="shared" si="36"/>
        <v>7434</v>
      </c>
      <c r="AL199" s="179">
        <f t="shared" si="42"/>
        <v>12.8</v>
      </c>
      <c r="AM199" s="183">
        <v>0</v>
      </c>
      <c r="AN199" s="183">
        <f t="shared" si="43"/>
        <v>780000</v>
      </c>
      <c r="AO199" s="183">
        <f t="shared" si="37"/>
        <v>0</v>
      </c>
      <c r="AP199" s="183">
        <f t="shared" si="38"/>
        <v>0</v>
      </c>
      <c r="AQ199" s="183">
        <f t="shared" si="39"/>
        <v>7136640</v>
      </c>
      <c r="AR199" s="183"/>
      <c r="AS199" s="183">
        <f t="shared" si="40"/>
        <v>0</v>
      </c>
      <c r="AT199" s="183">
        <f t="shared" si="41"/>
        <v>7916640</v>
      </c>
      <c r="AU199" s="175" t="s">
        <v>1718</v>
      </c>
      <c r="AV199" s="175" t="s">
        <v>1719</v>
      </c>
      <c r="AW199" s="175" t="s">
        <v>1720</v>
      </c>
      <c r="AX199" s="175" t="s">
        <v>1721</v>
      </c>
    </row>
    <row r="200" spans="1:50" s="179" customFormat="1" ht="24.95" hidden="1" customHeight="1" x14ac:dyDescent="0.25">
      <c r="A200" s="175">
        <v>14311</v>
      </c>
      <c r="B200" s="175" t="s">
        <v>96</v>
      </c>
      <c r="C200" s="175" t="s">
        <v>39</v>
      </c>
      <c r="D200" s="176">
        <v>4</v>
      </c>
      <c r="E200" s="176">
        <v>2025</v>
      </c>
      <c r="F200" s="176">
        <v>2025</v>
      </c>
      <c r="G200" s="175" t="s">
        <v>23</v>
      </c>
      <c r="H200" s="175" t="s">
        <v>96</v>
      </c>
      <c r="I200" s="175" t="s">
        <v>1042</v>
      </c>
      <c r="J200" s="177" t="s">
        <v>1815</v>
      </c>
      <c r="K200" s="175" t="s">
        <v>1816</v>
      </c>
      <c r="L200" s="175" t="s">
        <v>21</v>
      </c>
      <c r="M200" s="175" t="s">
        <v>21</v>
      </c>
      <c r="N200" s="175">
        <v>3</v>
      </c>
      <c r="O200" s="175" t="s">
        <v>751</v>
      </c>
      <c r="P200" s="175" t="s">
        <v>839</v>
      </c>
      <c r="Q200" s="175" t="s">
        <v>702</v>
      </c>
      <c r="R200" s="175" t="s">
        <v>339</v>
      </c>
      <c r="S200" s="175" t="s">
        <v>22</v>
      </c>
      <c r="T200" s="175" t="s">
        <v>337</v>
      </c>
      <c r="U200" s="176">
        <v>10</v>
      </c>
      <c r="V200" s="176">
        <v>96</v>
      </c>
      <c r="W200" s="176" t="s">
        <v>21</v>
      </c>
      <c r="X200" s="179">
        <f t="shared" si="34"/>
        <v>96</v>
      </c>
      <c r="Y200" s="176">
        <v>5</v>
      </c>
      <c r="Z200" s="176" t="s">
        <v>20</v>
      </c>
      <c r="AA200" s="176" t="s">
        <v>18</v>
      </c>
      <c r="AB200" s="185" t="s">
        <v>18</v>
      </c>
      <c r="AC200" s="186" t="s">
        <v>21</v>
      </c>
      <c r="AD200" s="181" t="s">
        <v>1817</v>
      </c>
      <c r="AE200" s="179" t="s">
        <v>18</v>
      </c>
      <c r="AF200" s="191"/>
      <c r="AG200" s="174" t="s">
        <v>990</v>
      </c>
      <c r="AH200" s="179">
        <v>20</v>
      </c>
      <c r="AI200" s="179">
        <v>2</v>
      </c>
      <c r="AJ200" s="200">
        <f t="shared" si="35"/>
        <v>960</v>
      </c>
      <c r="AK200" s="183">
        <f t="shared" si="36"/>
        <v>6372</v>
      </c>
      <c r="AL200" s="179">
        <f t="shared" si="42"/>
        <v>19.2</v>
      </c>
      <c r="AM200" s="183">
        <v>0</v>
      </c>
      <c r="AN200" s="183">
        <f t="shared" si="43"/>
        <v>800000</v>
      </c>
      <c r="AO200" s="183">
        <f t="shared" si="37"/>
        <v>0</v>
      </c>
      <c r="AP200" s="183">
        <f t="shared" si="38"/>
        <v>0</v>
      </c>
      <c r="AQ200" s="183">
        <f t="shared" si="39"/>
        <v>6117120</v>
      </c>
      <c r="AR200" s="183"/>
      <c r="AS200" s="183">
        <f t="shared" si="40"/>
        <v>0</v>
      </c>
      <c r="AT200" s="183">
        <f t="shared" si="41"/>
        <v>6917120</v>
      </c>
      <c r="AU200" s="175" t="s">
        <v>1818</v>
      </c>
      <c r="AV200" s="175" t="s">
        <v>1751</v>
      </c>
      <c r="AW200" s="175" t="s">
        <v>1819</v>
      </c>
      <c r="AX200" s="175" t="s">
        <v>1024</v>
      </c>
    </row>
    <row r="201" spans="1:50" s="179" customFormat="1" ht="24.95" hidden="1" customHeight="1" x14ac:dyDescent="0.25">
      <c r="A201" s="175">
        <v>14312</v>
      </c>
      <c r="B201" s="175" t="s">
        <v>96</v>
      </c>
      <c r="C201" s="175" t="s">
        <v>39</v>
      </c>
      <c r="D201" s="176">
        <v>4</v>
      </c>
      <c r="E201" s="176">
        <v>2025</v>
      </c>
      <c r="F201" s="176">
        <v>2025</v>
      </c>
      <c r="G201" s="175" t="s">
        <v>23</v>
      </c>
      <c r="H201" s="175" t="s">
        <v>96</v>
      </c>
      <c r="I201" s="175" t="s">
        <v>1042</v>
      </c>
      <c r="J201" s="177" t="s">
        <v>824</v>
      </c>
      <c r="K201" s="175" t="s">
        <v>823</v>
      </c>
      <c r="L201" s="175" t="s">
        <v>21</v>
      </c>
      <c r="M201" s="175" t="s">
        <v>21</v>
      </c>
      <c r="N201" s="175">
        <v>10</v>
      </c>
      <c r="O201" s="175" t="s">
        <v>706</v>
      </c>
      <c r="P201" s="175" t="s">
        <v>420</v>
      </c>
      <c r="Q201" s="175" t="s">
        <v>385</v>
      </c>
      <c r="R201" s="175" t="s">
        <v>339</v>
      </c>
      <c r="S201" s="175" t="s">
        <v>19</v>
      </c>
      <c r="T201" s="175" t="s">
        <v>337</v>
      </c>
      <c r="U201" s="176">
        <v>10</v>
      </c>
      <c r="V201" s="176">
        <v>64</v>
      </c>
      <c r="W201" s="176" t="s">
        <v>21</v>
      </c>
      <c r="X201" s="179">
        <f t="shared" si="34"/>
        <v>64</v>
      </c>
      <c r="Y201" s="176">
        <v>5</v>
      </c>
      <c r="Z201" s="176" t="s">
        <v>20</v>
      </c>
      <c r="AA201" s="176" t="s">
        <v>18</v>
      </c>
      <c r="AB201" s="185" t="s">
        <v>18</v>
      </c>
      <c r="AC201" s="186" t="s">
        <v>21</v>
      </c>
      <c r="AD201" s="181" t="s">
        <v>1826</v>
      </c>
      <c r="AE201" s="179" t="s">
        <v>18</v>
      </c>
      <c r="AF201" s="191"/>
      <c r="AG201" s="174" t="s">
        <v>990</v>
      </c>
      <c r="AH201" s="179">
        <v>13</v>
      </c>
      <c r="AI201" s="179">
        <f>VLOOKUP(K201,[1]TRAMO!$A:$B,2,0)</f>
        <v>2</v>
      </c>
      <c r="AJ201" s="200">
        <f t="shared" si="35"/>
        <v>640</v>
      </c>
      <c r="AK201" s="183">
        <f t="shared" si="36"/>
        <v>6372</v>
      </c>
      <c r="AL201" s="179">
        <f t="shared" si="42"/>
        <v>12.8</v>
      </c>
      <c r="AM201" s="183">
        <v>0</v>
      </c>
      <c r="AN201" s="183">
        <f t="shared" si="43"/>
        <v>520000</v>
      </c>
      <c r="AO201" s="183">
        <f t="shared" si="37"/>
        <v>0</v>
      </c>
      <c r="AP201" s="183">
        <f t="shared" si="38"/>
        <v>0</v>
      </c>
      <c r="AQ201" s="183">
        <f t="shared" si="39"/>
        <v>4078080</v>
      </c>
      <c r="AR201" s="183"/>
      <c r="AS201" s="183">
        <f t="shared" si="40"/>
        <v>0</v>
      </c>
      <c r="AT201" s="183">
        <f t="shared" si="41"/>
        <v>4598080</v>
      </c>
      <c r="AU201" s="175" t="s">
        <v>1750</v>
      </c>
      <c r="AV201" s="175" t="s">
        <v>1751</v>
      </c>
      <c r="AW201" s="175" t="s">
        <v>1788</v>
      </c>
      <c r="AX201" s="175" t="s">
        <v>1789</v>
      </c>
    </row>
    <row r="202" spans="1:50" s="179" customFormat="1" ht="24.95" hidden="1" customHeight="1" x14ac:dyDescent="0.25">
      <c r="A202" s="175">
        <v>14313</v>
      </c>
      <c r="B202" s="175" t="s">
        <v>96</v>
      </c>
      <c r="C202" s="175" t="s">
        <v>39</v>
      </c>
      <c r="D202" s="176">
        <v>4</v>
      </c>
      <c r="E202" s="176">
        <v>2025</v>
      </c>
      <c r="F202" s="176">
        <v>2025</v>
      </c>
      <c r="G202" s="175" t="s">
        <v>23</v>
      </c>
      <c r="H202" s="175" t="s">
        <v>96</v>
      </c>
      <c r="I202" s="175" t="s">
        <v>1042</v>
      </c>
      <c r="J202" s="177" t="s">
        <v>824</v>
      </c>
      <c r="K202" s="175" t="s">
        <v>823</v>
      </c>
      <c r="L202" s="175" t="s">
        <v>21</v>
      </c>
      <c r="M202" s="175" t="s">
        <v>21</v>
      </c>
      <c r="N202" s="175">
        <v>4</v>
      </c>
      <c r="O202" s="175" t="s">
        <v>415</v>
      </c>
      <c r="P202" s="175" t="s">
        <v>1827</v>
      </c>
      <c r="Q202" s="175" t="s">
        <v>385</v>
      </c>
      <c r="R202" s="175" t="s">
        <v>339</v>
      </c>
      <c r="S202" s="175" t="s">
        <v>19</v>
      </c>
      <c r="T202" s="175" t="s">
        <v>337</v>
      </c>
      <c r="U202" s="176">
        <v>10</v>
      </c>
      <c r="V202" s="176">
        <v>64</v>
      </c>
      <c r="W202" s="176" t="s">
        <v>21</v>
      </c>
      <c r="X202" s="179">
        <f t="shared" si="34"/>
        <v>64</v>
      </c>
      <c r="Y202" s="176">
        <v>5</v>
      </c>
      <c r="Z202" s="176" t="s">
        <v>20</v>
      </c>
      <c r="AA202" s="176" t="s">
        <v>18</v>
      </c>
      <c r="AB202" s="185" t="s">
        <v>18</v>
      </c>
      <c r="AC202" s="186" t="s">
        <v>21</v>
      </c>
      <c r="AD202" s="181" t="s">
        <v>1828</v>
      </c>
      <c r="AE202" s="179" t="s">
        <v>18</v>
      </c>
      <c r="AF202" s="191"/>
      <c r="AG202" s="174" t="s">
        <v>990</v>
      </c>
      <c r="AH202" s="179">
        <v>13</v>
      </c>
      <c r="AI202" s="179">
        <f>VLOOKUP(K202,[1]TRAMO!$A:$B,2,0)</f>
        <v>2</v>
      </c>
      <c r="AJ202" s="200">
        <f t="shared" si="35"/>
        <v>640</v>
      </c>
      <c r="AK202" s="183">
        <f t="shared" si="36"/>
        <v>6372</v>
      </c>
      <c r="AL202" s="179">
        <f t="shared" si="42"/>
        <v>12.8</v>
      </c>
      <c r="AM202" s="183">
        <v>0</v>
      </c>
      <c r="AN202" s="183">
        <f t="shared" si="43"/>
        <v>520000</v>
      </c>
      <c r="AO202" s="183">
        <f t="shared" si="37"/>
        <v>0</v>
      </c>
      <c r="AP202" s="183">
        <f t="shared" si="38"/>
        <v>0</v>
      </c>
      <c r="AQ202" s="183">
        <f t="shared" si="39"/>
        <v>4078080</v>
      </c>
      <c r="AR202" s="183"/>
      <c r="AS202" s="183">
        <f t="shared" si="40"/>
        <v>0</v>
      </c>
      <c r="AT202" s="183">
        <f t="shared" si="41"/>
        <v>4598080</v>
      </c>
      <c r="AU202" s="175" t="s">
        <v>1818</v>
      </c>
      <c r="AV202" s="175" t="s">
        <v>1751</v>
      </c>
      <c r="AW202" s="175" t="s">
        <v>1788</v>
      </c>
      <c r="AX202" s="175" t="s">
        <v>1789</v>
      </c>
    </row>
    <row r="203" spans="1:50" s="179" customFormat="1" ht="24.95" hidden="1" customHeight="1" x14ac:dyDescent="0.25">
      <c r="A203" s="175">
        <v>14248</v>
      </c>
      <c r="B203" s="175" t="s">
        <v>96</v>
      </c>
      <c r="C203" s="175" t="s">
        <v>39</v>
      </c>
      <c r="D203" s="176">
        <v>4</v>
      </c>
      <c r="E203" s="176">
        <v>2025</v>
      </c>
      <c r="F203" s="176">
        <v>2025</v>
      </c>
      <c r="G203" s="175" t="s">
        <v>23</v>
      </c>
      <c r="H203" s="175" t="s">
        <v>96</v>
      </c>
      <c r="I203" s="175" t="s">
        <v>1042</v>
      </c>
      <c r="J203" s="177" t="s">
        <v>1829</v>
      </c>
      <c r="K203" s="175" t="s">
        <v>1830</v>
      </c>
      <c r="L203" s="175" t="s">
        <v>21</v>
      </c>
      <c r="M203" s="175" t="s">
        <v>21</v>
      </c>
      <c r="N203" s="175">
        <v>13</v>
      </c>
      <c r="O203" s="175" t="s">
        <v>382</v>
      </c>
      <c r="P203" s="175" t="s">
        <v>416</v>
      </c>
      <c r="Q203" s="175" t="s">
        <v>1201</v>
      </c>
      <c r="R203" s="175" t="s">
        <v>339</v>
      </c>
      <c r="S203" s="175" t="s">
        <v>22</v>
      </c>
      <c r="T203" s="175" t="s">
        <v>337</v>
      </c>
      <c r="U203" s="176">
        <v>16</v>
      </c>
      <c r="V203" s="176">
        <v>112</v>
      </c>
      <c r="W203" s="176" t="s">
        <v>21</v>
      </c>
      <c r="X203" s="179">
        <f t="shared" si="34"/>
        <v>112</v>
      </c>
      <c r="Y203" s="176">
        <v>5</v>
      </c>
      <c r="Z203" s="176" t="s">
        <v>20</v>
      </c>
      <c r="AA203" s="176" t="s">
        <v>18</v>
      </c>
      <c r="AB203" s="185" t="s">
        <v>18</v>
      </c>
      <c r="AC203" s="186" t="s">
        <v>21</v>
      </c>
      <c r="AD203" s="181" t="s">
        <v>1831</v>
      </c>
      <c r="AE203" s="179" t="s">
        <v>18</v>
      </c>
      <c r="AF203" s="191"/>
      <c r="AG203" s="174" t="s">
        <v>990</v>
      </c>
      <c r="AH203" s="179">
        <v>23</v>
      </c>
      <c r="AI203" s="179">
        <v>2</v>
      </c>
      <c r="AJ203" s="200">
        <f t="shared" si="35"/>
        <v>1792</v>
      </c>
      <c r="AK203" s="183">
        <f t="shared" si="36"/>
        <v>6372</v>
      </c>
      <c r="AL203" s="179">
        <f t="shared" si="42"/>
        <v>22.4</v>
      </c>
      <c r="AM203" s="183">
        <v>0</v>
      </c>
      <c r="AN203" s="183">
        <f t="shared" si="43"/>
        <v>1472000</v>
      </c>
      <c r="AO203" s="183">
        <f t="shared" si="37"/>
        <v>0</v>
      </c>
      <c r="AP203" s="183">
        <f t="shared" si="38"/>
        <v>0</v>
      </c>
      <c r="AQ203" s="183">
        <f t="shared" si="39"/>
        <v>11418624</v>
      </c>
      <c r="AR203" s="183"/>
      <c r="AS203" s="183">
        <f t="shared" si="40"/>
        <v>0</v>
      </c>
      <c r="AT203" s="183">
        <f t="shared" si="41"/>
        <v>12890624</v>
      </c>
      <c r="AU203" s="175" t="s">
        <v>1832</v>
      </c>
      <c r="AV203" s="175" t="s">
        <v>1833</v>
      </c>
      <c r="AW203" s="175" t="s">
        <v>1834</v>
      </c>
      <c r="AX203" s="175" t="s">
        <v>1835</v>
      </c>
    </row>
    <row r="204" spans="1:50" s="179" customFormat="1" ht="24.95" hidden="1" customHeight="1" x14ac:dyDescent="0.25">
      <c r="A204" s="175">
        <v>14318</v>
      </c>
      <c r="B204" s="175" t="s">
        <v>96</v>
      </c>
      <c r="C204" s="175" t="s">
        <v>39</v>
      </c>
      <c r="D204" s="176">
        <v>4</v>
      </c>
      <c r="E204" s="176">
        <v>2025</v>
      </c>
      <c r="F204" s="176">
        <v>2025</v>
      </c>
      <c r="G204" s="175" t="s">
        <v>23</v>
      </c>
      <c r="H204" s="175" t="s">
        <v>96</v>
      </c>
      <c r="I204" s="175" t="s">
        <v>1042</v>
      </c>
      <c r="J204" s="177" t="s">
        <v>1853</v>
      </c>
      <c r="K204" s="175" t="s">
        <v>1854</v>
      </c>
      <c r="L204" s="175" t="s">
        <v>21</v>
      </c>
      <c r="M204" s="175" t="s">
        <v>21</v>
      </c>
      <c r="N204" s="175">
        <v>4</v>
      </c>
      <c r="O204" s="175" t="s">
        <v>415</v>
      </c>
      <c r="P204" s="175" t="s">
        <v>840</v>
      </c>
      <c r="Q204" s="175" t="s">
        <v>385</v>
      </c>
      <c r="R204" s="175" t="s">
        <v>339</v>
      </c>
      <c r="S204" s="175" t="s">
        <v>22</v>
      </c>
      <c r="T204" s="175" t="s">
        <v>337</v>
      </c>
      <c r="U204" s="176">
        <v>10</v>
      </c>
      <c r="V204" s="176">
        <v>40</v>
      </c>
      <c r="W204" s="176" t="s">
        <v>21</v>
      </c>
      <c r="X204" s="179">
        <f t="shared" si="34"/>
        <v>40</v>
      </c>
      <c r="Y204" s="176">
        <v>5</v>
      </c>
      <c r="Z204" s="176" t="s">
        <v>20</v>
      </c>
      <c r="AA204" s="176" t="s">
        <v>18</v>
      </c>
      <c r="AB204" s="185" t="s">
        <v>18</v>
      </c>
      <c r="AC204" s="186" t="s">
        <v>21</v>
      </c>
      <c r="AD204" s="181" t="s">
        <v>1855</v>
      </c>
      <c r="AE204" s="179" t="s">
        <v>18</v>
      </c>
      <c r="AF204" s="191"/>
      <c r="AG204" s="174" t="s">
        <v>990</v>
      </c>
      <c r="AH204" s="179">
        <v>8</v>
      </c>
      <c r="AI204" s="179">
        <f>VLOOKUP(K204,[1]TRAMO!$A:$B,2,0)</f>
        <v>3</v>
      </c>
      <c r="AJ204" s="200">
        <f t="shared" si="35"/>
        <v>400</v>
      </c>
      <c r="AK204" s="183">
        <f t="shared" si="36"/>
        <v>7434</v>
      </c>
      <c r="AL204" s="179">
        <f t="shared" si="42"/>
        <v>8</v>
      </c>
      <c r="AM204" s="183">
        <v>0</v>
      </c>
      <c r="AN204" s="183">
        <f t="shared" si="43"/>
        <v>320000</v>
      </c>
      <c r="AO204" s="183">
        <f t="shared" si="37"/>
        <v>0</v>
      </c>
      <c r="AP204" s="183">
        <f t="shared" si="38"/>
        <v>0</v>
      </c>
      <c r="AQ204" s="183">
        <f t="shared" si="39"/>
        <v>2973600</v>
      </c>
      <c r="AR204" s="183"/>
      <c r="AS204" s="183">
        <f t="shared" si="40"/>
        <v>0</v>
      </c>
      <c r="AT204" s="183">
        <f t="shared" si="41"/>
        <v>3293600</v>
      </c>
      <c r="AU204" s="175" t="s">
        <v>1750</v>
      </c>
      <c r="AV204" s="175" t="s">
        <v>1751</v>
      </c>
      <c r="AW204" s="175" t="s">
        <v>1856</v>
      </c>
      <c r="AX204" s="175" t="s">
        <v>1857</v>
      </c>
    </row>
    <row r="205" spans="1:50" s="179" customFormat="1" ht="24.95" hidden="1" customHeight="1" x14ac:dyDescent="0.25">
      <c r="A205" s="175">
        <v>14320</v>
      </c>
      <c r="B205" s="175" t="s">
        <v>96</v>
      </c>
      <c r="C205" s="175" t="s">
        <v>39</v>
      </c>
      <c r="D205" s="176">
        <v>4</v>
      </c>
      <c r="E205" s="176">
        <v>2025</v>
      </c>
      <c r="F205" s="176">
        <v>2025</v>
      </c>
      <c r="G205" s="175" t="s">
        <v>23</v>
      </c>
      <c r="H205" s="175" t="s">
        <v>96</v>
      </c>
      <c r="I205" s="175" t="s">
        <v>1042</v>
      </c>
      <c r="J205" s="177" t="s">
        <v>1853</v>
      </c>
      <c r="K205" s="175" t="s">
        <v>1854</v>
      </c>
      <c r="L205" s="175" t="s">
        <v>21</v>
      </c>
      <c r="M205" s="175" t="s">
        <v>21</v>
      </c>
      <c r="N205" s="175">
        <v>15</v>
      </c>
      <c r="O205" s="175" t="s">
        <v>810</v>
      </c>
      <c r="P205" s="175" t="s">
        <v>1858</v>
      </c>
      <c r="Q205" s="175" t="s">
        <v>385</v>
      </c>
      <c r="R205" s="175" t="s">
        <v>339</v>
      </c>
      <c r="S205" s="175" t="s">
        <v>22</v>
      </c>
      <c r="T205" s="175" t="s">
        <v>337</v>
      </c>
      <c r="U205" s="176">
        <v>10</v>
      </c>
      <c r="V205" s="176">
        <v>40</v>
      </c>
      <c r="W205" s="176" t="s">
        <v>21</v>
      </c>
      <c r="X205" s="179">
        <f t="shared" si="34"/>
        <v>40</v>
      </c>
      <c r="Y205" s="176">
        <v>5</v>
      </c>
      <c r="Z205" s="176" t="s">
        <v>20</v>
      </c>
      <c r="AA205" s="176" t="s">
        <v>18</v>
      </c>
      <c r="AB205" s="185" t="s">
        <v>18</v>
      </c>
      <c r="AC205" s="186" t="s">
        <v>21</v>
      </c>
      <c r="AD205" s="181" t="s">
        <v>1859</v>
      </c>
      <c r="AE205" s="179" t="s">
        <v>18</v>
      </c>
      <c r="AF205" s="191"/>
      <c r="AG205" s="174" t="s">
        <v>990</v>
      </c>
      <c r="AH205" s="179">
        <v>8</v>
      </c>
      <c r="AI205" s="179">
        <f>VLOOKUP(K205,[1]TRAMO!$A:$B,2,0)</f>
        <v>3</v>
      </c>
      <c r="AJ205" s="200">
        <f t="shared" si="35"/>
        <v>400</v>
      </c>
      <c r="AK205" s="183">
        <f t="shared" si="36"/>
        <v>7434</v>
      </c>
      <c r="AL205" s="179">
        <f t="shared" si="42"/>
        <v>8</v>
      </c>
      <c r="AM205" s="183">
        <v>0</v>
      </c>
      <c r="AN205" s="183">
        <f t="shared" si="43"/>
        <v>320000</v>
      </c>
      <c r="AO205" s="183">
        <f t="shared" si="37"/>
        <v>0</v>
      </c>
      <c r="AP205" s="183">
        <f t="shared" si="38"/>
        <v>0</v>
      </c>
      <c r="AQ205" s="183">
        <f t="shared" si="39"/>
        <v>2973600</v>
      </c>
      <c r="AR205" s="183"/>
      <c r="AS205" s="183">
        <f t="shared" si="40"/>
        <v>0</v>
      </c>
      <c r="AT205" s="183">
        <f t="shared" si="41"/>
        <v>3293600</v>
      </c>
      <c r="AU205" s="175" t="s">
        <v>1750</v>
      </c>
      <c r="AV205" s="175" t="s">
        <v>1751</v>
      </c>
      <c r="AW205" s="175" t="s">
        <v>1856</v>
      </c>
      <c r="AX205" s="175" t="s">
        <v>1857</v>
      </c>
    </row>
    <row r="206" spans="1:50" s="179" customFormat="1" ht="24.95" hidden="1" customHeight="1" x14ac:dyDescent="0.25">
      <c r="A206" s="175">
        <v>14321</v>
      </c>
      <c r="B206" s="175" t="s">
        <v>96</v>
      </c>
      <c r="C206" s="175" t="s">
        <v>39</v>
      </c>
      <c r="D206" s="176">
        <v>4</v>
      </c>
      <c r="E206" s="176">
        <v>2025</v>
      </c>
      <c r="F206" s="176">
        <v>2025</v>
      </c>
      <c r="G206" s="175" t="s">
        <v>23</v>
      </c>
      <c r="H206" s="175" t="s">
        <v>96</v>
      </c>
      <c r="I206" s="175" t="s">
        <v>1042</v>
      </c>
      <c r="J206" s="177" t="s">
        <v>1853</v>
      </c>
      <c r="K206" s="175" t="s">
        <v>1854</v>
      </c>
      <c r="L206" s="175" t="s">
        <v>21</v>
      </c>
      <c r="M206" s="175" t="s">
        <v>21</v>
      </c>
      <c r="N206" s="175">
        <v>3</v>
      </c>
      <c r="O206" s="175" t="s">
        <v>751</v>
      </c>
      <c r="P206" s="175" t="s">
        <v>838</v>
      </c>
      <c r="Q206" s="175" t="s">
        <v>385</v>
      </c>
      <c r="R206" s="175" t="s">
        <v>339</v>
      </c>
      <c r="S206" s="175" t="s">
        <v>22</v>
      </c>
      <c r="T206" s="175" t="s">
        <v>337</v>
      </c>
      <c r="U206" s="176">
        <v>10</v>
      </c>
      <c r="V206" s="176">
        <v>40</v>
      </c>
      <c r="W206" s="176" t="s">
        <v>21</v>
      </c>
      <c r="X206" s="179">
        <f t="shared" si="34"/>
        <v>40</v>
      </c>
      <c r="Y206" s="176">
        <v>5</v>
      </c>
      <c r="Z206" s="176" t="s">
        <v>20</v>
      </c>
      <c r="AA206" s="176" t="s">
        <v>18</v>
      </c>
      <c r="AB206" s="185" t="s">
        <v>18</v>
      </c>
      <c r="AC206" s="186" t="s">
        <v>21</v>
      </c>
      <c r="AD206" s="181" t="s">
        <v>1860</v>
      </c>
      <c r="AE206" s="179" t="s">
        <v>18</v>
      </c>
      <c r="AF206" s="191"/>
      <c r="AG206" s="174" t="s">
        <v>990</v>
      </c>
      <c r="AH206" s="179">
        <v>8</v>
      </c>
      <c r="AI206" s="179">
        <f>VLOOKUP(K206,[1]TRAMO!$A:$B,2,0)</f>
        <v>3</v>
      </c>
      <c r="AJ206" s="200">
        <f t="shared" si="35"/>
        <v>400</v>
      </c>
      <c r="AK206" s="183">
        <f t="shared" si="36"/>
        <v>7434</v>
      </c>
      <c r="AL206" s="179">
        <f t="shared" si="42"/>
        <v>8</v>
      </c>
      <c r="AM206" s="183">
        <v>0</v>
      </c>
      <c r="AN206" s="183">
        <f t="shared" si="43"/>
        <v>320000</v>
      </c>
      <c r="AO206" s="183">
        <f t="shared" si="37"/>
        <v>0</v>
      </c>
      <c r="AP206" s="183">
        <f t="shared" si="38"/>
        <v>0</v>
      </c>
      <c r="AQ206" s="183">
        <f t="shared" si="39"/>
        <v>2973600</v>
      </c>
      <c r="AR206" s="183"/>
      <c r="AS206" s="183">
        <f t="shared" si="40"/>
        <v>0</v>
      </c>
      <c r="AT206" s="183">
        <f t="shared" si="41"/>
        <v>3293600</v>
      </c>
      <c r="AU206" s="175" t="s">
        <v>1818</v>
      </c>
      <c r="AV206" s="175" t="s">
        <v>1751</v>
      </c>
      <c r="AW206" s="175" t="s">
        <v>1856</v>
      </c>
      <c r="AX206" s="175" t="s">
        <v>1857</v>
      </c>
    </row>
    <row r="207" spans="1:50" s="179" customFormat="1" ht="24.95" hidden="1" customHeight="1" x14ac:dyDescent="0.25">
      <c r="A207" s="175">
        <v>14285</v>
      </c>
      <c r="B207" s="175" t="s">
        <v>96</v>
      </c>
      <c r="C207" s="175" t="s">
        <v>39</v>
      </c>
      <c r="D207" s="176">
        <v>4</v>
      </c>
      <c r="E207" s="176">
        <v>2025</v>
      </c>
      <c r="F207" s="176">
        <v>2025</v>
      </c>
      <c r="G207" s="175" t="s">
        <v>23</v>
      </c>
      <c r="H207" s="175" t="s">
        <v>96</v>
      </c>
      <c r="I207" s="175" t="s">
        <v>1042</v>
      </c>
      <c r="J207" s="177" t="s">
        <v>1665</v>
      </c>
      <c r="K207" s="175" t="s">
        <v>1666</v>
      </c>
      <c r="L207" s="175" t="s">
        <v>21</v>
      </c>
      <c r="M207" s="175" t="s">
        <v>21</v>
      </c>
      <c r="N207" s="175">
        <v>14</v>
      </c>
      <c r="O207" s="175" t="s">
        <v>1722</v>
      </c>
      <c r="P207" s="175" t="s">
        <v>732</v>
      </c>
      <c r="Q207" s="175" t="s">
        <v>385</v>
      </c>
      <c r="R207" s="175" t="s">
        <v>339</v>
      </c>
      <c r="S207" s="175" t="s">
        <v>22</v>
      </c>
      <c r="T207" s="175" t="s">
        <v>337</v>
      </c>
      <c r="U207" s="176">
        <v>15</v>
      </c>
      <c r="V207" s="176">
        <v>72</v>
      </c>
      <c r="W207" s="176" t="s">
        <v>21</v>
      </c>
      <c r="X207" s="179">
        <f t="shared" si="34"/>
        <v>72</v>
      </c>
      <c r="Y207" s="176">
        <v>5</v>
      </c>
      <c r="Z207" s="176" t="s">
        <v>20</v>
      </c>
      <c r="AA207" s="176" t="s">
        <v>18</v>
      </c>
      <c r="AB207" s="185" t="s">
        <v>18</v>
      </c>
      <c r="AC207" s="186" t="s">
        <v>21</v>
      </c>
      <c r="AD207" s="181" t="s">
        <v>1901</v>
      </c>
      <c r="AE207" s="179" t="s">
        <v>18</v>
      </c>
      <c r="AF207" s="191"/>
      <c r="AG207" s="174" t="s">
        <v>990</v>
      </c>
      <c r="AH207" s="179">
        <v>15</v>
      </c>
      <c r="AI207" s="179">
        <f>VLOOKUP(K207,[1]TRAMO!$A:$B,2,0)</f>
        <v>3</v>
      </c>
      <c r="AJ207" s="200">
        <f t="shared" si="35"/>
        <v>1080</v>
      </c>
      <c r="AK207" s="183">
        <f t="shared" si="36"/>
        <v>7434</v>
      </c>
      <c r="AL207" s="179">
        <f t="shared" si="42"/>
        <v>14.4</v>
      </c>
      <c r="AM207" s="183">
        <v>0</v>
      </c>
      <c r="AN207" s="183">
        <f t="shared" si="43"/>
        <v>900000</v>
      </c>
      <c r="AO207" s="183">
        <f t="shared" si="37"/>
        <v>0</v>
      </c>
      <c r="AP207" s="183">
        <f t="shared" si="38"/>
        <v>0</v>
      </c>
      <c r="AQ207" s="183">
        <f t="shared" si="39"/>
        <v>8028720</v>
      </c>
      <c r="AR207" s="183"/>
      <c r="AS207" s="183">
        <f t="shared" si="40"/>
        <v>0</v>
      </c>
      <c r="AT207" s="183">
        <f t="shared" si="41"/>
        <v>8928720</v>
      </c>
      <c r="AU207" s="175" t="s">
        <v>1818</v>
      </c>
      <c r="AV207" s="175" t="s">
        <v>1751</v>
      </c>
      <c r="AW207" s="175" t="s">
        <v>1856</v>
      </c>
      <c r="AX207" s="175" t="s">
        <v>1857</v>
      </c>
    </row>
    <row r="208" spans="1:50" s="179" customFormat="1" ht="24.95" hidden="1" customHeight="1" x14ac:dyDescent="0.25">
      <c r="A208" s="175">
        <v>14289</v>
      </c>
      <c r="B208" s="175" t="s">
        <v>96</v>
      </c>
      <c r="C208" s="175" t="s">
        <v>39</v>
      </c>
      <c r="D208" s="176">
        <v>4</v>
      </c>
      <c r="E208" s="176">
        <v>2025</v>
      </c>
      <c r="F208" s="176">
        <v>2025</v>
      </c>
      <c r="G208" s="175" t="s">
        <v>23</v>
      </c>
      <c r="H208" s="175" t="s">
        <v>96</v>
      </c>
      <c r="I208" s="175" t="s">
        <v>1042</v>
      </c>
      <c r="J208" s="177" t="s">
        <v>1665</v>
      </c>
      <c r="K208" s="175" t="s">
        <v>1666</v>
      </c>
      <c r="L208" s="175" t="s">
        <v>21</v>
      </c>
      <c r="M208" s="175" t="s">
        <v>21</v>
      </c>
      <c r="N208" s="175">
        <v>12</v>
      </c>
      <c r="O208" s="175" t="s">
        <v>426</v>
      </c>
      <c r="P208" s="175" t="s">
        <v>1902</v>
      </c>
      <c r="Q208" s="175" t="s">
        <v>385</v>
      </c>
      <c r="R208" s="175" t="s">
        <v>339</v>
      </c>
      <c r="S208" s="175" t="s">
        <v>22</v>
      </c>
      <c r="T208" s="175" t="s">
        <v>337</v>
      </c>
      <c r="U208" s="176">
        <v>15</v>
      </c>
      <c r="V208" s="176">
        <v>72</v>
      </c>
      <c r="W208" s="176" t="s">
        <v>21</v>
      </c>
      <c r="X208" s="179">
        <f t="shared" si="34"/>
        <v>72</v>
      </c>
      <c r="Y208" s="176">
        <v>5</v>
      </c>
      <c r="Z208" s="176" t="s">
        <v>20</v>
      </c>
      <c r="AA208" s="176" t="s">
        <v>18</v>
      </c>
      <c r="AB208" s="185" t="s">
        <v>18</v>
      </c>
      <c r="AC208" s="186" t="s">
        <v>21</v>
      </c>
      <c r="AD208" s="181" t="s">
        <v>1903</v>
      </c>
      <c r="AE208" s="179" t="s">
        <v>18</v>
      </c>
      <c r="AF208" s="191"/>
      <c r="AG208" s="174" t="s">
        <v>990</v>
      </c>
      <c r="AH208" s="179">
        <v>15</v>
      </c>
      <c r="AI208" s="179">
        <f>VLOOKUP(K208,[1]TRAMO!$A:$B,2,0)</f>
        <v>3</v>
      </c>
      <c r="AJ208" s="200">
        <f t="shared" si="35"/>
        <v>1080</v>
      </c>
      <c r="AK208" s="183">
        <f t="shared" si="36"/>
        <v>7434</v>
      </c>
      <c r="AL208" s="179">
        <f t="shared" si="42"/>
        <v>14.4</v>
      </c>
      <c r="AM208" s="183">
        <v>0</v>
      </c>
      <c r="AN208" s="183">
        <f t="shared" si="43"/>
        <v>900000</v>
      </c>
      <c r="AO208" s="183">
        <f t="shared" si="37"/>
        <v>0</v>
      </c>
      <c r="AP208" s="183">
        <f t="shared" si="38"/>
        <v>0</v>
      </c>
      <c r="AQ208" s="183">
        <f t="shared" si="39"/>
        <v>8028720</v>
      </c>
      <c r="AR208" s="183"/>
      <c r="AS208" s="183">
        <f t="shared" si="40"/>
        <v>0</v>
      </c>
      <c r="AT208" s="183">
        <f t="shared" si="41"/>
        <v>8928720</v>
      </c>
      <c r="AU208" s="175" t="s">
        <v>1818</v>
      </c>
      <c r="AV208" s="175" t="s">
        <v>1751</v>
      </c>
      <c r="AW208" s="175" t="s">
        <v>1856</v>
      </c>
      <c r="AX208" s="175" t="s">
        <v>1857</v>
      </c>
    </row>
    <row r="209" spans="1:50" s="179" customFormat="1" ht="24.95" hidden="1" customHeight="1" x14ac:dyDescent="0.25">
      <c r="A209" s="175">
        <v>14457</v>
      </c>
      <c r="B209" s="175" t="s">
        <v>96</v>
      </c>
      <c r="C209" s="175" t="s">
        <v>39</v>
      </c>
      <c r="D209" s="176">
        <v>4</v>
      </c>
      <c r="E209" s="176">
        <v>2025</v>
      </c>
      <c r="F209" s="176">
        <v>2025</v>
      </c>
      <c r="G209" s="175" t="s">
        <v>23</v>
      </c>
      <c r="H209" s="175" t="s">
        <v>96</v>
      </c>
      <c r="I209" s="175" t="s">
        <v>1042</v>
      </c>
      <c r="J209" s="177" t="s">
        <v>920</v>
      </c>
      <c r="K209" s="175" t="s">
        <v>997</v>
      </c>
      <c r="L209" s="175" t="s">
        <v>21</v>
      </c>
      <c r="M209" s="175" t="s">
        <v>21</v>
      </c>
      <c r="N209" s="175">
        <v>7</v>
      </c>
      <c r="O209" s="175" t="s">
        <v>428</v>
      </c>
      <c r="P209" s="175" t="s">
        <v>1908</v>
      </c>
      <c r="Q209" s="175" t="s">
        <v>1201</v>
      </c>
      <c r="R209" s="175" t="s">
        <v>339</v>
      </c>
      <c r="S209" s="175" t="s">
        <v>22</v>
      </c>
      <c r="T209" s="175" t="s">
        <v>337</v>
      </c>
      <c r="U209" s="176">
        <v>15</v>
      </c>
      <c r="V209" s="176">
        <v>72</v>
      </c>
      <c r="W209" s="176" t="s">
        <v>21</v>
      </c>
      <c r="X209" s="179">
        <f t="shared" si="34"/>
        <v>72</v>
      </c>
      <c r="Y209" s="176">
        <v>5</v>
      </c>
      <c r="Z209" s="176" t="s">
        <v>20</v>
      </c>
      <c r="AA209" s="176" t="s">
        <v>18</v>
      </c>
      <c r="AB209" s="185" t="s">
        <v>18</v>
      </c>
      <c r="AC209" s="186" t="s">
        <v>21</v>
      </c>
      <c r="AD209" s="181" t="s">
        <v>1909</v>
      </c>
      <c r="AE209" s="179" t="s">
        <v>18</v>
      </c>
      <c r="AF209" s="191"/>
      <c r="AG209" s="174" t="s">
        <v>990</v>
      </c>
      <c r="AH209" s="179">
        <v>15</v>
      </c>
      <c r="AI209" s="179">
        <f>VLOOKUP(K209,[1]TRAMO!$A:$B,2,0)</f>
        <v>1</v>
      </c>
      <c r="AJ209" s="200">
        <f t="shared" si="35"/>
        <v>1080</v>
      </c>
      <c r="AK209" s="183">
        <f t="shared" si="36"/>
        <v>5074</v>
      </c>
      <c r="AL209" s="179">
        <f t="shared" si="42"/>
        <v>14.4</v>
      </c>
      <c r="AM209" s="183">
        <v>0</v>
      </c>
      <c r="AN209" s="183">
        <f t="shared" si="43"/>
        <v>900000</v>
      </c>
      <c r="AO209" s="183">
        <f t="shared" si="37"/>
        <v>0</v>
      </c>
      <c r="AP209" s="183">
        <f t="shared" si="38"/>
        <v>0</v>
      </c>
      <c r="AQ209" s="183">
        <f t="shared" si="39"/>
        <v>5479920</v>
      </c>
      <c r="AR209" s="183"/>
      <c r="AS209" s="183">
        <f t="shared" si="40"/>
        <v>0</v>
      </c>
      <c r="AT209" s="183">
        <f t="shared" si="41"/>
        <v>6379920</v>
      </c>
      <c r="AU209" s="175" t="s">
        <v>1718</v>
      </c>
      <c r="AV209" s="175" t="s">
        <v>1719</v>
      </c>
      <c r="AW209" s="175" t="s">
        <v>1720</v>
      </c>
      <c r="AX209" s="175" t="s">
        <v>1721</v>
      </c>
    </row>
    <row r="210" spans="1:50" s="179" customFormat="1" ht="24.95" hidden="1" customHeight="1" x14ac:dyDescent="0.25">
      <c r="A210" s="175">
        <v>14324</v>
      </c>
      <c r="B210" s="175" t="s">
        <v>96</v>
      </c>
      <c r="C210" s="175" t="s">
        <v>39</v>
      </c>
      <c r="D210" s="176">
        <v>4</v>
      </c>
      <c r="E210" s="176">
        <v>2025</v>
      </c>
      <c r="F210" s="176">
        <v>2025</v>
      </c>
      <c r="G210" s="175" t="s">
        <v>23</v>
      </c>
      <c r="H210" s="175" t="s">
        <v>96</v>
      </c>
      <c r="I210" s="175" t="s">
        <v>1042</v>
      </c>
      <c r="J210" s="177" t="s">
        <v>993</v>
      </c>
      <c r="K210" s="175" t="s">
        <v>994</v>
      </c>
      <c r="L210" s="175" t="s">
        <v>21</v>
      </c>
      <c r="M210" s="175" t="s">
        <v>21</v>
      </c>
      <c r="N210" s="175">
        <v>3</v>
      </c>
      <c r="O210" s="175" t="s">
        <v>751</v>
      </c>
      <c r="P210" s="175" t="s">
        <v>839</v>
      </c>
      <c r="Q210" s="175" t="s">
        <v>1201</v>
      </c>
      <c r="R210" s="175" t="s">
        <v>339</v>
      </c>
      <c r="S210" s="175" t="s">
        <v>22</v>
      </c>
      <c r="T210" s="175" t="s">
        <v>337</v>
      </c>
      <c r="U210" s="176">
        <v>10</v>
      </c>
      <c r="V210" s="176">
        <v>108</v>
      </c>
      <c r="W210" s="176" t="s">
        <v>21</v>
      </c>
      <c r="X210" s="179">
        <f t="shared" si="34"/>
        <v>108</v>
      </c>
      <c r="Y210" s="176">
        <v>5</v>
      </c>
      <c r="Z210" s="176" t="s">
        <v>20</v>
      </c>
      <c r="AA210" s="176" t="s">
        <v>18</v>
      </c>
      <c r="AB210" s="185" t="s">
        <v>18</v>
      </c>
      <c r="AC210" s="186" t="s">
        <v>21</v>
      </c>
      <c r="AD210" s="181" t="s">
        <v>1911</v>
      </c>
      <c r="AE210" s="179" t="s">
        <v>18</v>
      </c>
      <c r="AF210" s="191"/>
      <c r="AG210" s="174" t="s">
        <v>990</v>
      </c>
      <c r="AH210" s="179">
        <v>22</v>
      </c>
      <c r="AI210" s="179">
        <f>VLOOKUP(K210,[1]TRAMO!$A:$B,2,0)</f>
        <v>2</v>
      </c>
      <c r="AJ210" s="200">
        <f t="shared" si="35"/>
        <v>1080</v>
      </c>
      <c r="AK210" s="183">
        <f t="shared" si="36"/>
        <v>6372</v>
      </c>
      <c r="AL210" s="179">
        <f t="shared" si="42"/>
        <v>21.6</v>
      </c>
      <c r="AM210" s="183">
        <v>0</v>
      </c>
      <c r="AN210" s="183">
        <f t="shared" si="43"/>
        <v>880000</v>
      </c>
      <c r="AO210" s="183">
        <f t="shared" si="37"/>
        <v>0</v>
      </c>
      <c r="AP210" s="183">
        <f t="shared" si="38"/>
        <v>0</v>
      </c>
      <c r="AQ210" s="183">
        <f t="shared" si="39"/>
        <v>6881760</v>
      </c>
      <c r="AR210" s="183"/>
      <c r="AS210" s="183">
        <f t="shared" si="40"/>
        <v>0</v>
      </c>
      <c r="AT210" s="183">
        <f t="shared" si="41"/>
        <v>7761760</v>
      </c>
      <c r="AU210" s="175" t="s">
        <v>1818</v>
      </c>
      <c r="AV210" s="175" t="s">
        <v>1751</v>
      </c>
      <c r="AW210" s="175" t="s">
        <v>1912</v>
      </c>
      <c r="AX210" s="175" t="s">
        <v>1913</v>
      </c>
    </row>
    <row r="211" spans="1:50" s="179" customFormat="1" ht="24.95" hidden="1" customHeight="1" x14ac:dyDescent="0.25">
      <c r="A211" s="175">
        <v>14451</v>
      </c>
      <c r="B211" s="175" t="s">
        <v>96</v>
      </c>
      <c r="C211" s="175" t="s">
        <v>39</v>
      </c>
      <c r="D211" s="176">
        <v>4</v>
      </c>
      <c r="E211" s="176">
        <v>2025</v>
      </c>
      <c r="F211" s="176">
        <v>2025</v>
      </c>
      <c r="G211" s="175" t="s">
        <v>23</v>
      </c>
      <c r="H211" s="175" t="s">
        <v>96</v>
      </c>
      <c r="I211" s="175" t="s">
        <v>1042</v>
      </c>
      <c r="J211" s="177" t="s">
        <v>993</v>
      </c>
      <c r="K211" s="175" t="s">
        <v>994</v>
      </c>
      <c r="L211" s="175" t="s">
        <v>21</v>
      </c>
      <c r="M211" s="175" t="s">
        <v>21</v>
      </c>
      <c r="N211" s="175">
        <v>13</v>
      </c>
      <c r="O211" s="175" t="s">
        <v>382</v>
      </c>
      <c r="P211" s="175" t="s">
        <v>793</v>
      </c>
      <c r="Q211" s="175" t="s">
        <v>1201</v>
      </c>
      <c r="R211" s="175" t="s">
        <v>339</v>
      </c>
      <c r="S211" s="175" t="s">
        <v>22</v>
      </c>
      <c r="T211" s="175" t="s">
        <v>337</v>
      </c>
      <c r="U211" s="176">
        <v>15</v>
      </c>
      <c r="V211" s="176">
        <v>108</v>
      </c>
      <c r="W211" s="176" t="s">
        <v>21</v>
      </c>
      <c r="X211" s="179">
        <f t="shared" si="34"/>
        <v>108</v>
      </c>
      <c r="Y211" s="176">
        <v>5</v>
      </c>
      <c r="Z211" s="176" t="s">
        <v>20</v>
      </c>
      <c r="AA211" s="176" t="s">
        <v>18</v>
      </c>
      <c r="AB211" s="185" t="s">
        <v>18</v>
      </c>
      <c r="AC211" s="186" t="s">
        <v>21</v>
      </c>
      <c r="AD211" s="181" t="s">
        <v>1915</v>
      </c>
      <c r="AE211" s="179" t="s">
        <v>18</v>
      </c>
      <c r="AF211" s="191"/>
      <c r="AG211" s="174" t="s">
        <v>990</v>
      </c>
      <c r="AH211" s="179">
        <v>22</v>
      </c>
      <c r="AI211" s="179">
        <f>VLOOKUP(K211,[1]TRAMO!$A:$B,2,0)</f>
        <v>2</v>
      </c>
      <c r="AJ211" s="200">
        <f t="shared" si="35"/>
        <v>1620</v>
      </c>
      <c r="AK211" s="183">
        <f t="shared" si="36"/>
        <v>6372</v>
      </c>
      <c r="AL211" s="179">
        <f t="shared" si="42"/>
        <v>21.6</v>
      </c>
      <c r="AM211" s="183">
        <v>0</v>
      </c>
      <c r="AN211" s="183">
        <f t="shared" si="43"/>
        <v>1320000</v>
      </c>
      <c r="AO211" s="183">
        <f t="shared" si="37"/>
        <v>0</v>
      </c>
      <c r="AP211" s="183">
        <f t="shared" si="38"/>
        <v>0</v>
      </c>
      <c r="AQ211" s="183">
        <f t="shared" si="39"/>
        <v>10322640</v>
      </c>
      <c r="AR211" s="183"/>
      <c r="AS211" s="183">
        <f t="shared" si="40"/>
        <v>0</v>
      </c>
      <c r="AT211" s="183">
        <f t="shared" si="41"/>
        <v>11642640</v>
      </c>
      <c r="AU211" s="175" t="s">
        <v>1718</v>
      </c>
      <c r="AV211" s="175" t="s">
        <v>1719</v>
      </c>
      <c r="AW211" s="175" t="s">
        <v>1720</v>
      </c>
      <c r="AX211" s="175" t="s">
        <v>1721</v>
      </c>
    </row>
    <row r="212" spans="1:50" s="179" customFormat="1" ht="24.95" hidden="1" customHeight="1" x14ac:dyDescent="0.25">
      <c r="A212" s="175">
        <v>14310</v>
      </c>
      <c r="B212" s="175" t="s">
        <v>96</v>
      </c>
      <c r="C212" s="175" t="s">
        <v>39</v>
      </c>
      <c r="D212" s="176">
        <v>4</v>
      </c>
      <c r="E212" s="176">
        <v>2025</v>
      </c>
      <c r="F212" s="176">
        <v>2025</v>
      </c>
      <c r="G212" s="175" t="s">
        <v>23</v>
      </c>
      <c r="H212" s="175" t="s">
        <v>96</v>
      </c>
      <c r="I212" s="175" t="s">
        <v>1042</v>
      </c>
      <c r="J212" s="177" t="s">
        <v>1919</v>
      </c>
      <c r="K212" s="175" t="s">
        <v>1920</v>
      </c>
      <c r="L212" s="175" t="s">
        <v>21</v>
      </c>
      <c r="M212" s="175" t="s">
        <v>21</v>
      </c>
      <c r="N212" s="175">
        <v>5</v>
      </c>
      <c r="O212" s="175" t="s">
        <v>395</v>
      </c>
      <c r="P212" s="175" t="s">
        <v>397</v>
      </c>
      <c r="Q212" s="175" t="s">
        <v>702</v>
      </c>
      <c r="R212" s="175" t="s">
        <v>339</v>
      </c>
      <c r="S212" s="175" t="s">
        <v>22</v>
      </c>
      <c r="T212" s="175" t="s">
        <v>337</v>
      </c>
      <c r="U212" s="176">
        <v>10</v>
      </c>
      <c r="V212" s="176">
        <v>100</v>
      </c>
      <c r="W212" s="176" t="s">
        <v>21</v>
      </c>
      <c r="X212" s="179">
        <f t="shared" si="34"/>
        <v>100</v>
      </c>
      <c r="Y212" s="176">
        <v>5</v>
      </c>
      <c r="Z212" s="176" t="s">
        <v>20</v>
      </c>
      <c r="AA212" s="176" t="s">
        <v>18</v>
      </c>
      <c r="AB212" s="185" t="s">
        <v>18</v>
      </c>
      <c r="AC212" s="186" t="s">
        <v>21</v>
      </c>
      <c r="AD212" s="181" t="s">
        <v>1921</v>
      </c>
      <c r="AE212" s="179" t="s">
        <v>18</v>
      </c>
      <c r="AF212" s="191"/>
      <c r="AG212" s="174" t="s">
        <v>990</v>
      </c>
      <c r="AH212" s="179">
        <v>20</v>
      </c>
      <c r="AI212" s="179">
        <v>1</v>
      </c>
      <c r="AJ212" s="200">
        <f t="shared" si="35"/>
        <v>1000</v>
      </c>
      <c r="AK212" s="183">
        <f t="shared" si="36"/>
        <v>5074</v>
      </c>
      <c r="AL212" s="179">
        <f t="shared" si="42"/>
        <v>20</v>
      </c>
      <c r="AM212" s="183">
        <v>0</v>
      </c>
      <c r="AN212" s="183">
        <f t="shared" si="43"/>
        <v>800000</v>
      </c>
      <c r="AO212" s="183">
        <f t="shared" si="37"/>
        <v>0</v>
      </c>
      <c r="AP212" s="183">
        <f t="shared" si="38"/>
        <v>0</v>
      </c>
      <c r="AQ212" s="183">
        <f t="shared" si="39"/>
        <v>5074000</v>
      </c>
      <c r="AR212" s="183"/>
      <c r="AS212" s="183">
        <f t="shared" si="40"/>
        <v>0</v>
      </c>
      <c r="AT212" s="183">
        <f t="shared" si="41"/>
        <v>5874000</v>
      </c>
      <c r="AU212" s="175" t="s">
        <v>1818</v>
      </c>
      <c r="AV212" s="175" t="s">
        <v>1751</v>
      </c>
      <c r="AW212" s="175" t="s">
        <v>1819</v>
      </c>
      <c r="AX212" s="175" t="s">
        <v>1024</v>
      </c>
    </row>
    <row r="213" spans="1:50" s="179" customFormat="1" ht="24.95" hidden="1" customHeight="1" x14ac:dyDescent="0.25">
      <c r="A213" s="175">
        <v>14250</v>
      </c>
      <c r="B213" s="175" t="s">
        <v>96</v>
      </c>
      <c r="C213" s="175" t="s">
        <v>39</v>
      </c>
      <c r="D213" s="176">
        <v>4</v>
      </c>
      <c r="E213" s="176">
        <v>2025</v>
      </c>
      <c r="F213" s="176">
        <v>2025</v>
      </c>
      <c r="G213" s="175" t="s">
        <v>23</v>
      </c>
      <c r="H213" s="175" t="s">
        <v>96</v>
      </c>
      <c r="I213" s="175" t="s">
        <v>1042</v>
      </c>
      <c r="J213" s="177" t="s">
        <v>1922</v>
      </c>
      <c r="K213" s="175" t="s">
        <v>1923</v>
      </c>
      <c r="L213" s="175" t="s">
        <v>21</v>
      </c>
      <c r="M213" s="175" t="s">
        <v>21</v>
      </c>
      <c r="N213" s="175">
        <v>13</v>
      </c>
      <c r="O213" s="175" t="s">
        <v>382</v>
      </c>
      <c r="P213" s="175" t="s">
        <v>416</v>
      </c>
      <c r="Q213" s="175" t="s">
        <v>1201</v>
      </c>
      <c r="R213" s="175" t="s">
        <v>339</v>
      </c>
      <c r="S213" s="175" t="s">
        <v>22</v>
      </c>
      <c r="T213" s="175" t="s">
        <v>337</v>
      </c>
      <c r="U213" s="176">
        <v>16</v>
      </c>
      <c r="V213" s="176">
        <v>116</v>
      </c>
      <c r="W213" s="176" t="s">
        <v>21</v>
      </c>
      <c r="X213" s="179">
        <f t="shared" si="34"/>
        <v>116</v>
      </c>
      <c r="Y213" s="176">
        <v>5</v>
      </c>
      <c r="Z213" s="176" t="s">
        <v>20</v>
      </c>
      <c r="AA213" s="176" t="s">
        <v>18</v>
      </c>
      <c r="AB213" s="185" t="s">
        <v>18</v>
      </c>
      <c r="AC213" s="186" t="s">
        <v>21</v>
      </c>
      <c r="AD213" s="181" t="s">
        <v>1924</v>
      </c>
      <c r="AE213" s="179" t="s">
        <v>18</v>
      </c>
      <c r="AF213" s="191"/>
      <c r="AG213" s="174" t="s">
        <v>990</v>
      </c>
      <c r="AH213" s="179">
        <v>24</v>
      </c>
      <c r="AI213" s="179">
        <v>3</v>
      </c>
      <c r="AJ213" s="200">
        <f t="shared" si="35"/>
        <v>1856</v>
      </c>
      <c r="AK213" s="183">
        <f t="shared" si="36"/>
        <v>7434</v>
      </c>
      <c r="AL213" s="179">
        <f t="shared" si="42"/>
        <v>23.2</v>
      </c>
      <c r="AM213" s="183">
        <v>0</v>
      </c>
      <c r="AN213" s="183">
        <f t="shared" si="43"/>
        <v>1536000</v>
      </c>
      <c r="AO213" s="183">
        <f t="shared" si="37"/>
        <v>0</v>
      </c>
      <c r="AP213" s="183">
        <f t="shared" si="38"/>
        <v>0</v>
      </c>
      <c r="AQ213" s="183">
        <f t="shared" si="39"/>
        <v>13797504</v>
      </c>
      <c r="AR213" s="183"/>
      <c r="AS213" s="183">
        <f t="shared" si="40"/>
        <v>0</v>
      </c>
      <c r="AT213" s="183">
        <f t="shared" si="41"/>
        <v>15333504</v>
      </c>
      <c r="AU213" s="175" t="s">
        <v>1832</v>
      </c>
      <c r="AV213" s="175" t="s">
        <v>1833</v>
      </c>
      <c r="AW213" s="175" t="s">
        <v>1834</v>
      </c>
      <c r="AX213" s="175" t="s">
        <v>1835</v>
      </c>
    </row>
    <row r="214" spans="1:50" s="179" customFormat="1" ht="24.95" hidden="1" customHeight="1" x14ac:dyDescent="0.25">
      <c r="A214" s="175">
        <v>14316</v>
      </c>
      <c r="B214" s="175" t="s">
        <v>96</v>
      </c>
      <c r="C214" s="175" t="s">
        <v>39</v>
      </c>
      <c r="D214" s="176">
        <v>4</v>
      </c>
      <c r="E214" s="176">
        <v>2025</v>
      </c>
      <c r="F214" s="176">
        <v>2025</v>
      </c>
      <c r="G214" s="175" t="s">
        <v>23</v>
      </c>
      <c r="H214" s="175" t="s">
        <v>96</v>
      </c>
      <c r="I214" s="175" t="s">
        <v>1042</v>
      </c>
      <c r="J214" s="177" t="s">
        <v>718</v>
      </c>
      <c r="K214" s="175" t="s">
        <v>719</v>
      </c>
      <c r="L214" s="175" t="s">
        <v>345</v>
      </c>
      <c r="M214" s="175" t="s">
        <v>346</v>
      </c>
      <c r="N214" s="175">
        <v>13</v>
      </c>
      <c r="O214" s="175" t="s">
        <v>382</v>
      </c>
      <c r="P214" s="175" t="s">
        <v>416</v>
      </c>
      <c r="Q214" s="175" t="s">
        <v>1201</v>
      </c>
      <c r="R214" s="175" t="s">
        <v>339</v>
      </c>
      <c r="S214" s="175" t="s">
        <v>19</v>
      </c>
      <c r="T214" s="175" t="s">
        <v>337</v>
      </c>
      <c r="U214" s="176">
        <v>15</v>
      </c>
      <c r="V214" s="176">
        <v>90</v>
      </c>
      <c r="W214" s="176">
        <v>12</v>
      </c>
      <c r="X214" s="179">
        <f t="shared" si="34"/>
        <v>102</v>
      </c>
      <c r="Y214" s="176">
        <v>5</v>
      </c>
      <c r="Z214" s="176" t="s">
        <v>20</v>
      </c>
      <c r="AA214" s="176" t="s">
        <v>18</v>
      </c>
      <c r="AB214" s="176" t="s">
        <v>20</v>
      </c>
      <c r="AC214" s="186" t="s">
        <v>21</v>
      </c>
      <c r="AD214" s="181" t="s">
        <v>2079</v>
      </c>
      <c r="AE214" s="179" t="s">
        <v>18</v>
      </c>
      <c r="AF214" s="191"/>
      <c r="AG214" s="174" t="s">
        <v>990</v>
      </c>
      <c r="AH214" s="179">
        <v>21</v>
      </c>
      <c r="AI214" s="179">
        <f>VLOOKUP(K214,[1]TRAMO!$A:$B,2,0)</f>
        <v>2</v>
      </c>
      <c r="AJ214" s="200">
        <f t="shared" si="35"/>
        <v>1530</v>
      </c>
      <c r="AK214" s="183">
        <f t="shared" si="36"/>
        <v>6372</v>
      </c>
      <c r="AL214" s="179">
        <f t="shared" si="42"/>
        <v>20.399999999999999</v>
      </c>
      <c r="AM214" s="183">
        <v>0</v>
      </c>
      <c r="AN214" s="183">
        <f t="shared" si="43"/>
        <v>1260000</v>
      </c>
      <c r="AO214" s="183">
        <f t="shared" si="37"/>
        <v>0</v>
      </c>
      <c r="AP214" s="183">
        <f t="shared" si="38"/>
        <v>4050000</v>
      </c>
      <c r="AQ214" s="183">
        <f t="shared" si="39"/>
        <v>9749160</v>
      </c>
      <c r="AR214" s="183"/>
      <c r="AS214" s="183">
        <f t="shared" si="40"/>
        <v>0</v>
      </c>
      <c r="AT214" s="183">
        <f t="shared" si="41"/>
        <v>15059160</v>
      </c>
      <c r="AU214" s="175" t="s">
        <v>1750</v>
      </c>
      <c r="AV214" s="175" t="s">
        <v>1751</v>
      </c>
      <c r="AW214" s="175" t="s">
        <v>2080</v>
      </c>
      <c r="AX214" s="175" t="s">
        <v>2081</v>
      </c>
    </row>
    <row r="215" spans="1:50" s="179" customFormat="1" ht="24.95" hidden="1" customHeight="1" x14ac:dyDescent="0.25">
      <c r="A215" s="175">
        <v>14463</v>
      </c>
      <c r="B215" s="175" t="s">
        <v>96</v>
      </c>
      <c r="C215" s="175" t="s">
        <v>39</v>
      </c>
      <c r="D215" s="176">
        <v>4</v>
      </c>
      <c r="E215" s="176">
        <v>2025</v>
      </c>
      <c r="F215" s="176">
        <v>2025</v>
      </c>
      <c r="G215" s="175" t="s">
        <v>23</v>
      </c>
      <c r="H215" s="175" t="s">
        <v>96</v>
      </c>
      <c r="I215" s="175" t="s">
        <v>1042</v>
      </c>
      <c r="J215" s="177" t="s">
        <v>718</v>
      </c>
      <c r="K215" s="175" t="s">
        <v>719</v>
      </c>
      <c r="L215" s="175" t="s">
        <v>345</v>
      </c>
      <c r="M215" s="175" t="s">
        <v>346</v>
      </c>
      <c r="N215" s="175">
        <v>8</v>
      </c>
      <c r="O215" s="175" t="s">
        <v>709</v>
      </c>
      <c r="P215" s="175" t="s">
        <v>2083</v>
      </c>
      <c r="Q215" s="175" t="s">
        <v>1201</v>
      </c>
      <c r="R215" s="175" t="s">
        <v>339</v>
      </c>
      <c r="S215" s="175" t="s">
        <v>19</v>
      </c>
      <c r="T215" s="175" t="s">
        <v>337</v>
      </c>
      <c r="U215" s="176">
        <v>15</v>
      </c>
      <c r="V215" s="176">
        <v>90</v>
      </c>
      <c r="W215" s="176">
        <v>12</v>
      </c>
      <c r="X215" s="179">
        <f t="shared" si="34"/>
        <v>102</v>
      </c>
      <c r="Y215" s="176">
        <v>5</v>
      </c>
      <c r="Z215" s="176" t="s">
        <v>20</v>
      </c>
      <c r="AA215" s="176" t="s">
        <v>18</v>
      </c>
      <c r="AB215" s="176" t="s">
        <v>20</v>
      </c>
      <c r="AC215" s="186" t="s">
        <v>21</v>
      </c>
      <c r="AD215" s="181" t="s">
        <v>2084</v>
      </c>
      <c r="AE215" s="179" t="s">
        <v>18</v>
      </c>
      <c r="AF215" s="191"/>
      <c r="AG215" s="174" t="s">
        <v>990</v>
      </c>
      <c r="AH215" s="179">
        <v>21</v>
      </c>
      <c r="AI215" s="179">
        <f>VLOOKUP(K215,[1]TRAMO!$A:$B,2,0)</f>
        <v>2</v>
      </c>
      <c r="AJ215" s="200">
        <f t="shared" si="35"/>
        <v>1530</v>
      </c>
      <c r="AK215" s="183">
        <f t="shared" si="36"/>
        <v>6372</v>
      </c>
      <c r="AL215" s="179">
        <f t="shared" si="42"/>
        <v>20.399999999999999</v>
      </c>
      <c r="AM215" s="183">
        <v>0</v>
      </c>
      <c r="AN215" s="183">
        <f t="shared" si="43"/>
        <v>1260000</v>
      </c>
      <c r="AO215" s="183">
        <f t="shared" si="37"/>
        <v>0</v>
      </c>
      <c r="AP215" s="183">
        <f t="shared" si="38"/>
        <v>4050000</v>
      </c>
      <c r="AQ215" s="183">
        <f t="shared" si="39"/>
        <v>9749160</v>
      </c>
      <c r="AR215" s="183"/>
      <c r="AS215" s="183">
        <f t="shared" si="40"/>
        <v>0</v>
      </c>
      <c r="AT215" s="183">
        <f t="shared" si="41"/>
        <v>15059160</v>
      </c>
      <c r="AU215" s="175" t="s">
        <v>1718</v>
      </c>
      <c r="AV215" s="175" t="s">
        <v>1719</v>
      </c>
      <c r="AW215" s="175" t="s">
        <v>2085</v>
      </c>
      <c r="AX215" s="175" t="s">
        <v>1721</v>
      </c>
    </row>
    <row r="216" spans="1:50" s="179" customFormat="1" ht="24.95" hidden="1" customHeight="1" x14ac:dyDescent="0.25">
      <c r="A216" s="175">
        <v>14301</v>
      </c>
      <c r="B216" s="175" t="s">
        <v>96</v>
      </c>
      <c r="C216" s="175" t="s">
        <v>39</v>
      </c>
      <c r="D216" s="176">
        <v>4</v>
      </c>
      <c r="E216" s="176">
        <v>2025</v>
      </c>
      <c r="F216" s="176">
        <v>2025</v>
      </c>
      <c r="G216" s="175" t="s">
        <v>23</v>
      </c>
      <c r="H216" s="175" t="s">
        <v>96</v>
      </c>
      <c r="I216" s="175" t="s">
        <v>1042</v>
      </c>
      <c r="J216" s="177" t="s">
        <v>827</v>
      </c>
      <c r="K216" s="175" t="s">
        <v>826</v>
      </c>
      <c r="L216" s="175" t="s">
        <v>345</v>
      </c>
      <c r="M216" s="175" t="s">
        <v>346</v>
      </c>
      <c r="N216" s="175">
        <v>5</v>
      </c>
      <c r="O216" s="175" t="s">
        <v>395</v>
      </c>
      <c r="P216" s="175" t="s">
        <v>2097</v>
      </c>
      <c r="Q216" s="175" t="s">
        <v>385</v>
      </c>
      <c r="R216" s="175" t="s">
        <v>339</v>
      </c>
      <c r="S216" s="175" t="s">
        <v>19</v>
      </c>
      <c r="T216" s="175" t="s">
        <v>337</v>
      </c>
      <c r="U216" s="176">
        <v>15</v>
      </c>
      <c r="V216" s="176">
        <v>110</v>
      </c>
      <c r="W216" s="176">
        <v>12</v>
      </c>
      <c r="X216" s="179">
        <f t="shared" si="34"/>
        <v>122</v>
      </c>
      <c r="Y216" s="176">
        <v>5</v>
      </c>
      <c r="Z216" s="176" t="s">
        <v>20</v>
      </c>
      <c r="AA216" s="176" t="s">
        <v>18</v>
      </c>
      <c r="AB216" s="176" t="s">
        <v>20</v>
      </c>
      <c r="AC216" s="186" t="s">
        <v>21</v>
      </c>
      <c r="AD216" s="181" t="s">
        <v>2098</v>
      </c>
      <c r="AE216" s="179" t="s">
        <v>18</v>
      </c>
      <c r="AF216" s="191"/>
      <c r="AG216" s="174" t="s">
        <v>990</v>
      </c>
      <c r="AH216" s="179">
        <v>25</v>
      </c>
      <c r="AI216" s="179">
        <f>VLOOKUP(K216,[1]TRAMO!$A:$B,2,0)</f>
        <v>2</v>
      </c>
      <c r="AJ216" s="200">
        <f t="shared" si="35"/>
        <v>1830</v>
      </c>
      <c r="AK216" s="183">
        <f t="shared" si="36"/>
        <v>6372</v>
      </c>
      <c r="AL216" s="179">
        <f t="shared" si="42"/>
        <v>24.4</v>
      </c>
      <c r="AM216" s="183">
        <v>0</v>
      </c>
      <c r="AN216" s="183">
        <f t="shared" si="43"/>
        <v>1500000</v>
      </c>
      <c r="AO216" s="183">
        <f t="shared" si="37"/>
        <v>0</v>
      </c>
      <c r="AP216" s="183">
        <f t="shared" si="38"/>
        <v>4050000</v>
      </c>
      <c r="AQ216" s="183">
        <f t="shared" si="39"/>
        <v>11660760</v>
      </c>
      <c r="AR216" s="183"/>
      <c r="AS216" s="183">
        <f t="shared" si="40"/>
        <v>0</v>
      </c>
      <c r="AT216" s="183">
        <f t="shared" si="41"/>
        <v>17210760</v>
      </c>
      <c r="AU216" s="175" t="s">
        <v>1818</v>
      </c>
      <c r="AV216" s="175" t="s">
        <v>1751</v>
      </c>
      <c r="AW216" s="175" t="s">
        <v>1788</v>
      </c>
      <c r="AX216" s="175" t="s">
        <v>1789</v>
      </c>
    </row>
    <row r="217" spans="1:50" s="179" customFormat="1" ht="24.95" hidden="1" customHeight="1" x14ac:dyDescent="0.25">
      <c r="A217" s="175">
        <v>14303</v>
      </c>
      <c r="B217" s="175" t="s">
        <v>96</v>
      </c>
      <c r="C217" s="175" t="s">
        <v>39</v>
      </c>
      <c r="D217" s="176">
        <v>4</v>
      </c>
      <c r="E217" s="176">
        <v>2025</v>
      </c>
      <c r="F217" s="176">
        <v>2025</v>
      </c>
      <c r="G217" s="175" t="s">
        <v>23</v>
      </c>
      <c r="H217" s="175" t="s">
        <v>96</v>
      </c>
      <c r="I217" s="175" t="s">
        <v>1042</v>
      </c>
      <c r="J217" s="177" t="s">
        <v>827</v>
      </c>
      <c r="K217" s="175" t="s">
        <v>826</v>
      </c>
      <c r="L217" s="175" t="s">
        <v>345</v>
      </c>
      <c r="M217" s="175" t="s">
        <v>346</v>
      </c>
      <c r="N217" s="175">
        <v>14</v>
      </c>
      <c r="O217" s="175" t="s">
        <v>1722</v>
      </c>
      <c r="P217" s="175" t="s">
        <v>859</v>
      </c>
      <c r="Q217" s="175" t="s">
        <v>385</v>
      </c>
      <c r="R217" s="175" t="s">
        <v>339</v>
      </c>
      <c r="S217" s="175" t="s">
        <v>19</v>
      </c>
      <c r="T217" s="175" t="s">
        <v>337</v>
      </c>
      <c r="U217" s="176">
        <v>20</v>
      </c>
      <c r="V217" s="176">
        <v>110</v>
      </c>
      <c r="W217" s="176">
        <v>12</v>
      </c>
      <c r="X217" s="179">
        <f t="shared" si="34"/>
        <v>122</v>
      </c>
      <c r="Y217" s="176">
        <v>5</v>
      </c>
      <c r="Z217" s="176" t="s">
        <v>20</v>
      </c>
      <c r="AA217" s="176" t="s">
        <v>18</v>
      </c>
      <c r="AB217" s="176" t="s">
        <v>20</v>
      </c>
      <c r="AC217" s="186" t="s">
        <v>21</v>
      </c>
      <c r="AD217" s="181" t="s">
        <v>2099</v>
      </c>
      <c r="AE217" s="179" t="s">
        <v>18</v>
      </c>
      <c r="AF217" s="191"/>
      <c r="AG217" s="174" t="s">
        <v>990</v>
      </c>
      <c r="AH217" s="179">
        <v>25</v>
      </c>
      <c r="AI217" s="179">
        <f>VLOOKUP(K217,[1]TRAMO!$A:$B,2,0)</f>
        <v>2</v>
      </c>
      <c r="AJ217" s="200">
        <f t="shared" si="35"/>
        <v>2440</v>
      </c>
      <c r="AK217" s="183">
        <f t="shared" si="36"/>
        <v>6372</v>
      </c>
      <c r="AL217" s="179">
        <f t="shared" si="42"/>
        <v>24.4</v>
      </c>
      <c r="AM217" s="183">
        <v>0</v>
      </c>
      <c r="AN217" s="183">
        <f t="shared" si="43"/>
        <v>2000000</v>
      </c>
      <c r="AO217" s="183">
        <f t="shared" si="37"/>
        <v>0</v>
      </c>
      <c r="AP217" s="183">
        <f t="shared" si="38"/>
        <v>5400000</v>
      </c>
      <c r="AQ217" s="183">
        <f t="shared" si="39"/>
        <v>15547680</v>
      </c>
      <c r="AR217" s="183"/>
      <c r="AS217" s="183">
        <f t="shared" si="40"/>
        <v>0</v>
      </c>
      <c r="AT217" s="183">
        <f t="shared" si="41"/>
        <v>22947680</v>
      </c>
      <c r="AU217" s="175" t="s">
        <v>1818</v>
      </c>
      <c r="AV217" s="175" t="s">
        <v>1751</v>
      </c>
      <c r="AW217" s="175" t="s">
        <v>1788</v>
      </c>
      <c r="AX217" s="175" t="s">
        <v>1789</v>
      </c>
    </row>
    <row r="218" spans="1:50" s="179" customFormat="1" ht="24.95" hidden="1" customHeight="1" x14ac:dyDescent="0.25">
      <c r="A218" s="175">
        <v>14305</v>
      </c>
      <c r="B218" s="175" t="s">
        <v>96</v>
      </c>
      <c r="C218" s="175" t="s">
        <v>39</v>
      </c>
      <c r="D218" s="176">
        <v>4</v>
      </c>
      <c r="E218" s="176">
        <v>2025</v>
      </c>
      <c r="F218" s="176">
        <v>2025</v>
      </c>
      <c r="G218" s="175" t="s">
        <v>23</v>
      </c>
      <c r="H218" s="175" t="s">
        <v>96</v>
      </c>
      <c r="I218" s="175" t="s">
        <v>1042</v>
      </c>
      <c r="J218" s="177" t="s">
        <v>2101</v>
      </c>
      <c r="K218" s="175" t="s">
        <v>2102</v>
      </c>
      <c r="L218" s="175" t="s">
        <v>345</v>
      </c>
      <c r="M218" s="175" t="s">
        <v>346</v>
      </c>
      <c r="N218" s="175">
        <v>1</v>
      </c>
      <c r="O218" s="175" t="s">
        <v>773</v>
      </c>
      <c r="P218" s="175" t="s">
        <v>876</v>
      </c>
      <c r="Q218" s="175" t="s">
        <v>385</v>
      </c>
      <c r="R218" s="175" t="s">
        <v>339</v>
      </c>
      <c r="S218" s="175" t="s">
        <v>19</v>
      </c>
      <c r="T218" s="175" t="s">
        <v>337</v>
      </c>
      <c r="U218" s="176">
        <v>10</v>
      </c>
      <c r="V218" s="176">
        <v>100</v>
      </c>
      <c r="W218" s="176">
        <v>12</v>
      </c>
      <c r="X218" s="179">
        <f t="shared" si="34"/>
        <v>112</v>
      </c>
      <c r="Y218" s="176">
        <v>5</v>
      </c>
      <c r="Z218" s="176" t="s">
        <v>20</v>
      </c>
      <c r="AA218" s="176" t="s">
        <v>18</v>
      </c>
      <c r="AB218" s="176" t="s">
        <v>20</v>
      </c>
      <c r="AC218" s="186" t="s">
        <v>21</v>
      </c>
      <c r="AD218" s="181" t="s">
        <v>2103</v>
      </c>
      <c r="AE218" s="179" t="s">
        <v>18</v>
      </c>
      <c r="AF218" s="191"/>
      <c r="AG218" s="174" t="s">
        <v>990</v>
      </c>
      <c r="AH218" s="179">
        <v>23</v>
      </c>
      <c r="AI218" s="179">
        <v>2</v>
      </c>
      <c r="AJ218" s="200">
        <f t="shared" si="35"/>
        <v>1120</v>
      </c>
      <c r="AK218" s="183">
        <f t="shared" si="36"/>
        <v>6372</v>
      </c>
      <c r="AL218" s="179">
        <f t="shared" si="42"/>
        <v>22.4</v>
      </c>
      <c r="AM218" s="183">
        <v>0</v>
      </c>
      <c r="AN218" s="183">
        <f t="shared" si="43"/>
        <v>920000</v>
      </c>
      <c r="AO218" s="183">
        <f t="shared" si="37"/>
        <v>0</v>
      </c>
      <c r="AP218" s="183">
        <f t="shared" si="38"/>
        <v>2700000</v>
      </c>
      <c r="AQ218" s="183">
        <f t="shared" si="39"/>
        <v>7136640</v>
      </c>
      <c r="AR218" s="183"/>
      <c r="AS218" s="183">
        <f t="shared" si="40"/>
        <v>0</v>
      </c>
      <c r="AT218" s="183">
        <f t="shared" si="41"/>
        <v>10756640</v>
      </c>
      <c r="AU218" s="175" t="s">
        <v>1750</v>
      </c>
      <c r="AV218" s="175" t="s">
        <v>1751</v>
      </c>
      <c r="AW218" s="175" t="s">
        <v>1788</v>
      </c>
      <c r="AX218" s="175" t="s">
        <v>1789</v>
      </c>
    </row>
    <row r="219" spans="1:50" s="179" customFormat="1" ht="24.95" hidden="1" customHeight="1" x14ac:dyDescent="0.25">
      <c r="A219" s="175">
        <v>14307</v>
      </c>
      <c r="B219" s="175" t="s">
        <v>96</v>
      </c>
      <c r="C219" s="175" t="s">
        <v>39</v>
      </c>
      <c r="D219" s="176">
        <v>4</v>
      </c>
      <c r="E219" s="176">
        <v>2025</v>
      </c>
      <c r="F219" s="176">
        <v>2025</v>
      </c>
      <c r="G219" s="175" t="s">
        <v>23</v>
      </c>
      <c r="H219" s="175" t="s">
        <v>96</v>
      </c>
      <c r="I219" s="175" t="s">
        <v>1042</v>
      </c>
      <c r="J219" s="177" t="s">
        <v>2101</v>
      </c>
      <c r="K219" s="175" t="s">
        <v>2102</v>
      </c>
      <c r="L219" s="175" t="s">
        <v>345</v>
      </c>
      <c r="M219" s="175" t="s">
        <v>346</v>
      </c>
      <c r="N219" s="175">
        <v>13</v>
      </c>
      <c r="O219" s="175" t="s">
        <v>382</v>
      </c>
      <c r="P219" s="175" t="s">
        <v>748</v>
      </c>
      <c r="Q219" s="175" t="s">
        <v>385</v>
      </c>
      <c r="R219" s="175" t="s">
        <v>339</v>
      </c>
      <c r="S219" s="175" t="s">
        <v>19</v>
      </c>
      <c r="T219" s="175" t="s">
        <v>337</v>
      </c>
      <c r="U219" s="176">
        <v>10</v>
      </c>
      <c r="V219" s="176">
        <v>100</v>
      </c>
      <c r="W219" s="176">
        <v>12</v>
      </c>
      <c r="X219" s="179">
        <f t="shared" si="34"/>
        <v>112</v>
      </c>
      <c r="Y219" s="176">
        <v>5</v>
      </c>
      <c r="Z219" s="176" t="s">
        <v>20</v>
      </c>
      <c r="AA219" s="176" t="s">
        <v>18</v>
      </c>
      <c r="AB219" s="176" t="s">
        <v>20</v>
      </c>
      <c r="AC219" s="186" t="s">
        <v>21</v>
      </c>
      <c r="AD219" s="181" t="s">
        <v>2104</v>
      </c>
      <c r="AE219" s="179" t="s">
        <v>18</v>
      </c>
      <c r="AF219" s="191"/>
      <c r="AG219" s="174" t="s">
        <v>990</v>
      </c>
      <c r="AH219" s="179">
        <v>23</v>
      </c>
      <c r="AI219" s="179">
        <v>2</v>
      </c>
      <c r="AJ219" s="200">
        <f t="shared" si="35"/>
        <v>1120</v>
      </c>
      <c r="AK219" s="183">
        <f t="shared" si="36"/>
        <v>6372</v>
      </c>
      <c r="AL219" s="179">
        <f t="shared" si="42"/>
        <v>22.4</v>
      </c>
      <c r="AM219" s="183">
        <v>0</v>
      </c>
      <c r="AN219" s="183">
        <f t="shared" si="43"/>
        <v>920000</v>
      </c>
      <c r="AO219" s="183">
        <f t="shared" si="37"/>
        <v>0</v>
      </c>
      <c r="AP219" s="183">
        <f t="shared" si="38"/>
        <v>2700000</v>
      </c>
      <c r="AQ219" s="183">
        <f t="shared" si="39"/>
        <v>7136640</v>
      </c>
      <c r="AR219" s="183"/>
      <c r="AS219" s="183">
        <f t="shared" si="40"/>
        <v>0</v>
      </c>
      <c r="AT219" s="183">
        <f t="shared" si="41"/>
        <v>10756640</v>
      </c>
      <c r="AU219" s="175" t="s">
        <v>1750</v>
      </c>
      <c r="AV219" s="175" t="s">
        <v>1751</v>
      </c>
      <c r="AW219" s="175" t="s">
        <v>1788</v>
      </c>
      <c r="AX219" s="175" t="s">
        <v>1789</v>
      </c>
    </row>
    <row r="220" spans="1:50" s="179" customFormat="1" ht="24.95" hidden="1" customHeight="1" x14ac:dyDescent="0.25">
      <c r="A220" s="175">
        <v>14308</v>
      </c>
      <c r="B220" s="175" t="s">
        <v>96</v>
      </c>
      <c r="C220" s="175" t="s">
        <v>39</v>
      </c>
      <c r="D220" s="176">
        <v>4</v>
      </c>
      <c r="E220" s="176">
        <v>2025</v>
      </c>
      <c r="F220" s="176">
        <v>2025</v>
      </c>
      <c r="G220" s="175" t="s">
        <v>23</v>
      </c>
      <c r="H220" s="175" t="s">
        <v>96</v>
      </c>
      <c r="I220" s="175" t="s">
        <v>1042</v>
      </c>
      <c r="J220" s="177" t="s">
        <v>772</v>
      </c>
      <c r="K220" s="175" t="s">
        <v>771</v>
      </c>
      <c r="L220" s="175" t="s">
        <v>345</v>
      </c>
      <c r="M220" s="175" t="s">
        <v>346</v>
      </c>
      <c r="N220" s="175">
        <v>5</v>
      </c>
      <c r="O220" s="175" t="s">
        <v>395</v>
      </c>
      <c r="P220" s="175" t="s">
        <v>2114</v>
      </c>
      <c r="Q220" s="175" t="s">
        <v>385</v>
      </c>
      <c r="R220" s="175" t="s">
        <v>339</v>
      </c>
      <c r="S220" s="175" t="s">
        <v>19</v>
      </c>
      <c r="T220" s="175" t="s">
        <v>337</v>
      </c>
      <c r="U220" s="176">
        <v>14</v>
      </c>
      <c r="V220" s="176">
        <v>100</v>
      </c>
      <c r="W220" s="176">
        <v>12</v>
      </c>
      <c r="X220" s="179">
        <f t="shared" si="34"/>
        <v>112</v>
      </c>
      <c r="Y220" s="176">
        <v>5</v>
      </c>
      <c r="Z220" s="176" t="s">
        <v>20</v>
      </c>
      <c r="AA220" s="176" t="s">
        <v>18</v>
      </c>
      <c r="AB220" s="176" t="s">
        <v>20</v>
      </c>
      <c r="AC220" s="186" t="s">
        <v>21</v>
      </c>
      <c r="AD220" s="181" t="s">
        <v>2115</v>
      </c>
      <c r="AE220" s="179" t="s">
        <v>18</v>
      </c>
      <c r="AF220" s="191"/>
      <c r="AG220" s="174" t="s">
        <v>990</v>
      </c>
      <c r="AH220" s="179">
        <v>23</v>
      </c>
      <c r="AI220" s="179">
        <f>VLOOKUP(K220,[1]TRAMO!$A:$B,2,0)</f>
        <v>2</v>
      </c>
      <c r="AJ220" s="200">
        <f t="shared" si="35"/>
        <v>1568</v>
      </c>
      <c r="AK220" s="183">
        <f t="shared" si="36"/>
        <v>6372</v>
      </c>
      <c r="AL220" s="179">
        <f t="shared" si="42"/>
        <v>22.4</v>
      </c>
      <c r="AM220" s="183">
        <v>0</v>
      </c>
      <c r="AN220" s="183">
        <f t="shared" si="43"/>
        <v>1288000</v>
      </c>
      <c r="AO220" s="183">
        <f t="shared" si="37"/>
        <v>0</v>
      </c>
      <c r="AP220" s="183">
        <f t="shared" si="38"/>
        <v>3780000</v>
      </c>
      <c r="AQ220" s="183">
        <f t="shared" si="39"/>
        <v>9991296</v>
      </c>
      <c r="AR220" s="183"/>
      <c r="AS220" s="183">
        <f t="shared" si="40"/>
        <v>0</v>
      </c>
      <c r="AT220" s="183">
        <f t="shared" si="41"/>
        <v>15059296</v>
      </c>
      <c r="AU220" s="175" t="s">
        <v>1818</v>
      </c>
      <c r="AV220" s="175" t="s">
        <v>1751</v>
      </c>
      <c r="AW220" s="175" t="s">
        <v>1788</v>
      </c>
      <c r="AX220" s="175" t="s">
        <v>1043</v>
      </c>
    </row>
    <row r="221" spans="1:50" s="179" customFormat="1" ht="24.95" hidden="1" customHeight="1" x14ac:dyDescent="0.25">
      <c r="A221" s="175">
        <v>14309</v>
      </c>
      <c r="B221" s="175" t="s">
        <v>96</v>
      </c>
      <c r="C221" s="175" t="s">
        <v>39</v>
      </c>
      <c r="D221" s="176">
        <v>4</v>
      </c>
      <c r="E221" s="176">
        <v>2025</v>
      </c>
      <c r="F221" s="176">
        <v>2025</v>
      </c>
      <c r="G221" s="175" t="s">
        <v>23</v>
      </c>
      <c r="H221" s="175" t="s">
        <v>96</v>
      </c>
      <c r="I221" s="175" t="s">
        <v>1042</v>
      </c>
      <c r="J221" s="177" t="s">
        <v>772</v>
      </c>
      <c r="K221" s="175" t="s">
        <v>771</v>
      </c>
      <c r="L221" s="175" t="s">
        <v>345</v>
      </c>
      <c r="M221" s="175" t="s">
        <v>346</v>
      </c>
      <c r="N221" s="175">
        <v>10</v>
      </c>
      <c r="O221" s="175" t="s">
        <v>706</v>
      </c>
      <c r="P221" s="175" t="s">
        <v>1014</v>
      </c>
      <c r="Q221" s="175" t="s">
        <v>385</v>
      </c>
      <c r="R221" s="175" t="s">
        <v>339</v>
      </c>
      <c r="S221" s="175" t="s">
        <v>19</v>
      </c>
      <c r="T221" s="175" t="s">
        <v>337</v>
      </c>
      <c r="U221" s="176">
        <v>12</v>
      </c>
      <c r="V221" s="176">
        <v>100</v>
      </c>
      <c r="W221" s="176">
        <v>12</v>
      </c>
      <c r="X221" s="179">
        <f t="shared" si="34"/>
        <v>112</v>
      </c>
      <c r="Y221" s="176">
        <v>5</v>
      </c>
      <c r="Z221" s="176" t="s">
        <v>20</v>
      </c>
      <c r="AA221" s="176" t="s">
        <v>18</v>
      </c>
      <c r="AB221" s="176" t="s">
        <v>20</v>
      </c>
      <c r="AC221" s="186" t="s">
        <v>21</v>
      </c>
      <c r="AD221" s="181" t="s">
        <v>2116</v>
      </c>
      <c r="AE221" s="179" t="s">
        <v>18</v>
      </c>
      <c r="AF221" s="191"/>
      <c r="AG221" s="174" t="s">
        <v>990</v>
      </c>
      <c r="AH221" s="179">
        <v>23</v>
      </c>
      <c r="AI221" s="179">
        <f>VLOOKUP(K221,[1]TRAMO!$A:$B,2,0)</f>
        <v>2</v>
      </c>
      <c r="AJ221" s="200">
        <f t="shared" si="35"/>
        <v>1344</v>
      </c>
      <c r="AK221" s="183">
        <f t="shared" si="36"/>
        <v>6372</v>
      </c>
      <c r="AL221" s="179">
        <f t="shared" si="42"/>
        <v>22.4</v>
      </c>
      <c r="AM221" s="183">
        <v>0</v>
      </c>
      <c r="AN221" s="183">
        <f t="shared" si="43"/>
        <v>1104000</v>
      </c>
      <c r="AO221" s="183">
        <f t="shared" si="37"/>
        <v>0</v>
      </c>
      <c r="AP221" s="183">
        <f t="shared" si="38"/>
        <v>3240000</v>
      </c>
      <c r="AQ221" s="183">
        <f t="shared" si="39"/>
        <v>8563968</v>
      </c>
      <c r="AR221" s="183"/>
      <c r="AS221" s="183">
        <f t="shared" si="40"/>
        <v>0</v>
      </c>
      <c r="AT221" s="183">
        <f t="shared" si="41"/>
        <v>12907968</v>
      </c>
      <c r="AU221" s="175" t="s">
        <v>1750</v>
      </c>
      <c r="AV221" s="175" t="s">
        <v>2117</v>
      </c>
      <c r="AW221" s="175" t="s">
        <v>1788</v>
      </c>
      <c r="AX221" s="175" t="s">
        <v>1789</v>
      </c>
    </row>
    <row r="222" spans="1:50" s="179" customFormat="1" ht="24.95" hidden="1" customHeight="1" x14ac:dyDescent="0.25">
      <c r="A222" s="175">
        <v>14293</v>
      </c>
      <c r="B222" s="175" t="s">
        <v>96</v>
      </c>
      <c r="C222" s="175" t="s">
        <v>39</v>
      </c>
      <c r="D222" s="176">
        <v>4</v>
      </c>
      <c r="E222" s="176">
        <v>2025</v>
      </c>
      <c r="F222" s="176">
        <v>2025</v>
      </c>
      <c r="G222" s="175" t="s">
        <v>23</v>
      </c>
      <c r="H222" s="175" t="s">
        <v>96</v>
      </c>
      <c r="I222" s="175" t="s">
        <v>1042</v>
      </c>
      <c r="J222" s="177" t="s">
        <v>2124</v>
      </c>
      <c r="K222" s="175" t="s">
        <v>2125</v>
      </c>
      <c r="L222" s="175" t="s">
        <v>345</v>
      </c>
      <c r="M222" s="175" t="s">
        <v>346</v>
      </c>
      <c r="N222" s="175">
        <v>13</v>
      </c>
      <c r="O222" s="175" t="s">
        <v>382</v>
      </c>
      <c r="P222" s="175" t="s">
        <v>717</v>
      </c>
      <c r="Q222" s="175" t="s">
        <v>1201</v>
      </c>
      <c r="R222" s="175" t="s">
        <v>339</v>
      </c>
      <c r="S222" s="175" t="s">
        <v>19</v>
      </c>
      <c r="T222" s="175" t="s">
        <v>337</v>
      </c>
      <c r="U222" s="176">
        <v>15</v>
      </c>
      <c r="V222" s="176">
        <v>140</v>
      </c>
      <c r="W222" s="176">
        <v>12</v>
      </c>
      <c r="X222" s="179">
        <f t="shared" si="34"/>
        <v>152</v>
      </c>
      <c r="Y222" s="176">
        <v>5</v>
      </c>
      <c r="Z222" s="176" t="s">
        <v>20</v>
      </c>
      <c r="AA222" s="176" t="s">
        <v>18</v>
      </c>
      <c r="AB222" s="176" t="s">
        <v>20</v>
      </c>
      <c r="AC222" s="186" t="s">
        <v>21</v>
      </c>
      <c r="AD222" s="181" t="s">
        <v>2126</v>
      </c>
      <c r="AE222" s="179" t="s">
        <v>18</v>
      </c>
      <c r="AF222" s="191"/>
      <c r="AG222" s="174" t="s">
        <v>990</v>
      </c>
      <c r="AH222" s="179">
        <v>31</v>
      </c>
      <c r="AI222" s="179">
        <v>1</v>
      </c>
      <c r="AJ222" s="200">
        <f t="shared" si="35"/>
        <v>2280</v>
      </c>
      <c r="AK222" s="183">
        <f t="shared" si="36"/>
        <v>5074</v>
      </c>
      <c r="AL222" s="179">
        <f t="shared" si="42"/>
        <v>30.4</v>
      </c>
      <c r="AM222" s="183">
        <v>0</v>
      </c>
      <c r="AN222" s="183">
        <f t="shared" si="43"/>
        <v>1860000</v>
      </c>
      <c r="AO222" s="183">
        <f t="shared" si="37"/>
        <v>0</v>
      </c>
      <c r="AP222" s="183">
        <f t="shared" si="38"/>
        <v>4050000</v>
      </c>
      <c r="AQ222" s="183">
        <f t="shared" si="39"/>
        <v>11568720</v>
      </c>
      <c r="AR222" s="183"/>
      <c r="AS222" s="183">
        <f t="shared" si="40"/>
        <v>0</v>
      </c>
      <c r="AT222" s="183">
        <f t="shared" si="41"/>
        <v>17478720</v>
      </c>
      <c r="AU222" s="175" t="s">
        <v>1818</v>
      </c>
      <c r="AV222" s="175" t="s">
        <v>1751</v>
      </c>
      <c r="AW222" s="175" t="s">
        <v>2080</v>
      </c>
      <c r="AX222" s="175" t="s">
        <v>2081</v>
      </c>
    </row>
    <row r="223" spans="1:50" s="179" customFormat="1" ht="24.95" hidden="1" customHeight="1" x14ac:dyDescent="0.25">
      <c r="A223" s="175">
        <v>14442</v>
      </c>
      <c r="B223" s="175" t="s">
        <v>96</v>
      </c>
      <c r="C223" s="175" t="s">
        <v>39</v>
      </c>
      <c r="D223" s="176">
        <v>4</v>
      </c>
      <c r="E223" s="176">
        <v>2025</v>
      </c>
      <c r="F223" s="176">
        <v>2025</v>
      </c>
      <c r="G223" s="175" t="s">
        <v>23</v>
      </c>
      <c r="H223" s="175" t="s">
        <v>96</v>
      </c>
      <c r="I223" s="175" t="s">
        <v>1042</v>
      </c>
      <c r="J223" s="177" t="s">
        <v>413</v>
      </c>
      <c r="K223" s="175" t="s">
        <v>414</v>
      </c>
      <c r="L223" s="175" t="s">
        <v>345</v>
      </c>
      <c r="M223" s="175" t="s">
        <v>346</v>
      </c>
      <c r="N223" s="175">
        <v>4</v>
      </c>
      <c r="O223" s="175" t="s">
        <v>415</v>
      </c>
      <c r="P223" s="175" t="s">
        <v>813</v>
      </c>
      <c r="Q223" s="175" t="s">
        <v>1201</v>
      </c>
      <c r="R223" s="175" t="s">
        <v>339</v>
      </c>
      <c r="S223" s="175" t="s">
        <v>19</v>
      </c>
      <c r="T223" s="175" t="s">
        <v>337</v>
      </c>
      <c r="U223" s="176">
        <v>15</v>
      </c>
      <c r="V223" s="176">
        <v>100</v>
      </c>
      <c r="W223" s="176">
        <v>12</v>
      </c>
      <c r="X223" s="179">
        <f t="shared" si="34"/>
        <v>112</v>
      </c>
      <c r="Y223" s="176">
        <v>5</v>
      </c>
      <c r="Z223" s="176" t="s">
        <v>20</v>
      </c>
      <c r="AA223" s="176" t="s">
        <v>18</v>
      </c>
      <c r="AB223" s="176" t="s">
        <v>20</v>
      </c>
      <c r="AC223" s="186" t="s">
        <v>21</v>
      </c>
      <c r="AD223" s="181" t="s">
        <v>2131</v>
      </c>
      <c r="AE223" s="179" t="s">
        <v>18</v>
      </c>
      <c r="AF223" s="191"/>
      <c r="AG223" s="174" t="s">
        <v>990</v>
      </c>
      <c r="AH223" s="179">
        <v>23</v>
      </c>
      <c r="AI223" s="179">
        <f>VLOOKUP(K223,[1]TRAMO!$A:$B,2,0)</f>
        <v>1</v>
      </c>
      <c r="AJ223" s="200">
        <f t="shared" si="35"/>
        <v>1680</v>
      </c>
      <c r="AK223" s="183">
        <f t="shared" si="36"/>
        <v>5074</v>
      </c>
      <c r="AL223" s="179">
        <f t="shared" si="42"/>
        <v>22.4</v>
      </c>
      <c r="AM223" s="183">
        <v>0</v>
      </c>
      <c r="AN223" s="183">
        <f t="shared" si="43"/>
        <v>1380000</v>
      </c>
      <c r="AO223" s="183">
        <f t="shared" si="37"/>
        <v>0</v>
      </c>
      <c r="AP223" s="183">
        <f t="shared" si="38"/>
        <v>4050000</v>
      </c>
      <c r="AQ223" s="183">
        <f t="shared" si="39"/>
        <v>8524320</v>
      </c>
      <c r="AR223" s="183"/>
      <c r="AS223" s="183">
        <f t="shared" si="40"/>
        <v>0</v>
      </c>
      <c r="AT223" s="183">
        <f t="shared" si="41"/>
        <v>13954320</v>
      </c>
      <c r="AU223" s="175" t="s">
        <v>1718</v>
      </c>
      <c r="AV223" s="175" t="s">
        <v>1719</v>
      </c>
      <c r="AW223" s="175" t="s">
        <v>1720</v>
      </c>
      <c r="AX223" s="175" t="s">
        <v>1721</v>
      </c>
    </row>
    <row r="224" spans="1:50" s="179" customFormat="1" ht="24.95" hidden="1" customHeight="1" x14ac:dyDescent="0.25">
      <c r="A224" s="175">
        <v>14454</v>
      </c>
      <c r="B224" s="175" t="s">
        <v>96</v>
      </c>
      <c r="C224" s="175" t="s">
        <v>39</v>
      </c>
      <c r="D224" s="176">
        <v>4</v>
      </c>
      <c r="E224" s="176">
        <v>2025</v>
      </c>
      <c r="F224" s="176">
        <v>2025</v>
      </c>
      <c r="G224" s="175" t="s">
        <v>23</v>
      </c>
      <c r="H224" s="175" t="s">
        <v>96</v>
      </c>
      <c r="I224" s="175" t="s">
        <v>1042</v>
      </c>
      <c r="J224" s="177" t="s">
        <v>413</v>
      </c>
      <c r="K224" s="175" t="s">
        <v>414</v>
      </c>
      <c r="L224" s="175" t="s">
        <v>345</v>
      </c>
      <c r="M224" s="175" t="s">
        <v>346</v>
      </c>
      <c r="N224" s="175">
        <v>7</v>
      </c>
      <c r="O224" s="175" t="s">
        <v>428</v>
      </c>
      <c r="P224" s="175" t="s">
        <v>1908</v>
      </c>
      <c r="Q224" s="175" t="s">
        <v>1201</v>
      </c>
      <c r="R224" s="175" t="s">
        <v>339</v>
      </c>
      <c r="S224" s="175" t="s">
        <v>19</v>
      </c>
      <c r="T224" s="175" t="s">
        <v>337</v>
      </c>
      <c r="U224" s="176">
        <v>10</v>
      </c>
      <c r="V224" s="176">
        <v>100</v>
      </c>
      <c r="W224" s="176">
        <v>12</v>
      </c>
      <c r="X224" s="179">
        <f t="shared" si="34"/>
        <v>112</v>
      </c>
      <c r="Y224" s="176">
        <v>5</v>
      </c>
      <c r="Z224" s="176" t="s">
        <v>20</v>
      </c>
      <c r="AA224" s="176" t="s">
        <v>18</v>
      </c>
      <c r="AB224" s="176" t="s">
        <v>20</v>
      </c>
      <c r="AC224" s="186" t="s">
        <v>21</v>
      </c>
      <c r="AD224" s="181" t="s">
        <v>2132</v>
      </c>
      <c r="AE224" s="179" t="s">
        <v>18</v>
      </c>
      <c r="AF224" s="191"/>
      <c r="AG224" s="174" t="s">
        <v>990</v>
      </c>
      <c r="AH224" s="179">
        <v>23</v>
      </c>
      <c r="AI224" s="179">
        <f>VLOOKUP(K224,[1]TRAMO!$A:$B,2,0)</f>
        <v>1</v>
      </c>
      <c r="AJ224" s="200">
        <f t="shared" si="35"/>
        <v>1120</v>
      </c>
      <c r="AK224" s="183">
        <f t="shared" si="36"/>
        <v>5074</v>
      </c>
      <c r="AL224" s="179">
        <f t="shared" si="42"/>
        <v>22.4</v>
      </c>
      <c r="AM224" s="183">
        <v>0</v>
      </c>
      <c r="AN224" s="183">
        <f t="shared" si="43"/>
        <v>920000</v>
      </c>
      <c r="AO224" s="183">
        <f t="shared" si="37"/>
        <v>0</v>
      </c>
      <c r="AP224" s="183">
        <f t="shared" si="38"/>
        <v>2700000</v>
      </c>
      <c r="AQ224" s="183">
        <f t="shared" si="39"/>
        <v>5682880</v>
      </c>
      <c r="AR224" s="183"/>
      <c r="AS224" s="183">
        <f t="shared" si="40"/>
        <v>0</v>
      </c>
      <c r="AT224" s="183">
        <f t="shared" si="41"/>
        <v>9302880</v>
      </c>
      <c r="AU224" s="175" t="s">
        <v>1718</v>
      </c>
      <c r="AV224" s="175" t="s">
        <v>1719</v>
      </c>
      <c r="AW224" s="175" t="s">
        <v>1720</v>
      </c>
      <c r="AX224" s="175" t="s">
        <v>1721</v>
      </c>
    </row>
    <row r="225" spans="1:50" s="179" customFormat="1" ht="24.95" hidden="1" customHeight="1" x14ac:dyDescent="0.25">
      <c r="A225" s="175">
        <v>14497</v>
      </c>
      <c r="B225" s="175" t="s">
        <v>96</v>
      </c>
      <c r="C225" s="175" t="s">
        <v>39</v>
      </c>
      <c r="D225" s="176">
        <v>4</v>
      </c>
      <c r="E225" s="176">
        <v>2025</v>
      </c>
      <c r="F225" s="176">
        <v>2025</v>
      </c>
      <c r="G225" s="175" t="s">
        <v>23</v>
      </c>
      <c r="H225" s="175" t="s">
        <v>96</v>
      </c>
      <c r="I225" s="175" t="s">
        <v>1042</v>
      </c>
      <c r="J225" s="177" t="s">
        <v>410</v>
      </c>
      <c r="K225" s="175" t="s">
        <v>411</v>
      </c>
      <c r="L225" s="175" t="s">
        <v>345</v>
      </c>
      <c r="M225" s="175" t="s">
        <v>346</v>
      </c>
      <c r="N225" s="175">
        <v>13</v>
      </c>
      <c r="O225" s="175" t="s">
        <v>382</v>
      </c>
      <c r="P225" s="175" t="s">
        <v>733</v>
      </c>
      <c r="Q225" s="175" t="s">
        <v>1201</v>
      </c>
      <c r="R225" s="175" t="s">
        <v>339</v>
      </c>
      <c r="S225" s="175" t="s">
        <v>19</v>
      </c>
      <c r="T225" s="175" t="s">
        <v>337</v>
      </c>
      <c r="U225" s="176">
        <v>10</v>
      </c>
      <c r="V225" s="176">
        <v>260</v>
      </c>
      <c r="W225" s="176">
        <v>12</v>
      </c>
      <c r="X225" s="179">
        <f t="shared" si="34"/>
        <v>272</v>
      </c>
      <c r="Y225" s="176">
        <v>5</v>
      </c>
      <c r="Z225" s="176" t="s">
        <v>20</v>
      </c>
      <c r="AA225" s="176" t="s">
        <v>18</v>
      </c>
      <c r="AB225" s="176" t="s">
        <v>20</v>
      </c>
      <c r="AC225" s="186" t="s">
        <v>21</v>
      </c>
      <c r="AD225" s="181" t="s">
        <v>2135</v>
      </c>
      <c r="AE225" s="179" t="s">
        <v>18</v>
      </c>
      <c r="AF225" s="191"/>
      <c r="AG225" s="174" t="s">
        <v>990</v>
      </c>
      <c r="AH225" s="179">
        <v>55</v>
      </c>
      <c r="AI225" s="179">
        <f>VLOOKUP(K225,[1]TRAMO!$A:$B,2,0)</f>
        <v>3</v>
      </c>
      <c r="AJ225" s="200">
        <f t="shared" si="35"/>
        <v>2720</v>
      </c>
      <c r="AK225" s="183">
        <f t="shared" si="36"/>
        <v>7434</v>
      </c>
      <c r="AL225" s="179">
        <f t="shared" si="42"/>
        <v>54.4</v>
      </c>
      <c r="AM225" s="183">
        <v>0</v>
      </c>
      <c r="AN225" s="183">
        <f t="shared" si="43"/>
        <v>2200000</v>
      </c>
      <c r="AO225" s="183">
        <f t="shared" si="37"/>
        <v>0</v>
      </c>
      <c r="AP225" s="183">
        <f t="shared" si="38"/>
        <v>2700000</v>
      </c>
      <c r="AQ225" s="183">
        <f t="shared" si="39"/>
        <v>20220480</v>
      </c>
      <c r="AR225" s="183"/>
      <c r="AS225" s="183">
        <f t="shared" si="40"/>
        <v>0</v>
      </c>
      <c r="AT225" s="183">
        <f t="shared" si="41"/>
        <v>25120480</v>
      </c>
      <c r="AU225" s="175" t="s">
        <v>1718</v>
      </c>
      <c r="AV225" s="175" t="s">
        <v>1719</v>
      </c>
      <c r="AW225" s="175" t="s">
        <v>1720</v>
      </c>
      <c r="AX225" s="175" t="s">
        <v>1721</v>
      </c>
    </row>
    <row r="226" spans="1:50" s="179" customFormat="1" ht="24.95" hidden="1" customHeight="1" x14ac:dyDescent="0.25">
      <c r="A226" s="175">
        <v>14482</v>
      </c>
      <c r="B226" s="175" t="s">
        <v>96</v>
      </c>
      <c r="C226" s="175" t="s">
        <v>39</v>
      </c>
      <c r="D226" s="176">
        <v>4</v>
      </c>
      <c r="E226" s="176">
        <v>2025</v>
      </c>
      <c r="F226" s="176">
        <v>2025</v>
      </c>
      <c r="G226" s="175" t="s">
        <v>23</v>
      </c>
      <c r="H226" s="175" t="s">
        <v>96</v>
      </c>
      <c r="I226" s="175" t="s">
        <v>1042</v>
      </c>
      <c r="J226" s="177" t="s">
        <v>1032</v>
      </c>
      <c r="K226" s="175" t="s">
        <v>1033</v>
      </c>
      <c r="L226" s="175" t="s">
        <v>345</v>
      </c>
      <c r="M226" s="175" t="s">
        <v>346</v>
      </c>
      <c r="N226" s="175">
        <v>8</v>
      </c>
      <c r="O226" s="175" t="s">
        <v>709</v>
      </c>
      <c r="P226" s="175" t="s">
        <v>1479</v>
      </c>
      <c r="Q226" s="175" t="s">
        <v>1201</v>
      </c>
      <c r="R226" s="175" t="s">
        <v>339</v>
      </c>
      <c r="S226" s="175" t="s">
        <v>19</v>
      </c>
      <c r="T226" s="175" t="s">
        <v>337</v>
      </c>
      <c r="U226" s="176">
        <v>15</v>
      </c>
      <c r="V226" s="176">
        <v>120</v>
      </c>
      <c r="W226" s="176">
        <v>12</v>
      </c>
      <c r="X226" s="179">
        <f t="shared" si="34"/>
        <v>132</v>
      </c>
      <c r="Y226" s="176">
        <v>5</v>
      </c>
      <c r="Z226" s="176" t="s">
        <v>20</v>
      </c>
      <c r="AA226" s="176" t="s">
        <v>18</v>
      </c>
      <c r="AB226" s="176" t="s">
        <v>20</v>
      </c>
      <c r="AC226" s="186" t="s">
        <v>21</v>
      </c>
      <c r="AD226" s="181" t="s">
        <v>2137</v>
      </c>
      <c r="AE226" s="179" t="s">
        <v>18</v>
      </c>
      <c r="AF226" s="191"/>
      <c r="AG226" s="174" t="s">
        <v>990</v>
      </c>
      <c r="AH226" s="179">
        <v>27</v>
      </c>
      <c r="AI226" s="179">
        <f>VLOOKUP(K226,[1]TRAMO!$A:$B,2,0)</f>
        <v>2</v>
      </c>
      <c r="AJ226" s="200">
        <f t="shared" si="35"/>
        <v>1980</v>
      </c>
      <c r="AK226" s="183">
        <f t="shared" si="36"/>
        <v>6372</v>
      </c>
      <c r="AL226" s="179">
        <f t="shared" si="42"/>
        <v>26.4</v>
      </c>
      <c r="AM226" s="183">
        <v>0</v>
      </c>
      <c r="AN226" s="183">
        <f t="shared" si="43"/>
        <v>1620000</v>
      </c>
      <c r="AO226" s="183">
        <f t="shared" si="37"/>
        <v>0</v>
      </c>
      <c r="AP226" s="183">
        <f t="shared" si="38"/>
        <v>4050000</v>
      </c>
      <c r="AQ226" s="183">
        <f t="shared" si="39"/>
        <v>12616560</v>
      </c>
      <c r="AR226" s="183"/>
      <c r="AS226" s="183">
        <f t="shared" si="40"/>
        <v>0</v>
      </c>
      <c r="AT226" s="183">
        <f t="shared" si="41"/>
        <v>18286560</v>
      </c>
      <c r="AU226" s="175" t="s">
        <v>1718</v>
      </c>
      <c r="AV226" s="175" t="s">
        <v>1719</v>
      </c>
      <c r="AW226" s="175" t="s">
        <v>1720</v>
      </c>
      <c r="AX226" s="175" t="s">
        <v>1721</v>
      </c>
    </row>
    <row r="227" spans="1:50" s="179" customFormat="1" ht="24.95" hidden="1" customHeight="1" x14ac:dyDescent="0.25">
      <c r="A227" s="175">
        <v>14282</v>
      </c>
      <c r="B227" s="175" t="s">
        <v>96</v>
      </c>
      <c r="C227" s="175" t="s">
        <v>39</v>
      </c>
      <c r="D227" s="176">
        <v>4</v>
      </c>
      <c r="E227" s="176">
        <v>2025</v>
      </c>
      <c r="F227" s="176">
        <v>2025</v>
      </c>
      <c r="G227" s="175" t="s">
        <v>23</v>
      </c>
      <c r="H227" s="175" t="s">
        <v>96</v>
      </c>
      <c r="I227" s="175" t="s">
        <v>1042</v>
      </c>
      <c r="J227" s="177" t="s">
        <v>851</v>
      </c>
      <c r="K227" s="175" t="s">
        <v>850</v>
      </c>
      <c r="L227" s="175" t="s">
        <v>345</v>
      </c>
      <c r="M227" s="175" t="s">
        <v>346</v>
      </c>
      <c r="N227" s="175">
        <v>7</v>
      </c>
      <c r="O227" s="175" t="s">
        <v>428</v>
      </c>
      <c r="P227" s="175" t="s">
        <v>430</v>
      </c>
      <c r="Q227" s="175" t="s">
        <v>385</v>
      </c>
      <c r="R227" s="175" t="s">
        <v>339</v>
      </c>
      <c r="S227" s="175" t="s">
        <v>19</v>
      </c>
      <c r="T227" s="175" t="s">
        <v>337</v>
      </c>
      <c r="U227" s="176">
        <v>20</v>
      </c>
      <c r="V227" s="176">
        <v>140</v>
      </c>
      <c r="W227" s="176">
        <v>12</v>
      </c>
      <c r="X227" s="179">
        <f t="shared" si="34"/>
        <v>152</v>
      </c>
      <c r="Y227" s="176">
        <v>5</v>
      </c>
      <c r="Z227" s="176" t="s">
        <v>20</v>
      </c>
      <c r="AA227" s="176" t="s">
        <v>18</v>
      </c>
      <c r="AB227" s="176" t="s">
        <v>20</v>
      </c>
      <c r="AC227" s="186" t="s">
        <v>21</v>
      </c>
      <c r="AD227" s="181" t="s">
        <v>2150</v>
      </c>
      <c r="AE227" s="179" t="s">
        <v>18</v>
      </c>
      <c r="AF227" s="191"/>
      <c r="AG227" s="174" t="s">
        <v>990</v>
      </c>
      <c r="AH227" s="179">
        <v>31</v>
      </c>
      <c r="AI227" s="179">
        <f>VLOOKUP(K227,[1]TRAMO!$A:$B,2,0)</f>
        <v>2</v>
      </c>
      <c r="AJ227" s="200">
        <f t="shared" si="35"/>
        <v>3040</v>
      </c>
      <c r="AK227" s="183">
        <f t="shared" si="36"/>
        <v>6372</v>
      </c>
      <c r="AL227" s="179">
        <f t="shared" si="42"/>
        <v>30.4</v>
      </c>
      <c r="AM227" s="183">
        <v>0</v>
      </c>
      <c r="AN227" s="183">
        <f t="shared" si="43"/>
        <v>2480000</v>
      </c>
      <c r="AO227" s="183">
        <f t="shared" si="37"/>
        <v>0</v>
      </c>
      <c r="AP227" s="183">
        <f t="shared" si="38"/>
        <v>5400000</v>
      </c>
      <c r="AQ227" s="183">
        <f t="shared" si="39"/>
        <v>19370880</v>
      </c>
      <c r="AR227" s="183"/>
      <c r="AS227" s="183">
        <f t="shared" si="40"/>
        <v>0</v>
      </c>
      <c r="AT227" s="183">
        <f t="shared" si="41"/>
        <v>27250880</v>
      </c>
      <c r="AU227" s="175" t="s">
        <v>1818</v>
      </c>
      <c r="AV227" s="175" t="s">
        <v>1751</v>
      </c>
      <c r="AW227" s="175" t="s">
        <v>1788</v>
      </c>
      <c r="AX227" s="175" t="s">
        <v>1789</v>
      </c>
    </row>
    <row r="228" spans="1:50" s="179" customFormat="1" ht="24.95" hidden="1" customHeight="1" x14ac:dyDescent="0.25">
      <c r="A228" s="175">
        <v>14322</v>
      </c>
      <c r="B228" s="175" t="s">
        <v>96</v>
      </c>
      <c r="C228" s="175" t="s">
        <v>39</v>
      </c>
      <c r="D228" s="176">
        <v>4</v>
      </c>
      <c r="E228" s="176">
        <v>2025</v>
      </c>
      <c r="F228" s="176">
        <v>2025</v>
      </c>
      <c r="G228" s="175" t="s">
        <v>23</v>
      </c>
      <c r="H228" s="175" t="s">
        <v>96</v>
      </c>
      <c r="I228" s="175" t="s">
        <v>1042</v>
      </c>
      <c r="J228" s="177" t="s">
        <v>851</v>
      </c>
      <c r="K228" s="175" t="s">
        <v>850</v>
      </c>
      <c r="L228" s="175" t="s">
        <v>345</v>
      </c>
      <c r="M228" s="175" t="s">
        <v>346</v>
      </c>
      <c r="N228" s="175">
        <v>8</v>
      </c>
      <c r="O228" s="175" t="s">
        <v>709</v>
      </c>
      <c r="P228" s="175" t="s">
        <v>2151</v>
      </c>
      <c r="Q228" s="175" t="s">
        <v>385</v>
      </c>
      <c r="R228" s="175" t="s">
        <v>339</v>
      </c>
      <c r="S228" s="175" t="s">
        <v>19</v>
      </c>
      <c r="T228" s="175" t="s">
        <v>337</v>
      </c>
      <c r="U228" s="176">
        <v>15</v>
      </c>
      <c r="V228" s="176">
        <v>140</v>
      </c>
      <c r="W228" s="176">
        <v>12</v>
      </c>
      <c r="X228" s="179">
        <f t="shared" si="34"/>
        <v>152</v>
      </c>
      <c r="Y228" s="176">
        <v>5</v>
      </c>
      <c r="Z228" s="176" t="s">
        <v>20</v>
      </c>
      <c r="AA228" s="176" t="s">
        <v>18</v>
      </c>
      <c r="AB228" s="176" t="s">
        <v>20</v>
      </c>
      <c r="AC228" s="186" t="s">
        <v>21</v>
      </c>
      <c r="AD228" s="181" t="s">
        <v>2152</v>
      </c>
      <c r="AE228" s="179" t="s">
        <v>18</v>
      </c>
      <c r="AF228" s="191"/>
      <c r="AG228" s="174" t="s">
        <v>990</v>
      </c>
      <c r="AH228" s="179">
        <v>31</v>
      </c>
      <c r="AI228" s="179">
        <f>VLOOKUP(K228,[1]TRAMO!$A:$B,2,0)</f>
        <v>2</v>
      </c>
      <c r="AJ228" s="200">
        <f t="shared" si="35"/>
        <v>2280</v>
      </c>
      <c r="AK228" s="183">
        <f t="shared" si="36"/>
        <v>6372</v>
      </c>
      <c r="AL228" s="179">
        <f t="shared" si="42"/>
        <v>30.4</v>
      </c>
      <c r="AM228" s="183">
        <v>0</v>
      </c>
      <c r="AN228" s="183">
        <f t="shared" si="43"/>
        <v>1860000</v>
      </c>
      <c r="AO228" s="183">
        <f t="shared" si="37"/>
        <v>0</v>
      </c>
      <c r="AP228" s="183">
        <f t="shared" si="38"/>
        <v>4050000</v>
      </c>
      <c r="AQ228" s="183">
        <f t="shared" si="39"/>
        <v>14528160</v>
      </c>
      <c r="AR228" s="183"/>
      <c r="AS228" s="183">
        <f t="shared" si="40"/>
        <v>0</v>
      </c>
      <c r="AT228" s="183">
        <f t="shared" si="41"/>
        <v>20438160</v>
      </c>
      <c r="AU228" s="175" t="s">
        <v>1818</v>
      </c>
      <c r="AV228" s="175" t="s">
        <v>1751</v>
      </c>
      <c r="AW228" s="175" t="s">
        <v>1788</v>
      </c>
      <c r="AX228" s="175" t="s">
        <v>1789</v>
      </c>
    </row>
    <row r="229" spans="1:50" s="179" customFormat="1" ht="24.95" hidden="1" customHeight="1" x14ac:dyDescent="0.25">
      <c r="A229" s="175">
        <v>14491</v>
      </c>
      <c r="B229" s="175" t="s">
        <v>96</v>
      </c>
      <c r="C229" s="175" t="s">
        <v>39</v>
      </c>
      <c r="D229" s="176">
        <v>4</v>
      </c>
      <c r="E229" s="176">
        <v>2025</v>
      </c>
      <c r="F229" s="176">
        <v>2025</v>
      </c>
      <c r="G229" s="175" t="s">
        <v>23</v>
      </c>
      <c r="H229" s="175" t="s">
        <v>96</v>
      </c>
      <c r="I229" s="175" t="s">
        <v>1042</v>
      </c>
      <c r="J229" s="177" t="s">
        <v>2188</v>
      </c>
      <c r="K229" s="175" t="s">
        <v>992</v>
      </c>
      <c r="L229" s="175" t="s">
        <v>345</v>
      </c>
      <c r="M229" s="175" t="s">
        <v>346</v>
      </c>
      <c r="N229" s="175">
        <v>13</v>
      </c>
      <c r="O229" s="175" t="s">
        <v>382</v>
      </c>
      <c r="P229" s="175" t="s">
        <v>793</v>
      </c>
      <c r="Q229" s="175" t="s">
        <v>1201</v>
      </c>
      <c r="R229" s="175" t="s">
        <v>339</v>
      </c>
      <c r="S229" s="175" t="s">
        <v>19</v>
      </c>
      <c r="T229" s="175" t="s">
        <v>337</v>
      </c>
      <c r="U229" s="176">
        <v>15</v>
      </c>
      <c r="V229" s="176">
        <v>80</v>
      </c>
      <c r="W229" s="176">
        <v>12</v>
      </c>
      <c r="X229" s="179">
        <f t="shared" si="34"/>
        <v>92</v>
      </c>
      <c r="Y229" s="176">
        <v>5</v>
      </c>
      <c r="Z229" s="176" t="s">
        <v>20</v>
      </c>
      <c r="AA229" s="176" t="s">
        <v>18</v>
      </c>
      <c r="AB229" s="176" t="s">
        <v>20</v>
      </c>
      <c r="AC229" s="186" t="s">
        <v>2189</v>
      </c>
      <c r="AD229" s="181" t="s">
        <v>1915</v>
      </c>
      <c r="AE229" s="179" t="s">
        <v>18</v>
      </c>
      <c r="AF229" s="191"/>
      <c r="AG229" s="174" t="s">
        <v>990</v>
      </c>
      <c r="AH229" s="179">
        <v>19</v>
      </c>
      <c r="AI229" s="179">
        <v>1</v>
      </c>
      <c r="AJ229" s="200">
        <f t="shared" si="35"/>
        <v>1380</v>
      </c>
      <c r="AK229" s="183">
        <f t="shared" si="36"/>
        <v>5074</v>
      </c>
      <c r="AL229" s="179">
        <f t="shared" si="42"/>
        <v>18.399999999999999</v>
      </c>
      <c r="AM229" s="183">
        <v>0</v>
      </c>
      <c r="AN229" s="183">
        <f t="shared" si="43"/>
        <v>1140000</v>
      </c>
      <c r="AO229" s="183">
        <f t="shared" si="37"/>
        <v>0</v>
      </c>
      <c r="AP229" s="183">
        <f t="shared" si="38"/>
        <v>4050000</v>
      </c>
      <c r="AQ229" s="183">
        <f t="shared" si="39"/>
        <v>7002120</v>
      </c>
      <c r="AR229" s="183"/>
      <c r="AS229" s="183">
        <f t="shared" si="40"/>
        <v>0</v>
      </c>
      <c r="AT229" s="183">
        <f t="shared" si="41"/>
        <v>12192120</v>
      </c>
      <c r="AU229" s="175" t="s">
        <v>1718</v>
      </c>
      <c r="AV229" s="175" t="s">
        <v>1719</v>
      </c>
      <c r="AW229" s="175" t="s">
        <v>1720</v>
      </c>
      <c r="AX229" s="175" t="s">
        <v>1721</v>
      </c>
    </row>
    <row r="230" spans="1:50" s="179" customFormat="1" ht="24.95" hidden="1" customHeight="1" x14ac:dyDescent="0.25">
      <c r="A230" s="175">
        <v>14486</v>
      </c>
      <c r="B230" s="175" t="s">
        <v>96</v>
      </c>
      <c r="C230" s="175" t="s">
        <v>39</v>
      </c>
      <c r="D230" s="176">
        <v>4</v>
      </c>
      <c r="E230" s="176">
        <v>2025</v>
      </c>
      <c r="F230" s="176">
        <v>2025</v>
      </c>
      <c r="G230" s="175" t="s">
        <v>23</v>
      </c>
      <c r="H230" s="175" t="s">
        <v>96</v>
      </c>
      <c r="I230" s="175" t="s">
        <v>1042</v>
      </c>
      <c r="J230" s="177" t="s">
        <v>2190</v>
      </c>
      <c r="K230" s="175" t="s">
        <v>992</v>
      </c>
      <c r="L230" s="175" t="s">
        <v>345</v>
      </c>
      <c r="M230" s="175" t="s">
        <v>346</v>
      </c>
      <c r="N230" s="175">
        <v>13</v>
      </c>
      <c r="O230" s="175" t="s">
        <v>382</v>
      </c>
      <c r="P230" s="175" t="s">
        <v>412</v>
      </c>
      <c r="Q230" s="175" t="s">
        <v>1201</v>
      </c>
      <c r="R230" s="175" t="s">
        <v>339</v>
      </c>
      <c r="S230" s="175" t="s">
        <v>19</v>
      </c>
      <c r="T230" s="175" t="s">
        <v>337</v>
      </c>
      <c r="U230" s="176">
        <v>15</v>
      </c>
      <c r="V230" s="176">
        <v>80</v>
      </c>
      <c r="W230" s="176">
        <v>12</v>
      </c>
      <c r="X230" s="179">
        <f t="shared" si="34"/>
        <v>92</v>
      </c>
      <c r="Y230" s="176">
        <v>5</v>
      </c>
      <c r="Z230" s="176" t="s">
        <v>20</v>
      </c>
      <c r="AA230" s="176" t="s">
        <v>18</v>
      </c>
      <c r="AB230" s="176" t="s">
        <v>20</v>
      </c>
      <c r="AC230" s="186" t="s">
        <v>2189</v>
      </c>
      <c r="AD230" s="181" t="s">
        <v>2191</v>
      </c>
      <c r="AE230" s="179" t="s">
        <v>18</v>
      </c>
      <c r="AF230" s="191"/>
      <c r="AG230" s="174" t="s">
        <v>990</v>
      </c>
      <c r="AH230" s="179">
        <v>19</v>
      </c>
      <c r="AI230" s="179">
        <v>1</v>
      </c>
      <c r="AJ230" s="200">
        <f t="shared" si="35"/>
        <v>1380</v>
      </c>
      <c r="AK230" s="183">
        <f t="shared" si="36"/>
        <v>5074</v>
      </c>
      <c r="AL230" s="179">
        <f t="shared" si="42"/>
        <v>18.399999999999999</v>
      </c>
      <c r="AM230" s="183">
        <v>0</v>
      </c>
      <c r="AN230" s="183">
        <f t="shared" si="43"/>
        <v>1140000</v>
      </c>
      <c r="AO230" s="183">
        <f t="shared" si="37"/>
        <v>0</v>
      </c>
      <c r="AP230" s="183">
        <f t="shared" si="38"/>
        <v>4050000</v>
      </c>
      <c r="AQ230" s="183">
        <f t="shared" si="39"/>
        <v>7002120</v>
      </c>
      <c r="AR230" s="183"/>
      <c r="AS230" s="183">
        <f t="shared" si="40"/>
        <v>0</v>
      </c>
      <c r="AT230" s="183">
        <f t="shared" si="41"/>
        <v>12192120</v>
      </c>
      <c r="AU230" s="175" t="s">
        <v>1718</v>
      </c>
      <c r="AV230" s="175" t="s">
        <v>1719</v>
      </c>
      <c r="AW230" s="175" t="s">
        <v>1720</v>
      </c>
      <c r="AX230" s="175" t="s">
        <v>1721</v>
      </c>
    </row>
    <row r="231" spans="1:50" s="179" customFormat="1" ht="24.95" hidden="1" customHeight="1" x14ac:dyDescent="0.25">
      <c r="A231" s="175">
        <v>14489</v>
      </c>
      <c r="B231" s="175" t="s">
        <v>96</v>
      </c>
      <c r="C231" s="175" t="s">
        <v>39</v>
      </c>
      <c r="D231" s="176">
        <v>4</v>
      </c>
      <c r="E231" s="176">
        <v>2025</v>
      </c>
      <c r="F231" s="176">
        <v>2025</v>
      </c>
      <c r="G231" s="175" t="s">
        <v>23</v>
      </c>
      <c r="H231" s="175" t="s">
        <v>96</v>
      </c>
      <c r="I231" s="175" t="s">
        <v>1042</v>
      </c>
      <c r="J231" s="177" t="s">
        <v>2190</v>
      </c>
      <c r="K231" s="175" t="s">
        <v>992</v>
      </c>
      <c r="L231" s="175" t="s">
        <v>345</v>
      </c>
      <c r="M231" s="175" t="s">
        <v>346</v>
      </c>
      <c r="N231" s="175">
        <v>13</v>
      </c>
      <c r="O231" s="175" t="s">
        <v>382</v>
      </c>
      <c r="P231" s="175" t="s">
        <v>781</v>
      </c>
      <c r="Q231" s="175" t="s">
        <v>1201</v>
      </c>
      <c r="R231" s="175" t="s">
        <v>339</v>
      </c>
      <c r="S231" s="175" t="s">
        <v>19</v>
      </c>
      <c r="T231" s="175" t="s">
        <v>337</v>
      </c>
      <c r="U231" s="176">
        <v>15</v>
      </c>
      <c r="V231" s="176">
        <v>80</v>
      </c>
      <c r="W231" s="176">
        <v>12</v>
      </c>
      <c r="X231" s="179">
        <f t="shared" si="34"/>
        <v>92</v>
      </c>
      <c r="Y231" s="176">
        <v>5</v>
      </c>
      <c r="Z231" s="176" t="s">
        <v>20</v>
      </c>
      <c r="AA231" s="176" t="s">
        <v>18</v>
      </c>
      <c r="AB231" s="176" t="s">
        <v>20</v>
      </c>
      <c r="AC231" s="186" t="s">
        <v>2192</v>
      </c>
      <c r="AD231" s="181" t="s">
        <v>2193</v>
      </c>
      <c r="AE231" s="179" t="s">
        <v>18</v>
      </c>
      <c r="AF231" s="191"/>
      <c r="AG231" s="174" t="s">
        <v>990</v>
      </c>
      <c r="AH231" s="179">
        <v>19</v>
      </c>
      <c r="AI231" s="179">
        <v>1</v>
      </c>
      <c r="AJ231" s="200">
        <f t="shared" si="35"/>
        <v>1380</v>
      </c>
      <c r="AK231" s="183">
        <f t="shared" si="36"/>
        <v>5074</v>
      </c>
      <c r="AL231" s="179">
        <f t="shared" si="42"/>
        <v>18.399999999999999</v>
      </c>
      <c r="AM231" s="183">
        <v>0</v>
      </c>
      <c r="AN231" s="183">
        <f t="shared" si="43"/>
        <v>1140000</v>
      </c>
      <c r="AO231" s="183">
        <f t="shared" si="37"/>
        <v>0</v>
      </c>
      <c r="AP231" s="183">
        <f t="shared" si="38"/>
        <v>4050000</v>
      </c>
      <c r="AQ231" s="183">
        <f t="shared" si="39"/>
        <v>7002120</v>
      </c>
      <c r="AR231" s="183"/>
      <c r="AS231" s="183">
        <f t="shared" si="40"/>
        <v>0</v>
      </c>
      <c r="AT231" s="183">
        <f t="shared" si="41"/>
        <v>12192120</v>
      </c>
      <c r="AU231" s="175" t="s">
        <v>1718</v>
      </c>
      <c r="AV231" s="175" t="s">
        <v>1719</v>
      </c>
      <c r="AW231" s="175" t="s">
        <v>1720</v>
      </c>
      <c r="AX231" s="175" t="s">
        <v>1721</v>
      </c>
    </row>
    <row r="232" spans="1:50" s="179" customFormat="1" ht="24.95" hidden="1" customHeight="1" x14ac:dyDescent="0.25">
      <c r="A232" s="175">
        <v>14494</v>
      </c>
      <c r="B232" s="175" t="s">
        <v>96</v>
      </c>
      <c r="C232" s="175" t="s">
        <v>39</v>
      </c>
      <c r="D232" s="176">
        <v>4</v>
      </c>
      <c r="E232" s="176">
        <v>2025</v>
      </c>
      <c r="F232" s="176">
        <v>2025</v>
      </c>
      <c r="G232" s="175" t="s">
        <v>23</v>
      </c>
      <c r="H232" s="175" t="s">
        <v>96</v>
      </c>
      <c r="I232" s="175" t="s">
        <v>1042</v>
      </c>
      <c r="J232" s="177" t="s">
        <v>2190</v>
      </c>
      <c r="K232" s="175" t="s">
        <v>992</v>
      </c>
      <c r="L232" s="175" t="s">
        <v>345</v>
      </c>
      <c r="M232" s="175" t="s">
        <v>346</v>
      </c>
      <c r="N232" s="175">
        <v>13</v>
      </c>
      <c r="O232" s="175" t="s">
        <v>382</v>
      </c>
      <c r="P232" s="175" t="s">
        <v>2194</v>
      </c>
      <c r="Q232" s="175" t="s">
        <v>1201</v>
      </c>
      <c r="R232" s="175" t="s">
        <v>339</v>
      </c>
      <c r="S232" s="175" t="s">
        <v>19</v>
      </c>
      <c r="T232" s="175" t="s">
        <v>337</v>
      </c>
      <c r="U232" s="176">
        <v>15</v>
      </c>
      <c r="V232" s="176">
        <v>80</v>
      </c>
      <c r="W232" s="176">
        <v>12</v>
      </c>
      <c r="X232" s="179">
        <f t="shared" si="34"/>
        <v>92</v>
      </c>
      <c r="Y232" s="176">
        <v>5</v>
      </c>
      <c r="Z232" s="176" t="s">
        <v>20</v>
      </c>
      <c r="AA232" s="176" t="s">
        <v>18</v>
      </c>
      <c r="AB232" s="176" t="s">
        <v>20</v>
      </c>
      <c r="AC232" s="186" t="s">
        <v>2192</v>
      </c>
      <c r="AD232" s="181" t="s">
        <v>2195</v>
      </c>
      <c r="AE232" s="179" t="s">
        <v>18</v>
      </c>
      <c r="AF232" s="191"/>
      <c r="AG232" s="174" t="s">
        <v>990</v>
      </c>
      <c r="AH232" s="179">
        <v>19</v>
      </c>
      <c r="AI232" s="179">
        <v>1</v>
      </c>
      <c r="AJ232" s="200">
        <f t="shared" si="35"/>
        <v>1380</v>
      </c>
      <c r="AK232" s="183">
        <f t="shared" si="36"/>
        <v>5074</v>
      </c>
      <c r="AL232" s="179">
        <f t="shared" si="42"/>
        <v>18.399999999999999</v>
      </c>
      <c r="AM232" s="183">
        <v>0</v>
      </c>
      <c r="AN232" s="183">
        <f t="shared" si="43"/>
        <v>1140000</v>
      </c>
      <c r="AO232" s="183">
        <f t="shared" si="37"/>
        <v>0</v>
      </c>
      <c r="AP232" s="183">
        <f t="shared" si="38"/>
        <v>4050000</v>
      </c>
      <c r="AQ232" s="183">
        <f t="shared" si="39"/>
        <v>7002120</v>
      </c>
      <c r="AR232" s="183"/>
      <c r="AS232" s="183">
        <f t="shared" si="40"/>
        <v>0</v>
      </c>
      <c r="AT232" s="183">
        <f t="shared" si="41"/>
        <v>12192120</v>
      </c>
      <c r="AU232" s="175" t="s">
        <v>1718</v>
      </c>
      <c r="AV232" s="175" t="s">
        <v>1719</v>
      </c>
      <c r="AW232" s="175" t="s">
        <v>1720</v>
      </c>
      <c r="AX232" s="175" t="s">
        <v>1721</v>
      </c>
    </row>
    <row r="233" spans="1:50" s="179" customFormat="1" ht="24.95" hidden="1" customHeight="1" x14ac:dyDescent="0.25">
      <c r="A233" s="175">
        <v>14447</v>
      </c>
      <c r="B233" s="175" t="s">
        <v>96</v>
      </c>
      <c r="C233" s="175" t="s">
        <v>39</v>
      </c>
      <c r="D233" s="176">
        <v>4</v>
      </c>
      <c r="E233" s="176">
        <v>2025</v>
      </c>
      <c r="F233" s="176">
        <v>2025</v>
      </c>
      <c r="G233" s="175" t="s">
        <v>23</v>
      </c>
      <c r="H233" s="175" t="s">
        <v>96</v>
      </c>
      <c r="I233" s="175" t="s">
        <v>1042</v>
      </c>
      <c r="J233" s="177" t="s">
        <v>2196</v>
      </c>
      <c r="K233" s="175" t="s">
        <v>992</v>
      </c>
      <c r="L233" s="175" t="s">
        <v>345</v>
      </c>
      <c r="M233" s="175" t="s">
        <v>346</v>
      </c>
      <c r="N233" s="175">
        <v>5</v>
      </c>
      <c r="O233" s="175" t="s">
        <v>395</v>
      </c>
      <c r="P233" s="175" t="s">
        <v>886</v>
      </c>
      <c r="Q233" s="175" t="s">
        <v>1201</v>
      </c>
      <c r="R233" s="175" t="s">
        <v>339</v>
      </c>
      <c r="S233" s="175" t="s">
        <v>19</v>
      </c>
      <c r="T233" s="175" t="s">
        <v>337</v>
      </c>
      <c r="U233" s="176">
        <v>15</v>
      </c>
      <c r="V233" s="176">
        <v>108</v>
      </c>
      <c r="W233" s="176">
        <v>12</v>
      </c>
      <c r="X233" s="179">
        <f t="shared" si="34"/>
        <v>120</v>
      </c>
      <c r="Y233" s="176">
        <v>5</v>
      </c>
      <c r="Z233" s="176" t="s">
        <v>20</v>
      </c>
      <c r="AA233" s="176" t="s">
        <v>18</v>
      </c>
      <c r="AB233" s="176" t="s">
        <v>20</v>
      </c>
      <c r="AC233" s="186" t="s">
        <v>2197</v>
      </c>
      <c r="AD233" s="181" t="s">
        <v>2198</v>
      </c>
      <c r="AE233" s="179" t="s">
        <v>18</v>
      </c>
      <c r="AF233" s="191"/>
      <c r="AG233" s="174" t="s">
        <v>990</v>
      </c>
      <c r="AH233" s="179">
        <v>24</v>
      </c>
      <c r="AI233" s="179">
        <v>1</v>
      </c>
      <c r="AJ233" s="200">
        <f t="shared" si="35"/>
        <v>1800</v>
      </c>
      <c r="AK233" s="183">
        <f t="shared" si="36"/>
        <v>5074</v>
      </c>
      <c r="AL233" s="179">
        <f t="shared" si="42"/>
        <v>24</v>
      </c>
      <c r="AM233" s="183">
        <v>0</v>
      </c>
      <c r="AN233" s="183">
        <f t="shared" si="43"/>
        <v>1440000</v>
      </c>
      <c r="AO233" s="183">
        <f t="shared" si="37"/>
        <v>0</v>
      </c>
      <c r="AP233" s="183">
        <f t="shared" si="38"/>
        <v>4050000</v>
      </c>
      <c r="AQ233" s="183">
        <f t="shared" si="39"/>
        <v>9133200</v>
      </c>
      <c r="AR233" s="183"/>
      <c r="AS233" s="183">
        <f t="shared" si="40"/>
        <v>0</v>
      </c>
      <c r="AT233" s="183">
        <f t="shared" si="41"/>
        <v>14623200</v>
      </c>
      <c r="AU233" s="175" t="s">
        <v>1718</v>
      </c>
      <c r="AV233" s="175" t="s">
        <v>1719</v>
      </c>
      <c r="AW233" s="175" t="s">
        <v>1720</v>
      </c>
      <c r="AX233" s="175" t="s">
        <v>1721</v>
      </c>
    </row>
    <row r="234" spans="1:50" s="179" customFormat="1" ht="24.95" hidden="1" customHeight="1" x14ac:dyDescent="0.25">
      <c r="A234" s="175">
        <v>14498</v>
      </c>
      <c r="B234" s="175" t="s">
        <v>96</v>
      </c>
      <c r="C234" s="175" t="s">
        <v>39</v>
      </c>
      <c r="D234" s="176">
        <v>4</v>
      </c>
      <c r="E234" s="176">
        <v>2025</v>
      </c>
      <c r="F234" s="176">
        <v>2025</v>
      </c>
      <c r="G234" s="175" t="s">
        <v>23</v>
      </c>
      <c r="H234" s="175" t="s">
        <v>96</v>
      </c>
      <c r="I234" s="175" t="s">
        <v>1042</v>
      </c>
      <c r="J234" s="177" t="s">
        <v>2249</v>
      </c>
      <c r="K234" s="175" t="s">
        <v>992</v>
      </c>
      <c r="L234" s="175" t="s">
        <v>345</v>
      </c>
      <c r="M234" s="175" t="s">
        <v>346</v>
      </c>
      <c r="N234" s="175">
        <v>14</v>
      </c>
      <c r="O234" s="175" t="s">
        <v>1722</v>
      </c>
      <c r="P234" s="175" t="s">
        <v>731</v>
      </c>
      <c r="Q234" s="175" t="s">
        <v>1201</v>
      </c>
      <c r="R234" s="175" t="s">
        <v>339</v>
      </c>
      <c r="S234" s="175" t="s">
        <v>19</v>
      </c>
      <c r="T234" s="175" t="s">
        <v>337</v>
      </c>
      <c r="U234" s="176">
        <v>13</v>
      </c>
      <c r="V234" s="176">
        <v>120</v>
      </c>
      <c r="W234" s="176">
        <v>12</v>
      </c>
      <c r="X234" s="179">
        <f t="shared" si="34"/>
        <v>132</v>
      </c>
      <c r="Y234" s="176">
        <v>5</v>
      </c>
      <c r="Z234" s="176" t="s">
        <v>20</v>
      </c>
      <c r="AA234" s="176" t="s">
        <v>18</v>
      </c>
      <c r="AB234" s="176" t="s">
        <v>20</v>
      </c>
      <c r="AC234" s="186" t="s">
        <v>2250</v>
      </c>
      <c r="AD234" s="181" t="s">
        <v>2251</v>
      </c>
      <c r="AE234" s="179" t="s">
        <v>18</v>
      </c>
      <c r="AF234" s="191"/>
      <c r="AG234" s="174" t="s">
        <v>990</v>
      </c>
      <c r="AH234" s="179">
        <v>27</v>
      </c>
      <c r="AI234" s="179">
        <v>1</v>
      </c>
      <c r="AJ234" s="200">
        <f t="shared" si="35"/>
        <v>1716</v>
      </c>
      <c r="AK234" s="183">
        <f t="shared" si="36"/>
        <v>5074</v>
      </c>
      <c r="AL234" s="179">
        <f t="shared" si="42"/>
        <v>26.4</v>
      </c>
      <c r="AM234" s="183">
        <v>0</v>
      </c>
      <c r="AN234" s="183">
        <f t="shared" si="43"/>
        <v>1404000</v>
      </c>
      <c r="AO234" s="183">
        <f t="shared" si="37"/>
        <v>0</v>
      </c>
      <c r="AP234" s="183">
        <f t="shared" si="38"/>
        <v>3510000</v>
      </c>
      <c r="AQ234" s="183">
        <f t="shared" si="39"/>
        <v>8706984</v>
      </c>
      <c r="AR234" s="183"/>
      <c r="AS234" s="183">
        <f t="shared" si="40"/>
        <v>0</v>
      </c>
      <c r="AT234" s="183">
        <f t="shared" si="41"/>
        <v>13620984</v>
      </c>
      <c r="AU234" s="175" t="s">
        <v>2252</v>
      </c>
      <c r="AV234" s="175" t="s">
        <v>2253</v>
      </c>
      <c r="AW234" s="175" t="s">
        <v>2254</v>
      </c>
      <c r="AX234" s="175" t="s">
        <v>2255</v>
      </c>
    </row>
    <row r="235" spans="1:50" s="179" customFormat="1" ht="24.95" hidden="1" customHeight="1" x14ac:dyDescent="0.25">
      <c r="A235" s="175">
        <v>14499</v>
      </c>
      <c r="B235" s="175" t="s">
        <v>96</v>
      </c>
      <c r="C235" s="175" t="s">
        <v>39</v>
      </c>
      <c r="D235" s="176">
        <v>4</v>
      </c>
      <c r="E235" s="176">
        <v>2025</v>
      </c>
      <c r="F235" s="176">
        <v>2025</v>
      </c>
      <c r="G235" s="175" t="s">
        <v>23</v>
      </c>
      <c r="H235" s="175" t="s">
        <v>96</v>
      </c>
      <c r="I235" s="175" t="s">
        <v>1042</v>
      </c>
      <c r="J235" s="177" t="s">
        <v>2256</v>
      </c>
      <c r="K235" s="175" t="s">
        <v>992</v>
      </c>
      <c r="L235" s="175" t="s">
        <v>345</v>
      </c>
      <c r="M235" s="175" t="s">
        <v>346</v>
      </c>
      <c r="N235" s="175">
        <v>14</v>
      </c>
      <c r="O235" s="175" t="s">
        <v>1722</v>
      </c>
      <c r="P235" s="175" t="s">
        <v>812</v>
      </c>
      <c r="Q235" s="175" t="s">
        <v>1201</v>
      </c>
      <c r="R235" s="175" t="s">
        <v>339</v>
      </c>
      <c r="S235" s="175" t="s">
        <v>19</v>
      </c>
      <c r="T235" s="175" t="s">
        <v>337</v>
      </c>
      <c r="U235" s="176">
        <v>10</v>
      </c>
      <c r="V235" s="176">
        <v>120</v>
      </c>
      <c r="W235" s="176">
        <v>12</v>
      </c>
      <c r="X235" s="179">
        <f>((SUM(V235:W235))*1)*1</f>
        <v>132</v>
      </c>
      <c r="Y235" s="176">
        <v>5</v>
      </c>
      <c r="Z235" s="176" t="s">
        <v>20</v>
      </c>
      <c r="AA235" s="176" t="s">
        <v>18</v>
      </c>
      <c r="AB235" s="176" t="s">
        <v>20</v>
      </c>
      <c r="AC235" s="186" t="s">
        <v>2250</v>
      </c>
      <c r="AD235" s="181" t="s">
        <v>2257</v>
      </c>
      <c r="AE235" s="179" t="s">
        <v>18</v>
      </c>
      <c r="AF235" s="191"/>
      <c r="AG235" s="174" t="s">
        <v>990</v>
      </c>
      <c r="AH235" s="179">
        <v>27</v>
      </c>
      <c r="AI235" s="179">
        <v>1</v>
      </c>
      <c r="AJ235" s="200">
        <f t="shared" si="35"/>
        <v>1320</v>
      </c>
      <c r="AK235" s="183">
        <f t="shared" si="36"/>
        <v>5074</v>
      </c>
      <c r="AL235" s="179">
        <f t="shared" si="42"/>
        <v>26.4</v>
      </c>
      <c r="AM235" s="183">
        <v>0</v>
      </c>
      <c r="AN235" s="183">
        <f t="shared" si="43"/>
        <v>1080000</v>
      </c>
      <c r="AO235" s="183">
        <f t="shared" si="37"/>
        <v>0</v>
      </c>
      <c r="AP235" s="183">
        <f t="shared" si="38"/>
        <v>2700000</v>
      </c>
      <c r="AQ235" s="183">
        <f t="shared" si="39"/>
        <v>6697680</v>
      </c>
      <c r="AR235" s="183"/>
      <c r="AS235" s="183">
        <f t="shared" si="40"/>
        <v>0</v>
      </c>
      <c r="AT235" s="183">
        <f t="shared" si="41"/>
        <v>10477680</v>
      </c>
      <c r="AU235" s="175" t="s">
        <v>2252</v>
      </c>
      <c r="AV235" s="175" t="s">
        <v>2253</v>
      </c>
      <c r="AW235" s="175" t="s">
        <v>2254</v>
      </c>
      <c r="AX235" s="175" t="s">
        <v>2255</v>
      </c>
    </row>
    <row r="236" spans="1:50" s="179" customFormat="1" ht="24.95" hidden="1" customHeight="1" x14ac:dyDescent="0.25">
      <c r="A236" s="189">
        <v>14633</v>
      </c>
      <c r="B236" s="175" t="s">
        <v>96</v>
      </c>
      <c r="C236" s="175" t="s">
        <v>39</v>
      </c>
      <c r="D236" s="190">
        <v>4</v>
      </c>
      <c r="E236" s="176">
        <v>2025</v>
      </c>
      <c r="F236" s="189">
        <v>2005</v>
      </c>
      <c r="G236" s="189" t="s">
        <v>1466</v>
      </c>
      <c r="H236" s="189" t="s">
        <v>336</v>
      </c>
      <c r="I236" s="189" t="s">
        <v>1467</v>
      </c>
      <c r="J236" s="189" t="s">
        <v>386</v>
      </c>
      <c r="K236" s="189" t="s">
        <v>387</v>
      </c>
      <c r="L236" s="189" t="s">
        <v>345</v>
      </c>
      <c r="M236" s="189" t="s">
        <v>346</v>
      </c>
      <c r="N236" s="189">
        <v>16</v>
      </c>
      <c r="O236" s="189" t="s">
        <v>808</v>
      </c>
      <c r="P236" s="189" t="s">
        <v>870</v>
      </c>
      <c r="Q236" s="189" t="s">
        <v>1493</v>
      </c>
      <c r="R236" s="189" t="s">
        <v>339</v>
      </c>
      <c r="S236" s="189" t="s">
        <v>19</v>
      </c>
      <c r="T236" s="189" t="s">
        <v>337</v>
      </c>
      <c r="U236" s="190">
        <v>15</v>
      </c>
      <c r="V236" s="190">
        <v>150</v>
      </c>
      <c r="W236" s="190">
        <v>12</v>
      </c>
      <c r="X236" s="190">
        <f t="shared" ref="X236:X251" si="44">SUM(V236:W236)</f>
        <v>162</v>
      </c>
      <c r="Y236" s="190">
        <v>4</v>
      </c>
      <c r="Z236" s="190" t="s">
        <v>20</v>
      </c>
      <c r="AA236" s="190" t="s">
        <v>20</v>
      </c>
      <c r="AB236" s="189" t="s">
        <v>20</v>
      </c>
      <c r="AC236" s="189"/>
      <c r="AD236" s="189" t="s">
        <v>2278</v>
      </c>
      <c r="AE236" s="189" t="s">
        <v>18</v>
      </c>
      <c r="AF236" s="189"/>
      <c r="AG236" s="174" t="s">
        <v>990</v>
      </c>
      <c r="AH236" s="190">
        <v>41</v>
      </c>
      <c r="AI236" s="190">
        <v>2</v>
      </c>
      <c r="AJ236" s="200">
        <f t="shared" si="35"/>
        <v>2430</v>
      </c>
      <c r="AK236" s="183">
        <f t="shared" si="36"/>
        <v>6372</v>
      </c>
      <c r="AL236" s="179">
        <f t="shared" si="42"/>
        <v>40.5</v>
      </c>
      <c r="AM236" s="183">
        <v>0</v>
      </c>
      <c r="AN236" s="183">
        <f t="shared" si="43"/>
        <v>2460000</v>
      </c>
      <c r="AO236" s="183">
        <f t="shared" si="37"/>
        <v>3075000</v>
      </c>
      <c r="AP236" s="183">
        <f t="shared" si="38"/>
        <v>4050000</v>
      </c>
      <c r="AQ236" s="183">
        <f t="shared" si="39"/>
        <v>15483960</v>
      </c>
      <c r="AR236" s="183"/>
      <c r="AS236" s="183">
        <f t="shared" si="40"/>
        <v>0</v>
      </c>
      <c r="AT236" s="183">
        <f t="shared" si="41"/>
        <v>25068960</v>
      </c>
    </row>
    <row r="237" spans="1:50" s="179" customFormat="1" ht="24.95" hidden="1" customHeight="1" x14ac:dyDescent="0.25">
      <c r="A237" s="189">
        <v>14656</v>
      </c>
      <c r="B237" s="175" t="s">
        <v>96</v>
      </c>
      <c r="C237" s="175" t="s">
        <v>39</v>
      </c>
      <c r="D237" s="190">
        <v>4</v>
      </c>
      <c r="E237" s="176">
        <v>2025</v>
      </c>
      <c r="F237" s="189">
        <v>2005</v>
      </c>
      <c r="G237" s="189" t="s">
        <v>1466</v>
      </c>
      <c r="H237" s="189" t="s">
        <v>336</v>
      </c>
      <c r="I237" s="189" t="s">
        <v>1467</v>
      </c>
      <c r="J237" s="189" t="s">
        <v>386</v>
      </c>
      <c r="K237" s="189" t="s">
        <v>387</v>
      </c>
      <c r="L237" s="189" t="s">
        <v>345</v>
      </c>
      <c r="M237" s="189" t="s">
        <v>346</v>
      </c>
      <c r="N237" s="189">
        <v>16</v>
      </c>
      <c r="O237" s="189" t="s">
        <v>808</v>
      </c>
      <c r="P237" s="189" t="s">
        <v>870</v>
      </c>
      <c r="Q237" s="189" t="s">
        <v>1493</v>
      </c>
      <c r="R237" s="189" t="s">
        <v>339</v>
      </c>
      <c r="S237" s="189" t="s">
        <v>19</v>
      </c>
      <c r="T237" s="189" t="s">
        <v>337</v>
      </c>
      <c r="U237" s="190">
        <v>15</v>
      </c>
      <c r="V237" s="190">
        <v>150</v>
      </c>
      <c r="W237" s="190">
        <v>12</v>
      </c>
      <c r="X237" s="190">
        <f t="shared" si="44"/>
        <v>162</v>
      </c>
      <c r="Y237" s="190">
        <v>4</v>
      </c>
      <c r="Z237" s="190" t="s">
        <v>20</v>
      </c>
      <c r="AA237" s="190" t="s">
        <v>20</v>
      </c>
      <c r="AB237" s="189" t="s">
        <v>20</v>
      </c>
      <c r="AC237" s="189"/>
      <c r="AD237" s="189" t="s">
        <v>2278</v>
      </c>
      <c r="AE237" s="189" t="s">
        <v>18</v>
      </c>
      <c r="AF237" s="189"/>
      <c r="AG237" s="174" t="s">
        <v>990</v>
      </c>
      <c r="AH237" s="190">
        <v>41</v>
      </c>
      <c r="AI237" s="190">
        <v>2</v>
      </c>
      <c r="AJ237" s="200">
        <f t="shared" si="35"/>
        <v>2430</v>
      </c>
      <c r="AK237" s="183">
        <f t="shared" si="36"/>
        <v>6372</v>
      </c>
      <c r="AL237" s="179">
        <f t="shared" si="42"/>
        <v>40.5</v>
      </c>
      <c r="AM237" s="183">
        <v>0</v>
      </c>
      <c r="AN237" s="183">
        <f t="shared" si="43"/>
        <v>2460000</v>
      </c>
      <c r="AO237" s="183">
        <f t="shared" si="37"/>
        <v>3075000</v>
      </c>
      <c r="AP237" s="183">
        <f t="shared" si="38"/>
        <v>4050000</v>
      </c>
      <c r="AQ237" s="183">
        <f t="shared" si="39"/>
        <v>15483960</v>
      </c>
      <c r="AR237" s="183"/>
      <c r="AS237" s="183">
        <f t="shared" si="40"/>
        <v>0</v>
      </c>
      <c r="AT237" s="183">
        <f t="shared" si="41"/>
        <v>25068960</v>
      </c>
    </row>
    <row r="238" spans="1:50" s="179" customFormat="1" ht="24.95" hidden="1" customHeight="1" x14ac:dyDescent="0.25">
      <c r="A238" s="189">
        <v>14657</v>
      </c>
      <c r="B238" s="175" t="s">
        <v>96</v>
      </c>
      <c r="C238" s="175" t="s">
        <v>39</v>
      </c>
      <c r="D238" s="190">
        <v>4</v>
      </c>
      <c r="E238" s="176">
        <v>2025</v>
      </c>
      <c r="F238" s="189">
        <v>2005</v>
      </c>
      <c r="G238" s="189" t="s">
        <v>1466</v>
      </c>
      <c r="H238" s="189" t="s">
        <v>336</v>
      </c>
      <c r="I238" s="189" t="s">
        <v>1467</v>
      </c>
      <c r="J238" s="189" t="s">
        <v>386</v>
      </c>
      <c r="K238" s="189" t="s">
        <v>387</v>
      </c>
      <c r="L238" s="189" t="s">
        <v>345</v>
      </c>
      <c r="M238" s="189" t="s">
        <v>346</v>
      </c>
      <c r="N238" s="189">
        <v>16</v>
      </c>
      <c r="O238" s="189" t="s">
        <v>808</v>
      </c>
      <c r="P238" s="189" t="s">
        <v>807</v>
      </c>
      <c r="Q238" s="189" t="s">
        <v>1493</v>
      </c>
      <c r="R238" s="189" t="s">
        <v>339</v>
      </c>
      <c r="S238" s="189" t="s">
        <v>19</v>
      </c>
      <c r="T238" s="189" t="s">
        <v>337</v>
      </c>
      <c r="U238" s="190">
        <v>15</v>
      </c>
      <c r="V238" s="190">
        <v>150</v>
      </c>
      <c r="W238" s="190">
        <v>12</v>
      </c>
      <c r="X238" s="190">
        <f t="shared" si="44"/>
        <v>162</v>
      </c>
      <c r="Y238" s="190">
        <v>4</v>
      </c>
      <c r="Z238" s="190" t="s">
        <v>20</v>
      </c>
      <c r="AA238" s="190" t="s">
        <v>20</v>
      </c>
      <c r="AB238" s="189" t="s">
        <v>20</v>
      </c>
      <c r="AC238" s="189"/>
      <c r="AD238" s="189" t="s">
        <v>2279</v>
      </c>
      <c r="AE238" s="189" t="s">
        <v>18</v>
      </c>
      <c r="AF238" s="189"/>
      <c r="AG238" s="174" t="s">
        <v>990</v>
      </c>
      <c r="AH238" s="190">
        <v>41</v>
      </c>
      <c r="AI238" s="190">
        <v>2</v>
      </c>
      <c r="AJ238" s="200">
        <f t="shared" si="35"/>
        <v>2430</v>
      </c>
      <c r="AK238" s="183">
        <f t="shared" si="36"/>
        <v>6372</v>
      </c>
      <c r="AL238" s="179">
        <f t="shared" si="42"/>
        <v>40.5</v>
      </c>
      <c r="AM238" s="183">
        <v>0</v>
      </c>
      <c r="AN238" s="183">
        <f t="shared" si="43"/>
        <v>2460000</v>
      </c>
      <c r="AO238" s="183">
        <f t="shared" si="37"/>
        <v>3075000</v>
      </c>
      <c r="AP238" s="183">
        <f t="shared" si="38"/>
        <v>4050000</v>
      </c>
      <c r="AQ238" s="183">
        <f t="shared" si="39"/>
        <v>15483960</v>
      </c>
      <c r="AR238" s="183"/>
      <c r="AS238" s="183">
        <f t="shared" si="40"/>
        <v>0</v>
      </c>
      <c r="AT238" s="183">
        <f t="shared" si="41"/>
        <v>25068960</v>
      </c>
    </row>
    <row r="239" spans="1:50" s="179" customFormat="1" ht="24.95" hidden="1" customHeight="1" x14ac:dyDescent="0.25">
      <c r="A239" s="189">
        <v>14658</v>
      </c>
      <c r="B239" s="175" t="s">
        <v>96</v>
      </c>
      <c r="C239" s="175" t="s">
        <v>39</v>
      </c>
      <c r="D239" s="190">
        <v>4</v>
      </c>
      <c r="E239" s="176">
        <v>2025</v>
      </c>
      <c r="F239" s="189">
        <v>2005</v>
      </c>
      <c r="G239" s="189" t="s">
        <v>1466</v>
      </c>
      <c r="H239" s="189" t="s">
        <v>336</v>
      </c>
      <c r="I239" s="189" t="s">
        <v>1467</v>
      </c>
      <c r="J239" s="189" t="s">
        <v>386</v>
      </c>
      <c r="K239" s="189" t="s">
        <v>387</v>
      </c>
      <c r="L239" s="189" t="s">
        <v>345</v>
      </c>
      <c r="M239" s="189" t="s">
        <v>346</v>
      </c>
      <c r="N239" s="189">
        <v>16</v>
      </c>
      <c r="O239" s="189" t="s">
        <v>808</v>
      </c>
      <c r="P239" s="189" t="s">
        <v>855</v>
      </c>
      <c r="Q239" s="189" t="s">
        <v>1493</v>
      </c>
      <c r="R239" s="189" t="s">
        <v>339</v>
      </c>
      <c r="S239" s="189" t="s">
        <v>19</v>
      </c>
      <c r="T239" s="189" t="s">
        <v>337</v>
      </c>
      <c r="U239" s="190">
        <v>15</v>
      </c>
      <c r="V239" s="190">
        <v>150</v>
      </c>
      <c r="W239" s="190">
        <v>12</v>
      </c>
      <c r="X239" s="190">
        <f t="shared" si="44"/>
        <v>162</v>
      </c>
      <c r="Y239" s="190">
        <v>4</v>
      </c>
      <c r="Z239" s="190" t="s">
        <v>20</v>
      </c>
      <c r="AA239" s="190" t="s">
        <v>20</v>
      </c>
      <c r="AB239" s="189" t="s">
        <v>20</v>
      </c>
      <c r="AC239" s="189"/>
      <c r="AD239" s="189" t="s">
        <v>2280</v>
      </c>
      <c r="AE239" s="189" t="s">
        <v>18</v>
      </c>
      <c r="AF239" s="189"/>
      <c r="AG239" s="174" t="s">
        <v>990</v>
      </c>
      <c r="AH239" s="190">
        <v>41</v>
      </c>
      <c r="AI239" s="190">
        <v>2</v>
      </c>
      <c r="AJ239" s="200">
        <f t="shared" si="35"/>
        <v>2430</v>
      </c>
      <c r="AK239" s="183">
        <f t="shared" si="36"/>
        <v>6372</v>
      </c>
      <c r="AL239" s="179">
        <f t="shared" si="42"/>
        <v>40.5</v>
      </c>
      <c r="AM239" s="183">
        <v>0</v>
      </c>
      <c r="AN239" s="183">
        <f t="shared" si="43"/>
        <v>2460000</v>
      </c>
      <c r="AO239" s="183">
        <f t="shared" si="37"/>
        <v>3075000</v>
      </c>
      <c r="AP239" s="183">
        <f t="shared" si="38"/>
        <v>4050000</v>
      </c>
      <c r="AQ239" s="183">
        <f t="shared" si="39"/>
        <v>15483960</v>
      </c>
      <c r="AR239" s="183"/>
      <c r="AS239" s="183">
        <f t="shared" si="40"/>
        <v>0</v>
      </c>
      <c r="AT239" s="183">
        <f t="shared" si="41"/>
        <v>25068960</v>
      </c>
    </row>
    <row r="240" spans="1:50" s="179" customFormat="1" ht="24.95" hidden="1" customHeight="1" x14ac:dyDescent="0.25">
      <c r="A240" s="189">
        <v>14660</v>
      </c>
      <c r="B240" s="175" t="s">
        <v>96</v>
      </c>
      <c r="C240" s="175" t="s">
        <v>39</v>
      </c>
      <c r="D240" s="190">
        <v>4</v>
      </c>
      <c r="E240" s="176">
        <v>2025</v>
      </c>
      <c r="F240" s="189">
        <v>2005</v>
      </c>
      <c r="G240" s="189" t="s">
        <v>1466</v>
      </c>
      <c r="H240" s="189" t="s">
        <v>336</v>
      </c>
      <c r="I240" s="189" t="s">
        <v>1467</v>
      </c>
      <c r="J240" s="189" t="s">
        <v>865</v>
      </c>
      <c r="K240" s="189" t="s">
        <v>864</v>
      </c>
      <c r="L240" s="189" t="s">
        <v>345</v>
      </c>
      <c r="M240" s="189" t="s">
        <v>346</v>
      </c>
      <c r="N240" s="189">
        <v>16</v>
      </c>
      <c r="O240" s="189" t="s">
        <v>808</v>
      </c>
      <c r="P240" s="189" t="s">
        <v>830</v>
      </c>
      <c r="Q240" s="189" t="s">
        <v>1493</v>
      </c>
      <c r="R240" s="189" t="s">
        <v>339</v>
      </c>
      <c r="S240" s="189" t="s">
        <v>19</v>
      </c>
      <c r="T240" s="189" t="s">
        <v>337</v>
      </c>
      <c r="U240" s="190">
        <v>15</v>
      </c>
      <c r="V240" s="190">
        <v>190</v>
      </c>
      <c r="W240" s="190">
        <v>12</v>
      </c>
      <c r="X240" s="190">
        <f t="shared" si="44"/>
        <v>202</v>
      </c>
      <c r="Y240" s="190">
        <v>4</v>
      </c>
      <c r="Z240" s="190" t="s">
        <v>20</v>
      </c>
      <c r="AA240" s="190" t="s">
        <v>20</v>
      </c>
      <c r="AB240" s="189" t="s">
        <v>20</v>
      </c>
      <c r="AC240" s="189"/>
      <c r="AD240" s="189" t="s">
        <v>2281</v>
      </c>
      <c r="AE240" s="190" t="s">
        <v>20</v>
      </c>
      <c r="AF240" s="189" t="s">
        <v>1009</v>
      </c>
      <c r="AG240" s="174" t="s">
        <v>990</v>
      </c>
      <c r="AH240" s="190">
        <v>51</v>
      </c>
      <c r="AI240" s="190">
        <v>2</v>
      </c>
      <c r="AJ240" s="200">
        <f t="shared" si="35"/>
        <v>3030</v>
      </c>
      <c r="AK240" s="183">
        <f t="shared" si="36"/>
        <v>6372</v>
      </c>
      <c r="AL240" s="179">
        <f t="shared" si="42"/>
        <v>50.5</v>
      </c>
      <c r="AM240" s="183">
        <v>300000</v>
      </c>
      <c r="AN240" s="183">
        <f t="shared" si="43"/>
        <v>3060000</v>
      </c>
      <c r="AO240" s="183">
        <f t="shared" si="37"/>
        <v>3825000</v>
      </c>
      <c r="AP240" s="183">
        <f t="shared" si="38"/>
        <v>4050000</v>
      </c>
      <c r="AQ240" s="183">
        <f t="shared" si="39"/>
        <v>19307160</v>
      </c>
      <c r="AR240" s="183"/>
      <c r="AS240" s="183">
        <f t="shared" si="40"/>
        <v>4500000</v>
      </c>
      <c r="AT240" s="183">
        <f t="shared" si="41"/>
        <v>34742160</v>
      </c>
    </row>
    <row r="241" spans="1:46" s="179" customFormat="1" ht="24.95" hidden="1" customHeight="1" x14ac:dyDescent="0.25">
      <c r="A241" s="194">
        <v>14661</v>
      </c>
      <c r="B241" s="175" t="s">
        <v>96</v>
      </c>
      <c r="C241" s="175" t="s">
        <v>39</v>
      </c>
      <c r="D241" s="190">
        <v>4</v>
      </c>
      <c r="E241" s="176">
        <v>2025</v>
      </c>
      <c r="F241" s="194">
        <v>2005</v>
      </c>
      <c r="G241" s="194" t="s">
        <v>1466</v>
      </c>
      <c r="H241" s="194" t="s">
        <v>336</v>
      </c>
      <c r="I241" s="194" t="s">
        <v>1467</v>
      </c>
      <c r="J241" s="194" t="s">
        <v>2285</v>
      </c>
      <c r="K241" s="194" t="s">
        <v>2286</v>
      </c>
      <c r="L241" s="194" t="s">
        <v>345</v>
      </c>
      <c r="M241" s="194" t="s">
        <v>346</v>
      </c>
      <c r="N241" s="194">
        <v>16</v>
      </c>
      <c r="O241" s="194" t="s">
        <v>808</v>
      </c>
      <c r="P241" s="194" t="s">
        <v>845</v>
      </c>
      <c r="Q241" s="194" t="s">
        <v>1493</v>
      </c>
      <c r="R241" s="194" t="s">
        <v>339</v>
      </c>
      <c r="S241" s="194" t="s">
        <v>19</v>
      </c>
      <c r="T241" s="194" t="s">
        <v>337</v>
      </c>
      <c r="U241" s="195">
        <v>15</v>
      </c>
      <c r="V241" s="195">
        <v>150</v>
      </c>
      <c r="W241" s="195">
        <v>12</v>
      </c>
      <c r="X241" s="195">
        <f t="shared" si="44"/>
        <v>162</v>
      </c>
      <c r="Y241" s="195">
        <v>4</v>
      </c>
      <c r="Z241" s="195" t="s">
        <v>20</v>
      </c>
      <c r="AA241" s="195" t="s">
        <v>20</v>
      </c>
      <c r="AB241" s="194" t="s">
        <v>20</v>
      </c>
      <c r="AC241" s="189"/>
      <c r="AD241" s="194" t="s">
        <v>2287</v>
      </c>
      <c r="AE241" s="194" t="s">
        <v>18</v>
      </c>
      <c r="AF241" s="194"/>
      <c r="AG241" s="174" t="s">
        <v>990</v>
      </c>
      <c r="AH241" s="195">
        <v>41</v>
      </c>
      <c r="AI241" s="195">
        <v>2</v>
      </c>
      <c r="AJ241" s="200">
        <f t="shared" si="35"/>
        <v>2430</v>
      </c>
      <c r="AK241" s="183">
        <f t="shared" si="36"/>
        <v>6372</v>
      </c>
      <c r="AL241" s="179">
        <f t="shared" si="42"/>
        <v>40.5</v>
      </c>
      <c r="AM241" s="183">
        <v>0</v>
      </c>
      <c r="AN241" s="183">
        <f t="shared" si="43"/>
        <v>2460000</v>
      </c>
      <c r="AO241" s="183">
        <f t="shared" si="37"/>
        <v>3075000</v>
      </c>
      <c r="AP241" s="183">
        <f t="shared" si="38"/>
        <v>4050000</v>
      </c>
      <c r="AQ241" s="183">
        <f t="shared" si="39"/>
        <v>15483960</v>
      </c>
      <c r="AR241" s="183"/>
      <c r="AS241" s="183">
        <f t="shared" si="40"/>
        <v>0</v>
      </c>
      <c r="AT241" s="183">
        <f t="shared" si="41"/>
        <v>25068960</v>
      </c>
    </row>
    <row r="242" spans="1:46" s="179" customFormat="1" ht="24.95" hidden="1" customHeight="1" x14ac:dyDescent="0.25">
      <c r="A242" s="194">
        <v>14662</v>
      </c>
      <c r="B242" s="175" t="s">
        <v>96</v>
      </c>
      <c r="C242" s="175" t="s">
        <v>39</v>
      </c>
      <c r="D242" s="190">
        <v>4</v>
      </c>
      <c r="E242" s="176">
        <v>2025</v>
      </c>
      <c r="F242" s="194">
        <v>2005</v>
      </c>
      <c r="G242" s="194" t="s">
        <v>1466</v>
      </c>
      <c r="H242" s="194" t="s">
        <v>336</v>
      </c>
      <c r="I242" s="194" t="s">
        <v>1467</v>
      </c>
      <c r="J242" s="194" t="s">
        <v>2285</v>
      </c>
      <c r="K242" s="194" t="s">
        <v>2286</v>
      </c>
      <c r="L242" s="194" t="s">
        <v>345</v>
      </c>
      <c r="M242" s="194" t="s">
        <v>346</v>
      </c>
      <c r="N242" s="194">
        <v>16</v>
      </c>
      <c r="O242" s="194" t="s">
        <v>808</v>
      </c>
      <c r="P242" s="194" t="s">
        <v>2288</v>
      </c>
      <c r="Q242" s="194" t="s">
        <v>1493</v>
      </c>
      <c r="R242" s="194" t="s">
        <v>339</v>
      </c>
      <c r="S242" s="194" t="s">
        <v>19</v>
      </c>
      <c r="T242" s="194" t="s">
        <v>337</v>
      </c>
      <c r="U242" s="195">
        <v>15</v>
      </c>
      <c r="V242" s="195">
        <v>150</v>
      </c>
      <c r="W242" s="195">
        <v>12</v>
      </c>
      <c r="X242" s="195">
        <f t="shared" si="44"/>
        <v>162</v>
      </c>
      <c r="Y242" s="195">
        <v>4</v>
      </c>
      <c r="Z242" s="195" t="s">
        <v>20</v>
      </c>
      <c r="AA242" s="195" t="s">
        <v>20</v>
      </c>
      <c r="AB242" s="194" t="s">
        <v>20</v>
      </c>
      <c r="AC242" s="189"/>
      <c r="AD242" s="194" t="s">
        <v>2289</v>
      </c>
      <c r="AE242" s="194" t="s">
        <v>18</v>
      </c>
      <c r="AF242" s="194"/>
      <c r="AG242" s="174" t="s">
        <v>990</v>
      </c>
      <c r="AH242" s="195">
        <v>41</v>
      </c>
      <c r="AI242" s="195">
        <v>2</v>
      </c>
      <c r="AJ242" s="200">
        <f t="shared" si="35"/>
        <v>2430</v>
      </c>
      <c r="AK242" s="183">
        <f t="shared" si="36"/>
        <v>6372</v>
      </c>
      <c r="AL242" s="179">
        <f t="shared" si="42"/>
        <v>40.5</v>
      </c>
      <c r="AM242" s="183">
        <v>0</v>
      </c>
      <c r="AN242" s="183">
        <f t="shared" si="43"/>
        <v>2460000</v>
      </c>
      <c r="AO242" s="183">
        <f t="shared" si="37"/>
        <v>3075000</v>
      </c>
      <c r="AP242" s="183">
        <f t="shared" si="38"/>
        <v>4050000</v>
      </c>
      <c r="AQ242" s="183">
        <f t="shared" si="39"/>
        <v>15483960</v>
      </c>
      <c r="AR242" s="183"/>
      <c r="AS242" s="183">
        <f t="shared" si="40"/>
        <v>0</v>
      </c>
      <c r="AT242" s="183">
        <f t="shared" si="41"/>
        <v>25068960</v>
      </c>
    </row>
    <row r="243" spans="1:46" s="179" customFormat="1" ht="24.95" hidden="1" customHeight="1" x14ac:dyDescent="0.25">
      <c r="A243" s="194">
        <v>14663</v>
      </c>
      <c r="B243" s="175" t="s">
        <v>96</v>
      </c>
      <c r="C243" s="175" t="s">
        <v>39</v>
      </c>
      <c r="D243" s="190">
        <v>4</v>
      </c>
      <c r="E243" s="176">
        <v>2025</v>
      </c>
      <c r="F243" s="194">
        <v>2005</v>
      </c>
      <c r="G243" s="194" t="s">
        <v>1466</v>
      </c>
      <c r="H243" s="194" t="s">
        <v>336</v>
      </c>
      <c r="I243" s="194" t="s">
        <v>1467</v>
      </c>
      <c r="J243" s="194" t="s">
        <v>2285</v>
      </c>
      <c r="K243" s="194" t="s">
        <v>2286</v>
      </c>
      <c r="L243" s="194" t="s">
        <v>345</v>
      </c>
      <c r="M243" s="194" t="s">
        <v>346</v>
      </c>
      <c r="N243" s="194">
        <v>16</v>
      </c>
      <c r="O243" s="194" t="s">
        <v>808</v>
      </c>
      <c r="P243" s="194" t="s">
        <v>860</v>
      </c>
      <c r="Q243" s="194" t="s">
        <v>1493</v>
      </c>
      <c r="R243" s="194" t="s">
        <v>339</v>
      </c>
      <c r="S243" s="194" t="s">
        <v>19</v>
      </c>
      <c r="T243" s="194" t="s">
        <v>337</v>
      </c>
      <c r="U243" s="195">
        <v>15</v>
      </c>
      <c r="V243" s="195">
        <v>150</v>
      </c>
      <c r="W243" s="195">
        <v>12</v>
      </c>
      <c r="X243" s="195">
        <f t="shared" si="44"/>
        <v>162</v>
      </c>
      <c r="Y243" s="195">
        <v>4</v>
      </c>
      <c r="Z243" s="195" t="s">
        <v>20</v>
      </c>
      <c r="AA243" s="195" t="s">
        <v>20</v>
      </c>
      <c r="AB243" s="194" t="s">
        <v>20</v>
      </c>
      <c r="AC243" s="189"/>
      <c r="AD243" s="194" t="s">
        <v>2290</v>
      </c>
      <c r="AE243" s="194" t="s">
        <v>18</v>
      </c>
      <c r="AF243" s="194"/>
      <c r="AG243" s="174" t="s">
        <v>990</v>
      </c>
      <c r="AH243" s="195">
        <v>41</v>
      </c>
      <c r="AI243" s="195">
        <v>2</v>
      </c>
      <c r="AJ243" s="200">
        <f t="shared" si="35"/>
        <v>2430</v>
      </c>
      <c r="AK243" s="183">
        <f t="shared" si="36"/>
        <v>6372</v>
      </c>
      <c r="AL243" s="179">
        <f t="shared" si="42"/>
        <v>40.5</v>
      </c>
      <c r="AM243" s="183">
        <v>0</v>
      </c>
      <c r="AN243" s="183">
        <f t="shared" si="43"/>
        <v>2460000</v>
      </c>
      <c r="AO243" s="183">
        <f t="shared" si="37"/>
        <v>3075000</v>
      </c>
      <c r="AP243" s="183">
        <f t="shared" si="38"/>
        <v>4050000</v>
      </c>
      <c r="AQ243" s="183">
        <f t="shared" si="39"/>
        <v>15483960</v>
      </c>
      <c r="AR243" s="183"/>
      <c r="AS243" s="183">
        <f t="shared" si="40"/>
        <v>0</v>
      </c>
      <c r="AT243" s="183">
        <f t="shared" si="41"/>
        <v>25068960</v>
      </c>
    </row>
    <row r="244" spans="1:46" s="179" customFormat="1" ht="24.95" hidden="1" customHeight="1" x14ac:dyDescent="0.25">
      <c r="A244" s="194">
        <v>14664</v>
      </c>
      <c r="B244" s="175" t="s">
        <v>96</v>
      </c>
      <c r="C244" s="175" t="s">
        <v>39</v>
      </c>
      <c r="D244" s="190">
        <v>4</v>
      </c>
      <c r="E244" s="176">
        <v>2025</v>
      </c>
      <c r="F244" s="194">
        <v>2005</v>
      </c>
      <c r="G244" s="194" t="s">
        <v>1466</v>
      </c>
      <c r="H244" s="194" t="s">
        <v>336</v>
      </c>
      <c r="I244" s="194" t="s">
        <v>1467</v>
      </c>
      <c r="J244" s="194" t="s">
        <v>1171</v>
      </c>
      <c r="K244" s="194" t="s">
        <v>1172</v>
      </c>
      <c r="L244" s="194" t="s">
        <v>345</v>
      </c>
      <c r="M244" s="194" t="s">
        <v>346</v>
      </c>
      <c r="N244" s="194">
        <v>16</v>
      </c>
      <c r="O244" s="194" t="s">
        <v>808</v>
      </c>
      <c r="P244" s="194" t="s">
        <v>2291</v>
      </c>
      <c r="Q244" s="194" t="s">
        <v>1493</v>
      </c>
      <c r="R244" s="194" t="s">
        <v>339</v>
      </c>
      <c r="S244" s="194" t="s">
        <v>19</v>
      </c>
      <c r="T244" s="194" t="s">
        <v>337</v>
      </c>
      <c r="U244" s="195">
        <v>15</v>
      </c>
      <c r="V244" s="195">
        <v>120</v>
      </c>
      <c r="W244" s="195">
        <v>12</v>
      </c>
      <c r="X244" s="195">
        <f t="shared" si="44"/>
        <v>132</v>
      </c>
      <c r="Y244" s="195">
        <v>4</v>
      </c>
      <c r="Z244" s="195" t="s">
        <v>20</v>
      </c>
      <c r="AA244" s="195" t="s">
        <v>20</v>
      </c>
      <c r="AB244" s="194" t="s">
        <v>20</v>
      </c>
      <c r="AC244" s="189"/>
      <c r="AD244" s="194" t="s">
        <v>2292</v>
      </c>
      <c r="AE244" s="194" t="s">
        <v>18</v>
      </c>
      <c r="AF244" s="194"/>
      <c r="AG244" s="174" t="s">
        <v>990</v>
      </c>
      <c r="AH244" s="195">
        <v>33</v>
      </c>
      <c r="AI244" s="195">
        <v>2</v>
      </c>
      <c r="AJ244" s="200">
        <f t="shared" si="35"/>
        <v>1980</v>
      </c>
      <c r="AK244" s="183">
        <f t="shared" si="36"/>
        <v>6372</v>
      </c>
      <c r="AL244" s="179">
        <f t="shared" si="42"/>
        <v>33</v>
      </c>
      <c r="AM244" s="183">
        <v>0</v>
      </c>
      <c r="AN244" s="183">
        <f t="shared" si="43"/>
        <v>1980000</v>
      </c>
      <c r="AO244" s="183">
        <f t="shared" si="37"/>
        <v>2475000</v>
      </c>
      <c r="AP244" s="183">
        <f t="shared" si="38"/>
        <v>4050000</v>
      </c>
      <c r="AQ244" s="183">
        <f t="shared" si="39"/>
        <v>12616560</v>
      </c>
      <c r="AR244" s="183"/>
      <c r="AS244" s="183">
        <f t="shared" si="40"/>
        <v>0</v>
      </c>
      <c r="AT244" s="183">
        <f t="shared" si="41"/>
        <v>21121560</v>
      </c>
    </row>
    <row r="245" spans="1:46" s="179" customFormat="1" ht="24.95" hidden="1" customHeight="1" x14ac:dyDescent="0.25">
      <c r="A245" s="189">
        <v>14665</v>
      </c>
      <c r="B245" s="175" t="s">
        <v>96</v>
      </c>
      <c r="C245" s="175" t="s">
        <v>39</v>
      </c>
      <c r="D245" s="190">
        <v>4</v>
      </c>
      <c r="E245" s="176">
        <v>2025</v>
      </c>
      <c r="F245" s="189">
        <v>2005</v>
      </c>
      <c r="G245" s="189" t="s">
        <v>1466</v>
      </c>
      <c r="H245" s="189" t="s">
        <v>336</v>
      </c>
      <c r="I245" s="189" t="s">
        <v>1467</v>
      </c>
      <c r="J245" s="189" t="s">
        <v>747</v>
      </c>
      <c r="K245" s="189" t="s">
        <v>746</v>
      </c>
      <c r="L245" s="189" t="s">
        <v>345</v>
      </c>
      <c r="M245" s="189" t="s">
        <v>346</v>
      </c>
      <c r="N245" s="189">
        <v>16</v>
      </c>
      <c r="O245" s="189" t="s">
        <v>808</v>
      </c>
      <c r="P245" s="189" t="s">
        <v>725</v>
      </c>
      <c r="Q245" s="189" t="s">
        <v>1493</v>
      </c>
      <c r="R245" s="189" t="s">
        <v>339</v>
      </c>
      <c r="S245" s="189" t="s">
        <v>19</v>
      </c>
      <c r="T245" s="189" t="s">
        <v>337</v>
      </c>
      <c r="U245" s="190">
        <v>15</v>
      </c>
      <c r="V245" s="190">
        <v>240</v>
      </c>
      <c r="W245" s="190">
        <v>12</v>
      </c>
      <c r="X245" s="190">
        <f t="shared" si="44"/>
        <v>252</v>
      </c>
      <c r="Y245" s="190">
        <v>4</v>
      </c>
      <c r="Z245" s="190" t="s">
        <v>20</v>
      </c>
      <c r="AA245" s="190" t="s">
        <v>20</v>
      </c>
      <c r="AB245" s="189" t="s">
        <v>20</v>
      </c>
      <c r="AC245" s="189"/>
      <c r="AD245" s="189" t="s">
        <v>2293</v>
      </c>
      <c r="AE245" s="189" t="s">
        <v>18</v>
      </c>
      <c r="AF245" s="189"/>
      <c r="AG245" s="174" t="s">
        <v>990</v>
      </c>
      <c r="AH245" s="190">
        <v>63</v>
      </c>
      <c r="AI245" s="190">
        <v>2</v>
      </c>
      <c r="AJ245" s="200">
        <f t="shared" si="35"/>
        <v>3780</v>
      </c>
      <c r="AK245" s="183">
        <f t="shared" si="36"/>
        <v>6372</v>
      </c>
      <c r="AL245" s="179">
        <f t="shared" si="42"/>
        <v>63</v>
      </c>
      <c r="AM245" s="183">
        <v>0</v>
      </c>
      <c r="AN245" s="183">
        <f t="shared" si="43"/>
        <v>3780000</v>
      </c>
      <c r="AO245" s="183">
        <f t="shared" si="37"/>
        <v>4725000</v>
      </c>
      <c r="AP245" s="183">
        <f t="shared" si="38"/>
        <v>4050000</v>
      </c>
      <c r="AQ245" s="183">
        <f t="shared" si="39"/>
        <v>24086160</v>
      </c>
      <c r="AR245" s="183"/>
      <c r="AS245" s="183">
        <f t="shared" si="40"/>
        <v>0</v>
      </c>
      <c r="AT245" s="183">
        <f t="shared" si="41"/>
        <v>36641160</v>
      </c>
    </row>
    <row r="246" spans="1:46" s="179" customFormat="1" ht="24.95" hidden="1" customHeight="1" x14ac:dyDescent="0.25">
      <c r="A246" s="189">
        <v>14666</v>
      </c>
      <c r="B246" s="175" t="s">
        <v>96</v>
      </c>
      <c r="C246" s="175" t="s">
        <v>39</v>
      </c>
      <c r="D246" s="190">
        <v>4</v>
      </c>
      <c r="E246" s="176">
        <v>2025</v>
      </c>
      <c r="F246" s="189">
        <v>2005</v>
      </c>
      <c r="G246" s="189" t="s">
        <v>1466</v>
      </c>
      <c r="H246" s="189" t="s">
        <v>336</v>
      </c>
      <c r="I246" s="189" t="s">
        <v>1467</v>
      </c>
      <c r="J246" s="189" t="s">
        <v>413</v>
      </c>
      <c r="K246" s="189" t="s">
        <v>414</v>
      </c>
      <c r="L246" s="189" t="s">
        <v>345</v>
      </c>
      <c r="M246" s="189" t="s">
        <v>346</v>
      </c>
      <c r="N246" s="189">
        <v>16</v>
      </c>
      <c r="O246" s="189" t="s">
        <v>808</v>
      </c>
      <c r="P246" s="189" t="s">
        <v>431</v>
      </c>
      <c r="Q246" s="189" t="s">
        <v>2294</v>
      </c>
      <c r="R246" s="189" t="s">
        <v>339</v>
      </c>
      <c r="S246" s="189" t="s">
        <v>19</v>
      </c>
      <c r="T246" s="189" t="s">
        <v>337</v>
      </c>
      <c r="U246" s="190">
        <v>15</v>
      </c>
      <c r="V246" s="190">
        <v>100</v>
      </c>
      <c r="W246" s="190">
        <v>12</v>
      </c>
      <c r="X246" s="190">
        <f t="shared" si="44"/>
        <v>112</v>
      </c>
      <c r="Y246" s="190">
        <v>4</v>
      </c>
      <c r="Z246" s="190" t="s">
        <v>20</v>
      </c>
      <c r="AA246" s="190" t="s">
        <v>20</v>
      </c>
      <c r="AB246" s="189" t="s">
        <v>20</v>
      </c>
      <c r="AC246" s="189"/>
      <c r="AD246" s="189" t="s">
        <v>2295</v>
      </c>
      <c r="AE246" s="189" t="s">
        <v>18</v>
      </c>
      <c r="AF246" s="189"/>
      <c r="AG246" s="174" t="s">
        <v>990</v>
      </c>
      <c r="AH246" s="190">
        <v>28</v>
      </c>
      <c r="AI246" s="190">
        <v>1</v>
      </c>
      <c r="AJ246" s="200">
        <f t="shared" si="35"/>
        <v>1680</v>
      </c>
      <c r="AK246" s="183">
        <f t="shared" si="36"/>
        <v>5074</v>
      </c>
      <c r="AL246" s="179">
        <f t="shared" si="42"/>
        <v>28</v>
      </c>
      <c r="AM246" s="183">
        <v>0</v>
      </c>
      <c r="AN246" s="183">
        <f t="shared" si="43"/>
        <v>1680000</v>
      </c>
      <c r="AO246" s="183">
        <f t="shared" si="37"/>
        <v>2100000</v>
      </c>
      <c r="AP246" s="183">
        <f t="shared" si="38"/>
        <v>4050000</v>
      </c>
      <c r="AQ246" s="183">
        <f t="shared" si="39"/>
        <v>8524320</v>
      </c>
      <c r="AR246" s="183"/>
      <c r="AS246" s="183">
        <f t="shared" si="40"/>
        <v>0</v>
      </c>
      <c r="AT246" s="183">
        <f t="shared" si="41"/>
        <v>16354320</v>
      </c>
    </row>
    <row r="247" spans="1:46" s="179" customFormat="1" ht="24.95" hidden="1" customHeight="1" x14ac:dyDescent="0.25">
      <c r="A247" s="189">
        <v>14667</v>
      </c>
      <c r="B247" s="175" t="s">
        <v>96</v>
      </c>
      <c r="C247" s="175" t="s">
        <v>39</v>
      </c>
      <c r="D247" s="190">
        <v>4</v>
      </c>
      <c r="E247" s="176">
        <v>2025</v>
      </c>
      <c r="F247" s="189">
        <v>2005</v>
      </c>
      <c r="G247" s="189" t="s">
        <v>1466</v>
      </c>
      <c r="H247" s="189" t="s">
        <v>336</v>
      </c>
      <c r="I247" s="189" t="s">
        <v>1467</v>
      </c>
      <c r="J247" s="189" t="s">
        <v>413</v>
      </c>
      <c r="K247" s="189" t="s">
        <v>414</v>
      </c>
      <c r="L247" s="189" t="s">
        <v>345</v>
      </c>
      <c r="M247" s="189" t="s">
        <v>346</v>
      </c>
      <c r="N247" s="189">
        <v>16</v>
      </c>
      <c r="O247" s="189" t="s">
        <v>808</v>
      </c>
      <c r="P247" s="189" t="s">
        <v>431</v>
      </c>
      <c r="Q247" s="189" t="s">
        <v>2294</v>
      </c>
      <c r="R247" s="189" t="s">
        <v>339</v>
      </c>
      <c r="S247" s="189" t="s">
        <v>19</v>
      </c>
      <c r="T247" s="189" t="s">
        <v>337</v>
      </c>
      <c r="U247" s="190">
        <v>15</v>
      </c>
      <c r="V247" s="190">
        <v>100</v>
      </c>
      <c r="W247" s="190">
        <v>12</v>
      </c>
      <c r="X247" s="190">
        <f t="shared" si="44"/>
        <v>112</v>
      </c>
      <c r="Y247" s="190">
        <v>4</v>
      </c>
      <c r="Z247" s="190" t="s">
        <v>20</v>
      </c>
      <c r="AA247" s="190" t="s">
        <v>20</v>
      </c>
      <c r="AB247" s="189" t="s">
        <v>20</v>
      </c>
      <c r="AC247" s="189"/>
      <c r="AD247" s="189" t="s">
        <v>2296</v>
      </c>
      <c r="AE247" s="189" t="s">
        <v>18</v>
      </c>
      <c r="AF247" s="189"/>
      <c r="AG247" s="174" t="s">
        <v>990</v>
      </c>
      <c r="AH247" s="190">
        <v>28</v>
      </c>
      <c r="AI247" s="190">
        <v>1</v>
      </c>
      <c r="AJ247" s="200">
        <f t="shared" si="35"/>
        <v>1680</v>
      </c>
      <c r="AK247" s="183">
        <f t="shared" si="36"/>
        <v>5074</v>
      </c>
      <c r="AL247" s="179">
        <f t="shared" si="42"/>
        <v>28</v>
      </c>
      <c r="AM247" s="183">
        <v>0</v>
      </c>
      <c r="AN247" s="183">
        <f t="shared" si="43"/>
        <v>1680000</v>
      </c>
      <c r="AO247" s="183">
        <f t="shared" si="37"/>
        <v>2100000</v>
      </c>
      <c r="AP247" s="183">
        <f t="shared" si="38"/>
        <v>4050000</v>
      </c>
      <c r="AQ247" s="183">
        <f t="shared" si="39"/>
        <v>8524320</v>
      </c>
      <c r="AR247" s="183"/>
      <c r="AS247" s="183">
        <f t="shared" si="40"/>
        <v>0</v>
      </c>
      <c r="AT247" s="183">
        <f t="shared" si="41"/>
        <v>16354320</v>
      </c>
    </row>
    <row r="248" spans="1:46" s="179" customFormat="1" ht="24.95" hidden="1" customHeight="1" x14ac:dyDescent="0.25">
      <c r="A248" s="189">
        <v>14668</v>
      </c>
      <c r="B248" s="175" t="s">
        <v>96</v>
      </c>
      <c r="C248" s="175" t="s">
        <v>39</v>
      </c>
      <c r="D248" s="190">
        <v>4</v>
      </c>
      <c r="E248" s="176">
        <v>2025</v>
      </c>
      <c r="F248" s="189">
        <v>2005</v>
      </c>
      <c r="G248" s="189" t="s">
        <v>1466</v>
      </c>
      <c r="H248" s="189" t="s">
        <v>336</v>
      </c>
      <c r="I248" s="189" t="s">
        <v>1467</v>
      </c>
      <c r="J248" s="189" t="s">
        <v>993</v>
      </c>
      <c r="K248" s="189" t="s">
        <v>994</v>
      </c>
      <c r="L248" s="189" t="s">
        <v>345</v>
      </c>
      <c r="M248" s="189" t="s">
        <v>346</v>
      </c>
      <c r="N248" s="189">
        <v>16</v>
      </c>
      <c r="O248" s="189" t="s">
        <v>808</v>
      </c>
      <c r="P248" s="189" t="s">
        <v>2297</v>
      </c>
      <c r="Q248" s="189" t="s">
        <v>1493</v>
      </c>
      <c r="R248" s="189" t="s">
        <v>339</v>
      </c>
      <c r="S248" s="189" t="s">
        <v>19</v>
      </c>
      <c r="T248" s="189" t="s">
        <v>337</v>
      </c>
      <c r="U248" s="190">
        <v>15</v>
      </c>
      <c r="V248" s="190">
        <v>108</v>
      </c>
      <c r="W248" s="190">
        <v>12</v>
      </c>
      <c r="X248" s="190">
        <f t="shared" si="44"/>
        <v>120</v>
      </c>
      <c r="Y248" s="190">
        <v>4</v>
      </c>
      <c r="Z248" s="190" t="s">
        <v>20</v>
      </c>
      <c r="AA248" s="190" t="s">
        <v>20</v>
      </c>
      <c r="AB248" s="189" t="s">
        <v>20</v>
      </c>
      <c r="AC248" s="189"/>
      <c r="AD248" s="189" t="s">
        <v>2298</v>
      </c>
      <c r="AE248" s="189" t="s">
        <v>18</v>
      </c>
      <c r="AF248" s="189"/>
      <c r="AG248" s="174" t="s">
        <v>990</v>
      </c>
      <c r="AH248" s="190">
        <v>30</v>
      </c>
      <c r="AI248" s="190">
        <v>2</v>
      </c>
      <c r="AJ248" s="200">
        <f t="shared" si="35"/>
        <v>1800</v>
      </c>
      <c r="AK248" s="183">
        <f t="shared" si="36"/>
        <v>6372</v>
      </c>
      <c r="AL248" s="179">
        <f t="shared" si="42"/>
        <v>30</v>
      </c>
      <c r="AM248" s="183">
        <v>0</v>
      </c>
      <c r="AN248" s="183">
        <f t="shared" si="43"/>
        <v>1800000</v>
      </c>
      <c r="AO248" s="183">
        <f t="shared" si="37"/>
        <v>2250000</v>
      </c>
      <c r="AP248" s="183">
        <f t="shared" si="38"/>
        <v>4050000</v>
      </c>
      <c r="AQ248" s="183">
        <f t="shared" si="39"/>
        <v>11469600</v>
      </c>
      <c r="AR248" s="183"/>
      <c r="AS248" s="183">
        <f t="shared" si="40"/>
        <v>0</v>
      </c>
      <c r="AT248" s="183">
        <f t="shared" si="41"/>
        <v>19569600</v>
      </c>
    </row>
    <row r="249" spans="1:46" s="179" customFormat="1" ht="24.95" hidden="1" customHeight="1" x14ac:dyDescent="0.25">
      <c r="A249" s="189">
        <v>14669</v>
      </c>
      <c r="B249" s="175" t="s">
        <v>96</v>
      </c>
      <c r="C249" s="175" t="s">
        <v>39</v>
      </c>
      <c r="D249" s="190">
        <v>4</v>
      </c>
      <c r="E249" s="176">
        <v>2025</v>
      </c>
      <c r="F249" s="189">
        <v>2005</v>
      </c>
      <c r="G249" s="189" t="s">
        <v>1466</v>
      </c>
      <c r="H249" s="189" t="s">
        <v>336</v>
      </c>
      <c r="I249" s="189" t="s">
        <v>1467</v>
      </c>
      <c r="J249" s="189" t="s">
        <v>993</v>
      </c>
      <c r="K249" s="189" t="s">
        <v>994</v>
      </c>
      <c r="L249" s="189" t="s">
        <v>345</v>
      </c>
      <c r="M249" s="189" t="s">
        <v>346</v>
      </c>
      <c r="N249" s="189">
        <v>16</v>
      </c>
      <c r="O249" s="189" t="s">
        <v>808</v>
      </c>
      <c r="P249" s="189" t="s">
        <v>725</v>
      </c>
      <c r="Q249" s="189" t="s">
        <v>1493</v>
      </c>
      <c r="R249" s="189" t="s">
        <v>339</v>
      </c>
      <c r="S249" s="189" t="s">
        <v>19</v>
      </c>
      <c r="T249" s="189" t="s">
        <v>337</v>
      </c>
      <c r="U249" s="190">
        <v>15</v>
      </c>
      <c r="V249" s="190">
        <v>108</v>
      </c>
      <c r="W249" s="190">
        <v>12</v>
      </c>
      <c r="X249" s="190">
        <f t="shared" si="44"/>
        <v>120</v>
      </c>
      <c r="Y249" s="190">
        <v>4</v>
      </c>
      <c r="Z249" s="190" t="s">
        <v>20</v>
      </c>
      <c r="AA249" s="190" t="s">
        <v>20</v>
      </c>
      <c r="AB249" s="189" t="s">
        <v>20</v>
      </c>
      <c r="AC249" s="189"/>
      <c r="AD249" s="189" t="s">
        <v>2299</v>
      </c>
      <c r="AE249" s="189" t="s">
        <v>18</v>
      </c>
      <c r="AF249" s="189"/>
      <c r="AG249" s="174" t="s">
        <v>990</v>
      </c>
      <c r="AH249" s="190">
        <v>30</v>
      </c>
      <c r="AI249" s="190">
        <v>2</v>
      </c>
      <c r="AJ249" s="200">
        <f t="shared" si="35"/>
        <v>1800</v>
      </c>
      <c r="AK249" s="183">
        <f t="shared" si="36"/>
        <v>6372</v>
      </c>
      <c r="AL249" s="179">
        <f t="shared" si="42"/>
        <v>30</v>
      </c>
      <c r="AM249" s="183">
        <v>0</v>
      </c>
      <c r="AN249" s="183">
        <f t="shared" si="43"/>
        <v>1800000</v>
      </c>
      <c r="AO249" s="183">
        <f t="shared" si="37"/>
        <v>2250000</v>
      </c>
      <c r="AP249" s="183">
        <f t="shared" si="38"/>
        <v>4050000</v>
      </c>
      <c r="AQ249" s="183">
        <f t="shared" si="39"/>
        <v>11469600</v>
      </c>
      <c r="AR249" s="183"/>
      <c r="AS249" s="183">
        <f t="shared" si="40"/>
        <v>0</v>
      </c>
      <c r="AT249" s="183">
        <f t="shared" si="41"/>
        <v>19569600</v>
      </c>
    </row>
    <row r="250" spans="1:46" s="179" customFormat="1" ht="24.95" hidden="1" customHeight="1" x14ac:dyDescent="0.25">
      <c r="A250" s="189">
        <v>14871</v>
      </c>
      <c r="B250" s="175" t="s">
        <v>96</v>
      </c>
      <c r="C250" s="175" t="s">
        <v>39</v>
      </c>
      <c r="D250" s="190">
        <v>4</v>
      </c>
      <c r="E250" s="176">
        <v>2025</v>
      </c>
      <c r="F250" s="189">
        <v>2005</v>
      </c>
      <c r="G250" s="189" t="s">
        <v>1466</v>
      </c>
      <c r="H250" s="189" t="s">
        <v>336</v>
      </c>
      <c r="I250" s="189" t="s">
        <v>1467</v>
      </c>
      <c r="J250" s="189" t="s">
        <v>772</v>
      </c>
      <c r="K250" s="189" t="s">
        <v>771</v>
      </c>
      <c r="L250" s="189" t="s">
        <v>345</v>
      </c>
      <c r="M250" s="189" t="s">
        <v>346</v>
      </c>
      <c r="N250" s="189">
        <v>16</v>
      </c>
      <c r="O250" s="189" t="s">
        <v>808</v>
      </c>
      <c r="P250" s="189" t="s">
        <v>2291</v>
      </c>
      <c r="Q250" s="189" t="s">
        <v>1493</v>
      </c>
      <c r="R250" s="189" t="s">
        <v>339</v>
      </c>
      <c r="S250" s="189" t="s">
        <v>19</v>
      </c>
      <c r="T250" s="189" t="s">
        <v>337</v>
      </c>
      <c r="U250" s="190">
        <v>15</v>
      </c>
      <c r="V250" s="190">
        <v>100</v>
      </c>
      <c r="W250" s="190">
        <v>12</v>
      </c>
      <c r="X250" s="190">
        <f t="shared" si="44"/>
        <v>112</v>
      </c>
      <c r="Y250" s="190">
        <v>4</v>
      </c>
      <c r="Z250" s="190" t="s">
        <v>20</v>
      </c>
      <c r="AA250" s="190" t="s">
        <v>20</v>
      </c>
      <c r="AB250" s="189" t="s">
        <v>20</v>
      </c>
      <c r="AC250" s="189"/>
      <c r="AD250" s="189" t="s">
        <v>2300</v>
      </c>
      <c r="AE250" s="189" t="s">
        <v>18</v>
      </c>
      <c r="AF250" s="189"/>
      <c r="AG250" s="174" t="s">
        <v>990</v>
      </c>
      <c r="AH250" s="190">
        <v>28</v>
      </c>
      <c r="AI250" s="190">
        <v>2</v>
      </c>
      <c r="AJ250" s="200">
        <f t="shared" si="35"/>
        <v>1680</v>
      </c>
      <c r="AK250" s="183">
        <f t="shared" si="36"/>
        <v>6372</v>
      </c>
      <c r="AL250" s="179">
        <f t="shared" si="42"/>
        <v>28</v>
      </c>
      <c r="AM250" s="183">
        <v>0</v>
      </c>
      <c r="AN250" s="183">
        <f t="shared" si="43"/>
        <v>1680000</v>
      </c>
      <c r="AO250" s="183">
        <f t="shared" si="37"/>
        <v>2100000</v>
      </c>
      <c r="AP250" s="183">
        <f t="shared" si="38"/>
        <v>4050000</v>
      </c>
      <c r="AQ250" s="183">
        <f t="shared" si="39"/>
        <v>10704960</v>
      </c>
      <c r="AR250" s="183"/>
      <c r="AS250" s="183">
        <f t="shared" si="40"/>
        <v>0</v>
      </c>
      <c r="AT250" s="183">
        <f t="shared" si="41"/>
        <v>18534960</v>
      </c>
    </row>
    <row r="251" spans="1:46" s="179" customFormat="1" ht="24.95" hidden="1" customHeight="1" x14ac:dyDescent="0.25">
      <c r="A251" s="189">
        <v>14873</v>
      </c>
      <c r="B251" s="175" t="s">
        <v>96</v>
      </c>
      <c r="C251" s="175" t="s">
        <v>39</v>
      </c>
      <c r="D251" s="190">
        <v>4</v>
      </c>
      <c r="E251" s="176">
        <v>2025</v>
      </c>
      <c r="F251" s="189">
        <v>2005</v>
      </c>
      <c r="G251" s="189" t="s">
        <v>1466</v>
      </c>
      <c r="H251" s="189" t="s">
        <v>336</v>
      </c>
      <c r="I251" s="189" t="s">
        <v>1467</v>
      </c>
      <c r="J251" s="189" t="s">
        <v>786</v>
      </c>
      <c r="K251" s="189" t="s">
        <v>785</v>
      </c>
      <c r="L251" s="189" t="s">
        <v>345</v>
      </c>
      <c r="M251" s="189" t="s">
        <v>346</v>
      </c>
      <c r="N251" s="189">
        <v>16</v>
      </c>
      <c r="O251" s="189" t="s">
        <v>808</v>
      </c>
      <c r="P251" s="189" t="s">
        <v>2291</v>
      </c>
      <c r="Q251" s="189" t="s">
        <v>1493</v>
      </c>
      <c r="R251" s="189" t="s">
        <v>339</v>
      </c>
      <c r="S251" s="189" t="s">
        <v>19</v>
      </c>
      <c r="T251" s="189" t="s">
        <v>337</v>
      </c>
      <c r="U251" s="190">
        <v>15</v>
      </c>
      <c r="V251" s="190">
        <v>120</v>
      </c>
      <c r="W251" s="190">
        <v>12</v>
      </c>
      <c r="X251" s="190">
        <f t="shared" si="44"/>
        <v>132</v>
      </c>
      <c r="Y251" s="190">
        <v>4</v>
      </c>
      <c r="Z251" s="190" t="s">
        <v>20</v>
      </c>
      <c r="AA251" s="190" t="s">
        <v>20</v>
      </c>
      <c r="AB251" s="189" t="s">
        <v>20</v>
      </c>
      <c r="AC251" s="189"/>
      <c r="AD251" s="189" t="s">
        <v>2301</v>
      </c>
      <c r="AE251" s="189" t="s">
        <v>18</v>
      </c>
      <c r="AF251" s="189"/>
      <c r="AG251" s="174" t="s">
        <v>990</v>
      </c>
      <c r="AH251" s="190">
        <v>33</v>
      </c>
      <c r="AI251" s="190">
        <v>2</v>
      </c>
      <c r="AJ251" s="200">
        <f t="shared" si="35"/>
        <v>1980</v>
      </c>
      <c r="AK251" s="183">
        <f t="shared" si="36"/>
        <v>6372</v>
      </c>
      <c r="AL251" s="179">
        <f t="shared" si="42"/>
        <v>33</v>
      </c>
      <c r="AM251" s="183">
        <v>0</v>
      </c>
      <c r="AN251" s="183">
        <f t="shared" si="43"/>
        <v>1980000</v>
      </c>
      <c r="AO251" s="183">
        <f t="shared" si="37"/>
        <v>2475000</v>
      </c>
      <c r="AP251" s="183">
        <f t="shared" si="38"/>
        <v>4050000</v>
      </c>
      <c r="AQ251" s="183">
        <f t="shared" si="39"/>
        <v>12616560</v>
      </c>
      <c r="AR251" s="183"/>
      <c r="AS251" s="183">
        <f t="shared" si="40"/>
        <v>0</v>
      </c>
      <c r="AT251" s="183">
        <f t="shared" si="41"/>
        <v>21121560</v>
      </c>
    </row>
    <row r="252" spans="1:46" s="179" customFormat="1" ht="24.95" hidden="1" customHeight="1" x14ac:dyDescent="0.25">
      <c r="A252" s="179">
        <v>14631</v>
      </c>
      <c r="B252" s="175" t="s">
        <v>96</v>
      </c>
      <c r="C252" s="175" t="s">
        <v>39</v>
      </c>
      <c r="D252" s="179">
        <v>4</v>
      </c>
      <c r="E252" s="179">
        <v>2025</v>
      </c>
      <c r="F252" s="179">
        <v>2025</v>
      </c>
      <c r="G252" s="177" t="s">
        <v>1466</v>
      </c>
      <c r="H252" s="196" t="s">
        <v>336</v>
      </c>
      <c r="I252" s="177" t="s">
        <v>1467</v>
      </c>
      <c r="J252" s="177" t="s">
        <v>883</v>
      </c>
      <c r="K252" s="181" t="s">
        <v>882</v>
      </c>
      <c r="L252" s="181"/>
      <c r="M252" s="177"/>
      <c r="N252" s="179">
        <v>6</v>
      </c>
      <c r="O252" s="181" t="s">
        <v>796</v>
      </c>
      <c r="P252" s="177" t="s">
        <v>1681</v>
      </c>
      <c r="Q252" s="177" t="s">
        <v>2304</v>
      </c>
      <c r="R252" s="177" t="s">
        <v>339</v>
      </c>
      <c r="S252" s="181" t="s">
        <v>22</v>
      </c>
      <c r="T252" s="177" t="s">
        <v>347</v>
      </c>
      <c r="U252" s="179">
        <v>15</v>
      </c>
      <c r="V252" s="179">
        <v>80</v>
      </c>
      <c r="X252" s="179">
        <v>80</v>
      </c>
      <c r="Y252" s="179">
        <v>3</v>
      </c>
      <c r="Z252" s="179" t="s">
        <v>20</v>
      </c>
      <c r="AA252" s="179" t="s">
        <v>20</v>
      </c>
      <c r="AB252" s="189" t="s">
        <v>18</v>
      </c>
      <c r="AC252" s="179" t="s">
        <v>21</v>
      </c>
      <c r="AD252" s="181" t="s">
        <v>2305</v>
      </c>
      <c r="AE252" s="179" t="s">
        <v>18</v>
      </c>
      <c r="AF252" s="181"/>
      <c r="AG252" s="174" t="s">
        <v>990</v>
      </c>
      <c r="AH252" s="179">
        <v>27</v>
      </c>
      <c r="AI252" s="179">
        <v>2</v>
      </c>
      <c r="AJ252" s="200">
        <f t="shared" si="35"/>
        <v>1200</v>
      </c>
      <c r="AK252" s="183">
        <f t="shared" si="36"/>
        <v>6372</v>
      </c>
      <c r="AL252" s="179">
        <f t="shared" si="42"/>
        <v>26.666666666666668</v>
      </c>
      <c r="AM252" s="183">
        <v>0</v>
      </c>
      <c r="AN252" s="183">
        <f t="shared" si="43"/>
        <v>1620000</v>
      </c>
      <c r="AO252" s="183">
        <f t="shared" si="37"/>
        <v>2025000</v>
      </c>
      <c r="AP252" s="183">
        <f t="shared" si="38"/>
        <v>0</v>
      </c>
      <c r="AQ252" s="183">
        <f t="shared" si="39"/>
        <v>7646400</v>
      </c>
      <c r="AR252" s="183" t="s">
        <v>21</v>
      </c>
      <c r="AS252" s="183">
        <f t="shared" si="40"/>
        <v>0</v>
      </c>
      <c r="AT252" s="183">
        <f t="shared" si="41"/>
        <v>11291400</v>
      </c>
    </row>
    <row r="253" spans="1:46" s="179" customFormat="1" ht="24.95" hidden="1" customHeight="1" x14ac:dyDescent="0.25">
      <c r="A253" s="179">
        <v>14632</v>
      </c>
      <c r="B253" s="175" t="s">
        <v>96</v>
      </c>
      <c r="C253" s="175" t="s">
        <v>39</v>
      </c>
      <c r="D253" s="179">
        <v>4</v>
      </c>
      <c r="E253" s="179">
        <v>2025</v>
      </c>
      <c r="F253" s="179">
        <v>2025</v>
      </c>
      <c r="G253" s="177" t="s">
        <v>1466</v>
      </c>
      <c r="H253" s="196" t="s">
        <v>336</v>
      </c>
      <c r="I253" s="177" t="s">
        <v>1467</v>
      </c>
      <c r="J253" s="177" t="s">
        <v>869</v>
      </c>
      <c r="K253" s="181" t="s">
        <v>868</v>
      </c>
      <c r="L253" s="181" t="s">
        <v>760</v>
      </c>
      <c r="M253" s="177" t="s">
        <v>759</v>
      </c>
      <c r="N253" s="179">
        <v>6</v>
      </c>
      <c r="O253" s="181" t="s">
        <v>796</v>
      </c>
      <c r="P253" s="177" t="s">
        <v>818</v>
      </c>
      <c r="Q253" s="177" t="s">
        <v>2306</v>
      </c>
      <c r="R253" s="177" t="s">
        <v>339</v>
      </c>
      <c r="S253" s="181" t="s">
        <v>22</v>
      </c>
      <c r="T253" s="177" t="s">
        <v>337</v>
      </c>
      <c r="U253" s="179">
        <v>10</v>
      </c>
      <c r="V253" s="179">
        <v>176</v>
      </c>
      <c r="W253" s="179">
        <v>8</v>
      </c>
      <c r="X253" s="179">
        <v>184</v>
      </c>
      <c r="Y253" s="179">
        <v>3</v>
      </c>
      <c r="Z253" s="179" t="s">
        <v>20</v>
      </c>
      <c r="AA253" s="179" t="s">
        <v>20</v>
      </c>
      <c r="AB253" s="189" t="s">
        <v>18</v>
      </c>
      <c r="AC253" s="179" t="s">
        <v>21</v>
      </c>
      <c r="AD253" s="181" t="s">
        <v>2307</v>
      </c>
      <c r="AE253" s="179" t="s">
        <v>18</v>
      </c>
      <c r="AF253" s="181"/>
      <c r="AG253" s="174" t="s">
        <v>990</v>
      </c>
      <c r="AH253" s="179">
        <v>62</v>
      </c>
      <c r="AI253" s="179">
        <v>2</v>
      </c>
      <c r="AJ253" s="200">
        <f t="shared" si="35"/>
        <v>1840</v>
      </c>
      <c r="AK253" s="183">
        <f t="shared" si="36"/>
        <v>6372</v>
      </c>
      <c r="AL253" s="179">
        <f t="shared" si="42"/>
        <v>61.333333333333336</v>
      </c>
      <c r="AM253" s="183">
        <v>0</v>
      </c>
      <c r="AN253" s="183">
        <f t="shared" si="43"/>
        <v>2480000</v>
      </c>
      <c r="AO253" s="183">
        <f t="shared" si="37"/>
        <v>3100000</v>
      </c>
      <c r="AP253" s="183">
        <f t="shared" si="38"/>
        <v>0</v>
      </c>
      <c r="AQ253" s="183">
        <f t="shared" si="39"/>
        <v>11724480</v>
      </c>
      <c r="AR253" s="183" t="s">
        <v>21</v>
      </c>
      <c r="AS253" s="183">
        <f t="shared" si="40"/>
        <v>0</v>
      </c>
      <c r="AT253" s="183">
        <f t="shared" si="41"/>
        <v>17304480</v>
      </c>
    </row>
    <row r="254" spans="1:46" s="179" customFormat="1" ht="24.95" hidden="1" customHeight="1" x14ac:dyDescent="0.25">
      <c r="A254" s="179">
        <v>14634</v>
      </c>
      <c r="B254" s="175" t="s">
        <v>96</v>
      </c>
      <c r="C254" s="175" t="s">
        <v>39</v>
      </c>
      <c r="D254" s="179">
        <v>4</v>
      </c>
      <c r="E254" s="179">
        <v>2025</v>
      </c>
      <c r="F254" s="179">
        <v>2025</v>
      </c>
      <c r="G254" s="177" t="s">
        <v>1466</v>
      </c>
      <c r="H254" s="196" t="s">
        <v>336</v>
      </c>
      <c r="I254" s="177" t="s">
        <v>1467</v>
      </c>
      <c r="J254" s="177" t="s">
        <v>2308</v>
      </c>
      <c r="K254" s="181" t="s">
        <v>2309</v>
      </c>
      <c r="L254" s="181"/>
      <c r="M254" s="177"/>
      <c r="N254" s="179">
        <v>6</v>
      </c>
      <c r="O254" s="181" t="s">
        <v>796</v>
      </c>
      <c r="P254" s="177" t="s">
        <v>821</v>
      </c>
      <c r="Q254" s="177" t="s">
        <v>1493</v>
      </c>
      <c r="R254" s="177" t="s">
        <v>339</v>
      </c>
      <c r="S254" s="181" t="s">
        <v>22</v>
      </c>
      <c r="T254" s="177" t="s">
        <v>337</v>
      </c>
      <c r="U254" s="179">
        <v>15</v>
      </c>
      <c r="V254" s="179">
        <v>160</v>
      </c>
      <c r="X254" s="179">
        <v>160</v>
      </c>
      <c r="Y254" s="179">
        <v>3</v>
      </c>
      <c r="Z254" s="179" t="s">
        <v>20</v>
      </c>
      <c r="AA254" s="179" t="s">
        <v>20</v>
      </c>
      <c r="AB254" s="189" t="s">
        <v>18</v>
      </c>
      <c r="AC254" s="179" t="s">
        <v>21</v>
      </c>
      <c r="AD254" s="181" t="s">
        <v>2310</v>
      </c>
      <c r="AE254" s="179" t="s">
        <v>18</v>
      </c>
      <c r="AF254" s="181"/>
      <c r="AG254" s="174" t="s">
        <v>990</v>
      </c>
      <c r="AH254" s="179">
        <v>54</v>
      </c>
      <c r="AI254" s="179">
        <v>3</v>
      </c>
      <c r="AJ254" s="200">
        <f t="shared" si="35"/>
        <v>2400</v>
      </c>
      <c r="AK254" s="183">
        <f t="shared" si="36"/>
        <v>7434</v>
      </c>
      <c r="AL254" s="179">
        <f t="shared" si="42"/>
        <v>53.333333333333336</v>
      </c>
      <c r="AM254" s="183">
        <v>0</v>
      </c>
      <c r="AN254" s="183">
        <f t="shared" si="43"/>
        <v>3240000</v>
      </c>
      <c r="AO254" s="183">
        <f t="shared" si="37"/>
        <v>4050000</v>
      </c>
      <c r="AP254" s="183">
        <f t="shared" si="38"/>
        <v>0</v>
      </c>
      <c r="AQ254" s="183">
        <f t="shared" si="39"/>
        <v>17841600</v>
      </c>
      <c r="AR254" s="183" t="s">
        <v>21</v>
      </c>
      <c r="AS254" s="183">
        <f t="shared" si="40"/>
        <v>0</v>
      </c>
      <c r="AT254" s="183">
        <f t="shared" si="41"/>
        <v>25131600</v>
      </c>
    </row>
    <row r="255" spans="1:46" s="179" customFormat="1" ht="24.95" hidden="1" customHeight="1" x14ac:dyDescent="0.25">
      <c r="A255" s="179">
        <v>15124</v>
      </c>
      <c r="B255" s="175" t="s">
        <v>96</v>
      </c>
      <c r="C255" s="175" t="s">
        <v>39</v>
      </c>
      <c r="D255" s="179">
        <v>4</v>
      </c>
      <c r="E255" s="179">
        <v>2025</v>
      </c>
      <c r="F255" s="179">
        <v>2025</v>
      </c>
      <c r="G255" s="177" t="s">
        <v>1466</v>
      </c>
      <c r="H255" s="196" t="s">
        <v>336</v>
      </c>
      <c r="I255" s="177" t="s">
        <v>1467</v>
      </c>
      <c r="J255" s="177" t="s">
        <v>788</v>
      </c>
      <c r="K255" s="181" t="s">
        <v>787</v>
      </c>
      <c r="L255" s="181"/>
      <c r="M255" s="177"/>
      <c r="N255" s="179">
        <v>6</v>
      </c>
      <c r="O255" s="181" t="s">
        <v>796</v>
      </c>
      <c r="P255" s="177" t="s">
        <v>2311</v>
      </c>
      <c r="Q255" s="177" t="s">
        <v>2312</v>
      </c>
      <c r="R255" s="177" t="s">
        <v>339</v>
      </c>
      <c r="S255" s="181" t="s">
        <v>22</v>
      </c>
      <c r="T255" s="177" t="s">
        <v>347</v>
      </c>
      <c r="U255" s="179">
        <v>15</v>
      </c>
      <c r="V255" s="179">
        <v>20</v>
      </c>
      <c r="X255" s="179">
        <v>20</v>
      </c>
      <c r="Y255" s="179">
        <v>3</v>
      </c>
      <c r="Z255" s="179" t="s">
        <v>20</v>
      </c>
      <c r="AA255" s="179" t="s">
        <v>20</v>
      </c>
      <c r="AB255" s="189" t="s">
        <v>18</v>
      </c>
      <c r="AC255" s="179" t="s">
        <v>21</v>
      </c>
      <c r="AD255" s="181" t="s">
        <v>2313</v>
      </c>
      <c r="AE255" s="179" t="s">
        <v>18</v>
      </c>
      <c r="AF255" s="181"/>
      <c r="AG255" s="174" t="s">
        <v>990</v>
      </c>
      <c r="AH255" s="179">
        <v>7</v>
      </c>
      <c r="AI255" s="179">
        <v>1</v>
      </c>
      <c r="AJ255" s="200">
        <f t="shared" si="35"/>
        <v>300</v>
      </c>
      <c r="AK255" s="183">
        <f t="shared" si="36"/>
        <v>5074</v>
      </c>
      <c r="AL255" s="179">
        <f t="shared" si="42"/>
        <v>6.666666666666667</v>
      </c>
      <c r="AM255" s="183">
        <v>0</v>
      </c>
      <c r="AN255" s="183">
        <f t="shared" si="43"/>
        <v>420000</v>
      </c>
      <c r="AO255" s="183">
        <f t="shared" si="37"/>
        <v>525000</v>
      </c>
      <c r="AP255" s="183">
        <f t="shared" si="38"/>
        <v>0</v>
      </c>
      <c r="AQ255" s="183">
        <f t="shared" si="39"/>
        <v>1522200</v>
      </c>
      <c r="AR255" s="183" t="s">
        <v>21</v>
      </c>
      <c r="AS255" s="183">
        <f t="shared" si="40"/>
        <v>0</v>
      </c>
      <c r="AT255" s="183">
        <f t="shared" si="41"/>
        <v>2467200</v>
      </c>
    </row>
    <row r="256" spans="1:46" s="179" customFormat="1" ht="24.95" hidden="1" customHeight="1" x14ac:dyDescent="0.25">
      <c r="A256" s="179">
        <v>15294</v>
      </c>
      <c r="B256" s="175" t="s">
        <v>96</v>
      </c>
      <c r="C256" s="175" t="s">
        <v>39</v>
      </c>
      <c r="D256" s="179">
        <v>4</v>
      </c>
      <c r="E256" s="179">
        <v>2025</v>
      </c>
      <c r="F256" s="179">
        <v>2025</v>
      </c>
      <c r="G256" s="177" t="s">
        <v>1466</v>
      </c>
      <c r="H256" s="196" t="s">
        <v>336</v>
      </c>
      <c r="I256" s="177" t="s">
        <v>1467</v>
      </c>
      <c r="J256" s="177" t="s">
        <v>857</v>
      </c>
      <c r="K256" s="181" t="s">
        <v>856</v>
      </c>
      <c r="L256" s="181"/>
      <c r="M256" s="177"/>
      <c r="N256" s="179">
        <v>6</v>
      </c>
      <c r="O256" s="181" t="s">
        <v>796</v>
      </c>
      <c r="P256" s="177" t="s">
        <v>1933</v>
      </c>
      <c r="Q256" s="177" t="s">
        <v>1493</v>
      </c>
      <c r="R256" s="177" t="s">
        <v>339</v>
      </c>
      <c r="S256" s="181" t="s">
        <v>22</v>
      </c>
      <c r="T256" s="177" t="s">
        <v>337</v>
      </c>
      <c r="U256" s="198">
        <v>10</v>
      </c>
      <c r="V256" s="179">
        <v>70</v>
      </c>
      <c r="X256" s="179">
        <v>70</v>
      </c>
      <c r="Y256" s="179">
        <v>3</v>
      </c>
      <c r="Z256" s="179" t="s">
        <v>20</v>
      </c>
      <c r="AA256" s="179" t="s">
        <v>20</v>
      </c>
      <c r="AB256" s="189" t="s">
        <v>18</v>
      </c>
      <c r="AC256" s="179" t="s">
        <v>21</v>
      </c>
      <c r="AD256" s="181" t="s">
        <v>2314</v>
      </c>
      <c r="AE256" s="179" t="s">
        <v>18</v>
      </c>
      <c r="AF256" s="181"/>
      <c r="AG256" s="184" t="s">
        <v>989</v>
      </c>
      <c r="AH256" s="179">
        <v>24</v>
      </c>
      <c r="AI256" s="179">
        <v>1</v>
      </c>
      <c r="AJ256" s="200">
        <f t="shared" si="35"/>
        <v>700</v>
      </c>
      <c r="AK256" s="183">
        <f t="shared" si="36"/>
        <v>5074</v>
      </c>
      <c r="AL256" s="179">
        <f t="shared" si="42"/>
        <v>23.333333333333332</v>
      </c>
      <c r="AM256" s="183">
        <v>0</v>
      </c>
      <c r="AN256" s="183">
        <f t="shared" si="43"/>
        <v>960000</v>
      </c>
      <c r="AO256" s="183">
        <f t="shared" si="37"/>
        <v>1200000</v>
      </c>
      <c r="AP256" s="183">
        <f t="shared" si="38"/>
        <v>0</v>
      </c>
      <c r="AQ256" s="183">
        <f t="shared" si="39"/>
        <v>3551800</v>
      </c>
      <c r="AR256" s="183" t="s">
        <v>21</v>
      </c>
      <c r="AS256" s="183">
        <f t="shared" si="40"/>
        <v>0</v>
      </c>
      <c r="AT256" s="183">
        <f t="shared" si="41"/>
        <v>5711800</v>
      </c>
    </row>
    <row r="257" spans="1:46" s="179" customFormat="1" ht="24.95" hidden="1" customHeight="1" x14ac:dyDescent="0.25">
      <c r="A257" s="179">
        <v>15355</v>
      </c>
      <c r="B257" s="175" t="s">
        <v>96</v>
      </c>
      <c r="C257" s="175" t="s">
        <v>39</v>
      </c>
      <c r="D257" s="179">
        <v>4</v>
      </c>
      <c r="E257" s="179">
        <v>2025</v>
      </c>
      <c r="F257" s="179">
        <v>2025</v>
      </c>
      <c r="G257" s="177" t="s">
        <v>1466</v>
      </c>
      <c r="H257" s="196" t="s">
        <v>336</v>
      </c>
      <c r="I257" s="177" t="s">
        <v>1467</v>
      </c>
      <c r="J257" s="177" t="s">
        <v>857</v>
      </c>
      <c r="K257" s="181" t="s">
        <v>856</v>
      </c>
      <c r="L257" s="181"/>
      <c r="M257" s="177"/>
      <c r="N257" s="179">
        <v>6</v>
      </c>
      <c r="O257" s="181" t="s">
        <v>796</v>
      </c>
      <c r="P257" s="177" t="s">
        <v>2315</v>
      </c>
      <c r="Q257" s="177" t="s">
        <v>1493</v>
      </c>
      <c r="R257" s="177" t="s">
        <v>339</v>
      </c>
      <c r="S257" s="181" t="s">
        <v>22</v>
      </c>
      <c r="T257" s="177" t="s">
        <v>347</v>
      </c>
      <c r="U257" s="179">
        <v>10</v>
      </c>
      <c r="V257" s="179">
        <v>70</v>
      </c>
      <c r="X257" s="179">
        <v>70</v>
      </c>
      <c r="Y257" s="179">
        <v>3</v>
      </c>
      <c r="Z257" s="179" t="s">
        <v>20</v>
      </c>
      <c r="AA257" s="179" t="s">
        <v>20</v>
      </c>
      <c r="AB257" s="189" t="s">
        <v>18</v>
      </c>
      <c r="AC257" s="179" t="s">
        <v>21</v>
      </c>
      <c r="AD257" s="181" t="s">
        <v>2316</v>
      </c>
      <c r="AE257" s="179" t="s">
        <v>18</v>
      </c>
      <c r="AF257" s="181"/>
      <c r="AG257" s="184" t="s">
        <v>989</v>
      </c>
      <c r="AH257" s="179">
        <v>24</v>
      </c>
      <c r="AI257" s="179">
        <v>1</v>
      </c>
      <c r="AJ257" s="200">
        <f t="shared" si="35"/>
        <v>700</v>
      </c>
      <c r="AK257" s="183">
        <f t="shared" si="36"/>
        <v>5074</v>
      </c>
      <c r="AL257" s="179">
        <f t="shared" si="42"/>
        <v>23.333333333333332</v>
      </c>
      <c r="AM257" s="183">
        <v>0</v>
      </c>
      <c r="AN257" s="183">
        <f t="shared" si="43"/>
        <v>960000</v>
      </c>
      <c r="AO257" s="183">
        <f t="shared" si="37"/>
        <v>1200000</v>
      </c>
      <c r="AP257" s="183">
        <f t="shared" si="38"/>
        <v>0</v>
      </c>
      <c r="AQ257" s="183">
        <f t="shared" si="39"/>
        <v>3551800</v>
      </c>
      <c r="AR257" s="183" t="s">
        <v>21</v>
      </c>
      <c r="AS257" s="183">
        <f t="shared" si="40"/>
        <v>0</v>
      </c>
      <c r="AT257" s="183">
        <f t="shared" si="41"/>
        <v>5711800</v>
      </c>
    </row>
    <row r="258" spans="1:46" s="179" customFormat="1" ht="24.95" hidden="1" customHeight="1" x14ac:dyDescent="0.25">
      <c r="A258" s="179">
        <v>15359</v>
      </c>
      <c r="B258" s="175" t="s">
        <v>96</v>
      </c>
      <c r="C258" s="175" t="s">
        <v>39</v>
      </c>
      <c r="D258" s="179">
        <v>4</v>
      </c>
      <c r="E258" s="179">
        <v>2025</v>
      </c>
      <c r="F258" s="179">
        <v>2025</v>
      </c>
      <c r="G258" s="177" t="s">
        <v>1466</v>
      </c>
      <c r="H258" s="196" t="s">
        <v>336</v>
      </c>
      <c r="I258" s="177" t="s">
        <v>1467</v>
      </c>
      <c r="J258" s="177" t="s">
        <v>2317</v>
      </c>
      <c r="K258" s="181" t="s">
        <v>2318</v>
      </c>
      <c r="L258" s="181"/>
      <c r="M258" s="177"/>
      <c r="N258" s="179">
        <v>6</v>
      </c>
      <c r="O258" s="181" t="s">
        <v>796</v>
      </c>
      <c r="P258" s="177" t="s">
        <v>2319</v>
      </c>
      <c r="Q258" s="177" t="s">
        <v>1493</v>
      </c>
      <c r="R258" s="177" t="s">
        <v>339</v>
      </c>
      <c r="S258" s="181" t="s">
        <v>22</v>
      </c>
      <c r="T258" s="177" t="s">
        <v>337</v>
      </c>
      <c r="U258" s="198">
        <v>12</v>
      </c>
      <c r="V258" s="179">
        <v>40</v>
      </c>
      <c r="X258" s="179">
        <v>40</v>
      </c>
      <c r="Y258" s="179">
        <v>3</v>
      </c>
      <c r="Z258" s="179" t="s">
        <v>20</v>
      </c>
      <c r="AA258" s="179" t="s">
        <v>20</v>
      </c>
      <c r="AB258" s="189" t="s">
        <v>18</v>
      </c>
      <c r="AC258" s="179" t="s">
        <v>21</v>
      </c>
      <c r="AD258" s="181" t="s">
        <v>2320</v>
      </c>
      <c r="AE258" s="179" t="s">
        <v>18</v>
      </c>
      <c r="AF258" s="181"/>
      <c r="AG258" s="184" t="s">
        <v>989</v>
      </c>
      <c r="AH258" s="179">
        <v>14</v>
      </c>
      <c r="AI258" s="179">
        <v>1</v>
      </c>
      <c r="AJ258" s="200">
        <f t="shared" ref="AJ258:AJ283" si="45">+(U258*X258)</f>
        <v>480</v>
      </c>
      <c r="AK258" s="183">
        <f t="shared" ref="AK258:AK283" si="46">IF(AI258=1,5074,IF(AI258=2,6372,IF(AI258=3,7434,"ERROR")))</f>
        <v>5074</v>
      </c>
      <c r="AL258" s="179">
        <f t="shared" si="42"/>
        <v>13.333333333333334</v>
      </c>
      <c r="AM258" s="183">
        <v>0</v>
      </c>
      <c r="AN258" s="183">
        <f t="shared" si="43"/>
        <v>672000</v>
      </c>
      <c r="AO258" s="183">
        <f t="shared" ref="AO258:AO283" si="47">IF(AA258="SI",5000*AH258*U258,0)</f>
        <v>840000</v>
      </c>
      <c r="AP258" s="183">
        <f t="shared" ref="AP258:AP283" si="48">IF(AB258="SI",270000*U258,0)</f>
        <v>0</v>
      </c>
      <c r="AQ258" s="183">
        <f t="shared" ref="AQ258:AQ283" si="49">+(AK258*X258*U258)</f>
        <v>2435520</v>
      </c>
      <c r="AR258" s="183" t="s">
        <v>21</v>
      </c>
      <c r="AS258" s="183">
        <f t="shared" ref="AS258:AS283" si="50">+(AM258*U258)</f>
        <v>0</v>
      </c>
      <c r="AT258" s="183">
        <f t="shared" ref="AT258:AT283" si="51">+(AN258+AO258+AP258+AQ258+AS258)</f>
        <v>3947520</v>
      </c>
    </row>
    <row r="259" spans="1:46" s="179" customFormat="1" ht="24.95" hidden="1" customHeight="1" x14ac:dyDescent="0.25">
      <c r="A259" s="179">
        <v>15364</v>
      </c>
      <c r="B259" s="175" t="s">
        <v>96</v>
      </c>
      <c r="C259" s="175" t="s">
        <v>39</v>
      </c>
      <c r="D259" s="179">
        <v>4</v>
      </c>
      <c r="E259" s="179">
        <v>2025</v>
      </c>
      <c r="F259" s="179">
        <v>2025</v>
      </c>
      <c r="G259" s="177" t="s">
        <v>1466</v>
      </c>
      <c r="H259" s="196" t="s">
        <v>336</v>
      </c>
      <c r="I259" s="177" t="s">
        <v>1467</v>
      </c>
      <c r="J259" s="177" t="s">
        <v>741</v>
      </c>
      <c r="K259" s="181" t="s">
        <v>357</v>
      </c>
      <c r="L259" s="181"/>
      <c r="M259" s="177"/>
      <c r="N259" s="179">
        <v>6</v>
      </c>
      <c r="O259" s="181" t="s">
        <v>796</v>
      </c>
      <c r="P259" s="177" t="s">
        <v>818</v>
      </c>
      <c r="Q259" s="177" t="s">
        <v>1493</v>
      </c>
      <c r="R259" s="177" t="s">
        <v>339</v>
      </c>
      <c r="S259" s="181" t="s">
        <v>22</v>
      </c>
      <c r="T259" s="177" t="s">
        <v>337</v>
      </c>
      <c r="U259" s="179">
        <v>15</v>
      </c>
      <c r="V259" s="179">
        <v>90</v>
      </c>
      <c r="X259" s="179">
        <v>90</v>
      </c>
      <c r="Y259" s="179">
        <v>3</v>
      </c>
      <c r="Z259" s="179" t="s">
        <v>20</v>
      </c>
      <c r="AA259" s="179" t="s">
        <v>20</v>
      </c>
      <c r="AB259" s="189" t="s">
        <v>18</v>
      </c>
      <c r="AC259" s="179" t="s">
        <v>21</v>
      </c>
      <c r="AD259" s="181" t="s">
        <v>2321</v>
      </c>
      <c r="AE259" s="179" t="s">
        <v>18</v>
      </c>
      <c r="AF259" s="181"/>
      <c r="AG259" s="184" t="s">
        <v>989</v>
      </c>
      <c r="AH259" s="179">
        <v>30</v>
      </c>
      <c r="AI259" s="179">
        <v>2</v>
      </c>
      <c r="AJ259" s="200">
        <f t="shared" si="45"/>
        <v>1350</v>
      </c>
      <c r="AK259" s="183">
        <f t="shared" si="46"/>
        <v>6372</v>
      </c>
      <c r="AL259" s="179">
        <f t="shared" ref="AL259:AL322" si="52">+(X259/Y259)</f>
        <v>30</v>
      </c>
      <c r="AM259" s="183">
        <v>0</v>
      </c>
      <c r="AN259" s="183">
        <f t="shared" ref="AN259:AN322" si="53">IF(Z259="SI",4000*U259*AH259,0)</f>
        <v>1800000</v>
      </c>
      <c r="AO259" s="183">
        <f t="shared" si="47"/>
        <v>2250000</v>
      </c>
      <c r="AP259" s="183">
        <f t="shared" si="48"/>
        <v>0</v>
      </c>
      <c r="AQ259" s="183">
        <f t="shared" si="49"/>
        <v>8602200</v>
      </c>
      <c r="AR259" s="183" t="s">
        <v>21</v>
      </c>
      <c r="AS259" s="183">
        <f t="shared" si="50"/>
        <v>0</v>
      </c>
      <c r="AT259" s="183">
        <f t="shared" si="51"/>
        <v>12652200</v>
      </c>
    </row>
    <row r="260" spans="1:46" s="179" customFormat="1" ht="24.95" hidden="1" customHeight="1" x14ac:dyDescent="0.25">
      <c r="A260" s="179">
        <v>15366</v>
      </c>
      <c r="B260" s="175" t="s">
        <v>96</v>
      </c>
      <c r="C260" s="175" t="s">
        <v>39</v>
      </c>
      <c r="D260" s="179">
        <v>4</v>
      </c>
      <c r="E260" s="179">
        <v>2025</v>
      </c>
      <c r="F260" s="179">
        <v>2025</v>
      </c>
      <c r="G260" s="177" t="s">
        <v>1466</v>
      </c>
      <c r="H260" s="196" t="s">
        <v>336</v>
      </c>
      <c r="I260" s="177" t="s">
        <v>1467</v>
      </c>
      <c r="J260" s="177" t="s">
        <v>741</v>
      </c>
      <c r="K260" s="181" t="s">
        <v>357</v>
      </c>
      <c r="L260" s="181"/>
      <c r="M260" s="177"/>
      <c r="N260" s="179">
        <v>6</v>
      </c>
      <c r="O260" s="181" t="s">
        <v>796</v>
      </c>
      <c r="P260" s="177" t="s">
        <v>726</v>
      </c>
      <c r="Q260" s="177" t="s">
        <v>1493</v>
      </c>
      <c r="R260" s="177" t="s">
        <v>339</v>
      </c>
      <c r="S260" s="181" t="s">
        <v>22</v>
      </c>
      <c r="T260" s="177" t="s">
        <v>337</v>
      </c>
      <c r="U260" s="179">
        <v>15</v>
      </c>
      <c r="V260" s="179">
        <v>90</v>
      </c>
      <c r="X260" s="179">
        <v>90</v>
      </c>
      <c r="Y260" s="179">
        <v>3</v>
      </c>
      <c r="Z260" s="179" t="s">
        <v>20</v>
      </c>
      <c r="AA260" s="179" t="s">
        <v>20</v>
      </c>
      <c r="AB260" s="189" t="s">
        <v>18</v>
      </c>
      <c r="AC260" s="179" t="s">
        <v>21</v>
      </c>
      <c r="AD260" s="181" t="s">
        <v>2321</v>
      </c>
      <c r="AE260" s="179" t="s">
        <v>18</v>
      </c>
      <c r="AF260" s="181"/>
      <c r="AG260" s="184" t="s">
        <v>989</v>
      </c>
      <c r="AH260" s="179">
        <v>30</v>
      </c>
      <c r="AI260" s="179">
        <v>2</v>
      </c>
      <c r="AJ260" s="200">
        <f t="shared" si="45"/>
        <v>1350</v>
      </c>
      <c r="AK260" s="183">
        <f t="shared" si="46"/>
        <v>6372</v>
      </c>
      <c r="AL260" s="179">
        <f t="shared" si="52"/>
        <v>30</v>
      </c>
      <c r="AM260" s="183">
        <v>0</v>
      </c>
      <c r="AN260" s="183">
        <f t="shared" si="53"/>
        <v>1800000</v>
      </c>
      <c r="AO260" s="183">
        <f t="shared" si="47"/>
        <v>2250000</v>
      </c>
      <c r="AP260" s="183">
        <f t="shared" si="48"/>
        <v>0</v>
      </c>
      <c r="AQ260" s="183">
        <f t="shared" si="49"/>
        <v>8602200</v>
      </c>
      <c r="AR260" s="183" t="s">
        <v>21</v>
      </c>
      <c r="AS260" s="183">
        <f t="shared" si="50"/>
        <v>0</v>
      </c>
      <c r="AT260" s="183">
        <f t="shared" si="51"/>
        <v>12652200</v>
      </c>
    </row>
    <row r="261" spans="1:46" s="179" customFormat="1" ht="24.95" hidden="1" customHeight="1" x14ac:dyDescent="0.25">
      <c r="A261" s="179">
        <v>15368</v>
      </c>
      <c r="B261" s="175" t="s">
        <v>96</v>
      </c>
      <c r="C261" s="175" t="s">
        <v>39</v>
      </c>
      <c r="D261" s="179">
        <v>4</v>
      </c>
      <c r="E261" s="179">
        <v>2025</v>
      </c>
      <c r="F261" s="179">
        <v>2025</v>
      </c>
      <c r="G261" s="177" t="s">
        <v>1466</v>
      </c>
      <c r="H261" s="196" t="s">
        <v>336</v>
      </c>
      <c r="I261" s="177" t="s">
        <v>1467</v>
      </c>
      <c r="J261" s="177" t="s">
        <v>741</v>
      </c>
      <c r="K261" s="181" t="s">
        <v>357</v>
      </c>
      <c r="L261" s="181"/>
      <c r="M261" s="177"/>
      <c r="N261" s="179">
        <v>6</v>
      </c>
      <c r="O261" s="181" t="s">
        <v>796</v>
      </c>
      <c r="P261" s="177" t="s">
        <v>2127</v>
      </c>
      <c r="Q261" s="177" t="s">
        <v>1493</v>
      </c>
      <c r="R261" s="177" t="s">
        <v>339</v>
      </c>
      <c r="S261" s="181" t="s">
        <v>22</v>
      </c>
      <c r="T261" s="177" t="s">
        <v>347</v>
      </c>
      <c r="U261" s="179">
        <v>15</v>
      </c>
      <c r="V261" s="179">
        <v>90</v>
      </c>
      <c r="X261" s="179">
        <v>90</v>
      </c>
      <c r="Y261" s="179">
        <v>3</v>
      </c>
      <c r="Z261" s="179" t="s">
        <v>20</v>
      </c>
      <c r="AA261" s="179" t="s">
        <v>20</v>
      </c>
      <c r="AB261" s="189" t="s">
        <v>18</v>
      </c>
      <c r="AC261" s="179" t="s">
        <v>21</v>
      </c>
      <c r="AD261" s="181" t="s">
        <v>2321</v>
      </c>
      <c r="AE261" s="179" t="s">
        <v>18</v>
      </c>
      <c r="AF261" s="181"/>
      <c r="AG261" s="184" t="s">
        <v>989</v>
      </c>
      <c r="AH261" s="179">
        <v>30</v>
      </c>
      <c r="AI261" s="179">
        <v>2</v>
      </c>
      <c r="AJ261" s="200">
        <f t="shared" si="45"/>
        <v>1350</v>
      </c>
      <c r="AK261" s="183">
        <f t="shared" si="46"/>
        <v>6372</v>
      </c>
      <c r="AL261" s="179">
        <f t="shared" si="52"/>
        <v>30</v>
      </c>
      <c r="AM261" s="183">
        <v>0</v>
      </c>
      <c r="AN261" s="183">
        <f t="shared" si="53"/>
        <v>1800000</v>
      </c>
      <c r="AO261" s="183">
        <f t="shared" si="47"/>
        <v>2250000</v>
      </c>
      <c r="AP261" s="183">
        <f t="shared" si="48"/>
        <v>0</v>
      </c>
      <c r="AQ261" s="183">
        <f t="shared" si="49"/>
        <v>8602200</v>
      </c>
      <c r="AR261" s="183" t="s">
        <v>21</v>
      </c>
      <c r="AS261" s="183">
        <f t="shared" si="50"/>
        <v>0</v>
      </c>
      <c r="AT261" s="183">
        <f t="shared" si="51"/>
        <v>12652200</v>
      </c>
    </row>
    <row r="262" spans="1:46" s="179" customFormat="1" ht="24.95" hidden="1" customHeight="1" x14ac:dyDescent="0.25">
      <c r="A262" s="179">
        <v>15371</v>
      </c>
      <c r="B262" s="175" t="s">
        <v>96</v>
      </c>
      <c r="C262" s="175" t="s">
        <v>39</v>
      </c>
      <c r="D262" s="179">
        <v>4</v>
      </c>
      <c r="E262" s="179">
        <v>2025</v>
      </c>
      <c r="F262" s="179">
        <v>2025</v>
      </c>
      <c r="G262" s="177" t="s">
        <v>1466</v>
      </c>
      <c r="H262" s="196" t="s">
        <v>336</v>
      </c>
      <c r="I262" s="177" t="s">
        <v>1467</v>
      </c>
      <c r="J262" s="177" t="s">
        <v>741</v>
      </c>
      <c r="K262" s="181" t="s">
        <v>357</v>
      </c>
      <c r="L262" s="181"/>
      <c r="M262" s="177"/>
      <c r="N262" s="179">
        <v>6</v>
      </c>
      <c r="O262" s="181" t="s">
        <v>796</v>
      </c>
      <c r="P262" s="177" t="s">
        <v>820</v>
      </c>
      <c r="Q262" s="177" t="s">
        <v>1493</v>
      </c>
      <c r="R262" s="177" t="s">
        <v>339</v>
      </c>
      <c r="S262" s="181" t="s">
        <v>22</v>
      </c>
      <c r="T262" s="177" t="s">
        <v>347</v>
      </c>
      <c r="U262" s="179">
        <v>15</v>
      </c>
      <c r="V262" s="179">
        <v>90</v>
      </c>
      <c r="X262" s="179">
        <v>90</v>
      </c>
      <c r="Y262" s="179">
        <v>3</v>
      </c>
      <c r="Z262" s="179" t="s">
        <v>20</v>
      </c>
      <c r="AA262" s="179" t="s">
        <v>20</v>
      </c>
      <c r="AB262" s="189" t="s">
        <v>18</v>
      </c>
      <c r="AC262" s="179" t="s">
        <v>21</v>
      </c>
      <c r="AD262" s="181" t="s">
        <v>2321</v>
      </c>
      <c r="AE262" s="179" t="s">
        <v>18</v>
      </c>
      <c r="AF262" s="181"/>
      <c r="AG262" s="184" t="s">
        <v>989</v>
      </c>
      <c r="AH262" s="179">
        <v>30</v>
      </c>
      <c r="AI262" s="179">
        <v>2</v>
      </c>
      <c r="AJ262" s="200">
        <f t="shared" si="45"/>
        <v>1350</v>
      </c>
      <c r="AK262" s="183">
        <f t="shared" si="46"/>
        <v>6372</v>
      </c>
      <c r="AL262" s="179">
        <f t="shared" si="52"/>
        <v>30</v>
      </c>
      <c r="AM262" s="183">
        <v>0</v>
      </c>
      <c r="AN262" s="183">
        <f t="shared" si="53"/>
        <v>1800000</v>
      </c>
      <c r="AO262" s="183">
        <f t="shared" si="47"/>
        <v>2250000</v>
      </c>
      <c r="AP262" s="183">
        <f t="shared" si="48"/>
        <v>0</v>
      </c>
      <c r="AQ262" s="183">
        <f t="shared" si="49"/>
        <v>8602200</v>
      </c>
      <c r="AR262" s="183" t="s">
        <v>21</v>
      </c>
      <c r="AS262" s="183">
        <f t="shared" si="50"/>
        <v>0</v>
      </c>
      <c r="AT262" s="183">
        <f t="shared" si="51"/>
        <v>12652200</v>
      </c>
    </row>
    <row r="263" spans="1:46" s="179" customFormat="1" ht="24.95" hidden="1" customHeight="1" x14ac:dyDescent="0.25">
      <c r="A263" s="179">
        <v>15373</v>
      </c>
      <c r="B263" s="175" t="s">
        <v>96</v>
      </c>
      <c r="C263" s="175" t="s">
        <v>39</v>
      </c>
      <c r="D263" s="179">
        <v>4</v>
      </c>
      <c r="E263" s="179">
        <v>2025</v>
      </c>
      <c r="F263" s="179">
        <v>2025</v>
      </c>
      <c r="G263" s="177" t="s">
        <v>1466</v>
      </c>
      <c r="H263" s="196" t="s">
        <v>336</v>
      </c>
      <c r="I263" s="177" t="s">
        <v>1467</v>
      </c>
      <c r="J263" s="177" t="s">
        <v>741</v>
      </c>
      <c r="K263" s="181" t="s">
        <v>357</v>
      </c>
      <c r="L263" s="181"/>
      <c r="M263" s="177"/>
      <c r="N263" s="179">
        <v>6</v>
      </c>
      <c r="O263" s="181" t="s">
        <v>796</v>
      </c>
      <c r="P263" s="177" t="s">
        <v>1008</v>
      </c>
      <c r="Q263" s="177" t="s">
        <v>1493</v>
      </c>
      <c r="R263" s="177" t="s">
        <v>339</v>
      </c>
      <c r="S263" s="181" t="s">
        <v>22</v>
      </c>
      <c r="T263" s="177" t="s">
        <v>2322</v>
      </c>
      <c r="U263" s="179">
        <v>15</v>
      </c>
      <c r="V263" s="179">
        <v>90</v>
      </c>
      <c r="X263" s="179">
        <v>90</v>
      </c>
      <c r="Y263" s="179">
        <v>3</v>
      </c>
      <c r="Z263" s="179" t="s">
        <v>20</v>
      </c>
      <c r="AA263" s="179" t="s">
        <v>20</v>
      </c>
      <c r="AB263" s="189" t="s">
        <v>18</v>
      </c>
      <c r="AC263" s="179" t="s">
        <v>21</v>
      </c>
      <c r="AD263" s="181" t="s">
        <v>2321</v>
      </c>
      <c r="AE263" s="179" t="s">
        <v>18</v>
      </c>
      <c r="AF263" s="181"/>
      <c r="AG263" s="184" t="s">
        <v>989</v>
      </c>
      <c r="AH263" s="179">
        <v>30</v>
      </c>
      <c r="AI263" s="179">
        <v>2</v>
      </c>
      <c r="AJ263" s="200">
        <f t="shared" si="45"/>
        <v>1350</v>
      </c>
      <c r="AK263" s="183">
        <f t="shared" si="46"/>
        <v>6372</v>
      </c>
      <c r="AL263" s="179">
        <f t="shared" si="52"/>
        <v>30</v>
      </c>
      <c r="AM263" s="183">
        <v>0</v>
      </c>
      <c r="AN263" s="183">
        <f t="shared" si="53"/>
        <v>1800000</v>
      </c>
      <c r="AO263" s="183">
        <f t="shared" si="47"/>
        <v>2250000</v>
      </c>
      <c r="AP263" s="183">
        <f t="shared" si="48"/>
        <v>0</v>
      </c>
      <c r="AQ263" s="183">
        <f t="shared" si="49"/>
        <v>8602200</v>
      </c>
      <c r="AR263" s="183" t="s">
        <v>21</v>
      </c>
      <c r="AS263" s="183">
        <f t="shared" si="50"/>
        <v>0</v>
      </c>
      <c r="AT263" s="183">
        <f t="shared" si="51"/>
        <v>12652200</v>
      </c>
    </row>
    <row r="264" spans="1:46" s="179" customFormat="1" ht="24.95" hidden="1" customHeight="1" x14ac:dyDescent="0.25">
      <c r="A264" s="179">
        <v>15375</v>
      </c>
      <c r="B264" s="175" t="s">
        <v>96</v>
      </c>
      <c r="C264" s="175" t="s">
        <v>39</v>
      </c>
      <c r="D264" s="179">
        <v>4</v>
      </c>
      <c r="E264" s="179">
        <v>2025</v>
      </c>
      <c r="F264" s="179">
        <v>2025</v>
      </c>
      <c r="G264" s="177" t="s">
        <v>1466</v>
      </c>
      <c r="H264" s="196" t="s">
        <v>336</v>
      </c>
      <c r="I264" s="177" t="s">
        <v>1467</v>
      </c>
      <c r="J264" s="177" t="s">
        <v>741</v>
      </c>
      <c r="K264" s="181" t="s">
        <v>357</v>
      </c>
      <c r="L264" s="181"/>
      <c r="M264" s="177"/>
      <c r="N264" s="179">
        <v>6</v>
      </c>
      <c r="O264" s="181" t="s">
        <v>796</v>
      </c>
      <c r="P264" s="177" t="s">
        <v>2323</v>
      </c>
      <c r="Q264" s="177" t="s">
        <v>1493</v>
      </c>
      <c r="R264" s="177" t="s">
        <v>339</v>
      </c>
      <c r="S264" s="181" t="s">
        <v>22</v>
      </c>
      <c r="T264" s="177" t="s">
        <v>347</v>
      </c>
      <c r="U264" s="179">
        <v>15</v>
      </c>
      <c r="V264" s="179">
        <v>90</v>
      </c>
      <c r="X264" s="179">
        <v>90</v>
      </c>
      <c r="Y264" s="179">
        <v>3</v>
      </c>
      <c r="Z264" s="179" t="s">
        <v>20</v>
      </c>
      <c r="AA264" s="179" t="s">
        <v>20</v>
      </c>
      <c r="AB264" s="189" t="s">
        <v>18</v>
      </c>
      <c r="AD264" s="181" t="s">
        <v>2321</v>
      </c>
      <c r="AE264" s="179" t="s">
        <v>18</v>
      </c>
      <c r="AF264" s="181"/>
      <c r="AG264" s="184" t="s">
        <v>989</v>
      </c>
      <c r="AH264" s="179">
        <v>30</v>
      </c>
      <c r="AI264" s="179">
        <v>2</v>
      </c>
      <c r="AJ264" s="200">
        <f t="shared" si="45"/>
        <v>1350</v>
      </c>
      <c r="AK264" s="183">
        <f t="shared" si="46"/>
        <v>6372</v>
      </c>
      <c r="AL264" s="179">
        <f t="shared" si="52"/>
        <v>30</v>
      </c>
      <c r="AM264" s="183">
        <v>0</v>
      </c>
      <c r="AN264" s="183">
        <f t="shared" si="53"/>
        <v>1800000</v>
      </c>
      <c r="AO264" s="183">
        <f t="shared" si="47"/>
        <v>2250000</v>
      </c>
      <c r="AP264" s="183">
        <f t="shared" si="48"/>
        <v>0</v>
      </c>
      <c r="AQ264" s="183">
        <f t="shared" si="49"/>
        <v>8602200</v>
      </c>
      <c r="AR264" s="183" t="s">
        <v>21</v>
      </c>
      <c r="AS264" s="183">
        <f t="shared" si="50"/>
        <v>0</v>
      </c>
      <c r="AT264" s="183">
        <f t="shared" si="51"/>
        <v>12652200</v>
      </c>
    </row>
    <row r="265" spans="1:46" s="179" customFormat="1" ht="24.95" hidden="1" customHeight="1" x14ac:dyDescent="0.25">
      <c r="A265" s="179">
        <v>15387</v>
      </c>
      <c r="B265" s="175" t="s">
        <v>96</v>
      </c>
      <c r="C265" s="175" t="s">
        <v>39</v>
      </c>
      <c r="D265" s="179">
        <v>4</v>
      </c>
      <c r="E265" s="179">
        <v>2025</v>
      </c>
      <c r="F265" s="179">
        <v>2025</v>
      </c>
      <c r="G265" s="177" t="s">
        <v>1466</v>
      </c>
      <c r="H265" s="196" t="s">
        <v>336</v>
      </c>
      <c r="I265" s="177" t="s">
        <v>1467</v>
      </c>
      <c r="J265" s="177" t="s">
        <v>2324</v>
      </c>
      <c r="K265" s="175" t="s">
        <v>992</v>
      </c>
      <c r="L265" s="181"/>
      <c r="M265" s="177"/>
      <c r="N265" s="179">
        <v>6</v>
      </c>
      <c r="O265" s="181" t="s">
        <v>796</v>
      </c>
      <c r="P265" s="177" t="s">
        <v>818</v>
      </c>
      <c r="Q265" s="177" t="s">
        <v>1469</v>
      </c>
      <c r="R265" s="177" t="s">
        <v>339</v>
      </c>
      <c r="S265" s="181" t="s">
        <v>22</v>
      </c>
      <c r="T265" s="177" t="s">
        <v>348</v>
      </c>
      <c r="U265" s="179">
        <v>15</v>
      </c>
      <c r="V265" s="179">
        <v>45</v>
      </c>
      <c r="X265" s="179">
        <v>45</v>
      </c>
      <c r="Y265" s="179">
        <v>3</v>
      </c>
      <c r="Z265" s="179" t="s">
        <v>20</v>
      </c>
      <c r="AA265" s="179" t="s">
        <v>20</v>
      </c>
      <c r="AB265" s="189" t="s">
        <v>18</v>
      </c>
      <c r="AC265" s="181" t="s">
        <v>2325</v>
      </c>
      <c r="AD265" s="181" t="s">
        <v>2326</v>
      </c>
      <c r="AE265" s="179" t="s">
        <v>18</v>
      </c>
      <c r="AF265" s="181"/>
      <c r="AG265" s="174" t="s">
        <v>990</v>
      </c>
      <c r="AH265" s="179">
        <v>15</v>
      </c>
      <c r="AI265" s="179">
        <v>3</v>
      </c>
      <c r="AJ265" s="200">
        <f t="shared" si="45"/>
        <v>675</v>
      </c>
      <c r="AK265" s="183">
        <f t="shared" si="46"/>
        <v>7434</v>
      </c>
      <c r="AL265" s="179">
        <f t="shared" si="52"/>
        <v>15</v>
      </c>
      <c r="AM265" s="183">
        <v>0</v>
      </c>
      <c r="AN265" s="183">
        <f t="shared" si="53"/>
        <v>900000</v>
      </c>
      <c r="AO265" s="183">
        <f t="shared" si="47"/>
        <v>1125000</v>
      </c>
      <c r="AP265" s="183">
        <f t="shared" si="48"/>
        <v>0</v>
      </c>
      <c r="AQ265" s="183">
        <f t="shared" si="49"/>
        <v>5017950</v>
      </c>
      <c r="AR265" s="183" t="s">
        <v>21</v>
      </c>
      <c r="AS265" s="183">
        <f t="shared" si="50"/>
        <v>0</v>
      </c>
      <c r="AT265" s="183">
        <f t="shared" si="51"/>
        <v>7042950</v>
      </c>
    </row>
    <row r="266" spans="1:46" s="179" customFormat="1" ht="24.95" hidden="1" customHeight="1" x14ac:dyDescent="0.25">
      <c r="A266" s="179">
        <v>14637</v>
      </c>
      <c r="B266" s="175" t="s">
        <v>96</v>
      </c>
      <c r="C266" s="175" t="s">
        <v>39</v>
      </c>
      <c r="D266" s="179">
        <v>4</v>
      </c>
      <c r="E266" s="179">
        <v>2025</v>
      </c>
      <c r="F266" s="179">
        <v>2025</v>
      </c>
      <c r="G266" s="177" t="s">
        <v>1466</v>
      </c>
      <c r="H266" s="196" t="s">
        <v>336</v>
      </c>
      <c r="I266" s="177" t="s">
        <v>1467</v>
      </c>
      <c r="J266" s="177" t="s">
        <v>2327</v>
      </c>
      <c r="K266" s="181" t="s">
        <v>2328</v>
      </c>
      <c r="L266" s="181"/>
      <c r="M266" s="177"/>
      <c r="N266" s="179">
        <v>13</v>
      </c>
      <c r="O266" s="181" t="s">
        <v>382</v>
      </c>
      <c r="P266" s="177" t="s">
        <v>717</v>
      </c>
      <c r="Q266" s="177" t="s">
        <v>1493</v>
      </c>
      <c r="R266" s="177" t="s">
        <v>339</v>
      </c>
      <c r="S266" s="181" t="s">
        <v>22</v>
      </c>
      <c r="T266" s="177" t="s">
        <v>347</v>
      </c>
      <c r="U266" s="179">
        <v>20</v>
      </c>
      <c r="V266" s="179">
        <v>240</v>
      </c>
      <c r="X266" s="179">
        <v>240</v>
      </c>
      <c r="Y266" s="179">
        <v>4</v>
      </c>
      <c r="Z266" s="179" t="s">
        <v>20</v>
      </c>
      <c r="AA266" s="179" t="s">
        <v>20</v>
      </c>
      <c r="AB266" s="189" t="s">
        <v>18</v>
      </c>
      <c r="AD266" s="181" t="s">
        <v>2329</v>
      </c>
      <c r="AE266" s="179" t="s">
        <v>18</v>
      </c>
      <c r="AF266" s="181"/>
      <c r="AG266" s="184" t="s">
        <v>989</v>
      </c>
      <c r="AH266" s="179">
        <v>60</v>
      </c>
      <c r="AI266" s="179">
        <v>1</v>
      </c>
      <c r="AJ266" s="200">
        <f t="shared" si="45"/>
        <v>4800</v>
      </c>
      <c r="AK266" s="183">
        <f t="shared" si="46"/>
        <v>5074</v>
      </c>
      <c r="AL266" s="179">
        <f t="shared" si="52"/>
        <v>60</v>
      </c>
      <c r="AM266" s="183">
        <v>0</v>
      </c>
      <c r="AN266" s="183">
        <f t="shared" si="53"/>
        <v>4800000</v>
      </c>
      <c r="AO266" s="183">
        <f t="shared" si="47"/>
        <v>6000000</v>
      </c>
      <c r="AP266" s="183">
        <f t="shared" si="48"/>
        <v>0</v>
      </c>
      <c r="AQ266" s="183">
        <f t="shared" si="49"/>
        <v>24355200</v>
      </c>
      <c r="AR266" s="183"/>
      <c r="AS266" s="183">
        <f t="shared" si="50"/>
        <v>0</v>
      </c>
      <c r="AT266" s="183">
        <f t="shared" si="51"/>
        <v>35155200</v>
      </c>
    </row>
    <row r="267" spans="1:46" s="179" customFormat="1" ht="24.95" hidden="1" customHeight="1" x14ac:dyDescent="0.25">
      <c r="A267" s="179">
        <v>14638</v>
      </c>
      <c r="B267" s="175" t="s">
        <v>96</v>
      </c>
      <c r="C267" s="175" t="s">
        <v>39</v>
      </c>
      <c r="D267" s="179">
        <v>4</v>
      </c>
      <c r="E267" s="179">
        <v>2025</v>
      </c>
      <c r="F267" s="179">
        <v>2025</v>
      </c>
      <c r="G267" s="177" t="s">
        <v>1466</v>
      </c>
      <c r="H267" s="196" t="s">
        <v>336</v>
      </c>
      <c r="I267" s="177" t="s">
        <v>1467</v>
      </c>
      <c r="J267" s="177" t="s">
        <v>2330</v>
      </c>
      <c r="K267" s="181" t="s">
        <v>2331</v>
      </c>
      <c r="L267" s="181"/>
      <c r="M267" s="177"/>
      <c r="N267" s="179">
        <v>13</v>
      </c>
      <c r="O267" s="181" t="s">
        <v>382</v>
      </c>
      <c r="P267" s="177" t="s">
        <v>412</v>
      </c>
      <c r="Q267" s="177" t="s">
        <v>1493</v>
      </c>
      <c r="R267" s="177" t="s">
        <v>339</v>
      </c>
      <c r="S267" s="181" t="s">
        <v>22</v>
      </c>
      <c r="T267" s="177" t="s">
        <v>347</v>
      </c>
      <c r="U267" s="179">
        <v>15</v>
      </c>
      <c r="V267" s="179">
        <v>80</v>
      </c>
      <c r="X267" s="179">
        <v>80</v>
      </c>
      <c r="Y267" s="179">
        <v>4</v>
      </c>
      <c r="Z267" s="179" t="s">
        <v>20</v>
      </c>
      <c r="AA267" s="179" t="s">
        <v>20</v>
      </c>
      <c r="AB267" s="189" t="s">
        <v>18</v>
      </c>
      <c r="AD267" s="181" t="s">
        <v>2329</v>
      </c>
      <c r="AE267" s="179" t="s">
        <v>18</v>
      </c>
      <c r="AF267" s="181"/>
      <c r="AG267" s="184" t="s">
        <v>989</v>
      </c>
      <c r="AH267" s="179">
        <v>20</v>
      </c>
      <c r="AI267" s="179">
        <v>2</v>
      </c>
      <c r="AJ267" s="200">
        <f t="shared" si="45"/>
        <v>1200</v>
      </c>
      <c r="AK267" s="183">
        <f t="shared" si="46"/>
        <v>6372</v>
      </c>
      <c r="AL267" s="179">
        <f t="shared" si="52"/>
        <v>20</v>
      </c>
      <c r="AM267" s="183">
        <v>0</v>
      </c>
      <c r="AN267" s="183">
        <f t="shared" si="53"/>
        <v>1200000</v>
      </c>
      <c r="AO267" s="183">
        <f t="shared" si="47"/>
        <v>1500000</v>
      </c>
      <c r="AP267" s="183">
        <f t="shared" si="48"/>
        <v>0</v>
      </c>
      <c r="AQ267" s="183">
        <f t="shared" si="49"/>
        <v>7646400</v>
      </c>
      <c r="AR267" s="183"/>
      <c r="AS267" s="183">
        <f t="shared" si="50"/>
        <v>0</v>
      </c>
      <c r="AT267" s="183">
        <f t="shared" si="51"/>
        <v>10346400</v>
      </c>
    </row>
    <row r="268" spans="1:46" s="179" customFormat="1" ht="24.95" hidden="1" customHeight="1" x14ac:dyDescent="0.25">
      <c r="A268" s="179">
        <v>14639</v>
      </c>
      <c r="B268" s="175" t="s">
        <v>96</v>
      </c>
      <c r="C268" s="175" t="s">
        <v>39</v>
      </c>
      <c r="D268" s="179">
        <v>4</v>
      </c>
      <c r="E268" s="179">
        <v>2025</v>
      </c>
      <c r="F268" s="179">
        <v>2025</v>
      </c>
      <c r="G268" s="177" t="s">
        <v>1466</v>
      </c>
      <c r="H268" s="196" t="s">
        <v>336</v>
      </c>
      <c r="I268" s="177" t="s">
        <v>1467</v>
      </c>
      <c r="J268" s="177" t="s">
        <v>1185</v>
      </c>
      <c r="K268" s="181" t="s">
        <v>1186</v>
      </c>
      <c r="L268" s="181"/>
      <c r="M268" s="177"/>
      <c r="N268" s="179">
        <v>13</v>
      </c>
      <c r="O268" s="181" t="s">
        <v>382</v>
      </c>
      <c r="P268" s="177" t="s">
        <v>729</v>
      </c>
      <c r="Q268" s="177" t="s">
        <v>1493</v>
      </c>
      <c r="R268" s="177" t="s">
        <v>339</v>
      </c>
      <c r="S268" s="181" t="s">
        <v>22</v>
      </c>
      <c r="T268" s="177" t="s">
        <v>347</v>
      </c>
      <c r="U268" s="179">
        <v>20</v>
      </c>
      <c r="V268" s="179">
        <v>80</v>
      </c>
      <c r="X268" s="179">
        <v>80</v>
      </c>
      <c r="Y268" s="179">
        <v>4</v>
      </c>
      <c r="Z268" s="179" t="s">
        <v>20</v>
      </c>
      <c r="AA268" s="179" t="s">
        <v>20</v>
      </c>
      <c r="AB268" s="189" t="s">
        <v>18</v>
      </c>
      <c r="AD268" s="181" t="s">
        <v>2332</v>
      </c>
      <c r="AE268" s="179" t="s">
        <v>18</v>
      </c>
      <c r="AF268" s="181"/>
      <c r="AG268" s="184" t="s">
        <v>989</v>
      </c>
      <c r="AH268" s="179">
        <v>20</v>
      </c>
      <c r="AI268" s="179">
        <v>1</v>
      </c>
      <c r="AJ268" s="200">
        <f t="shared" si="45"/>
        <v>1600</v>
      </c>
      <c r="AK268" s="183">
        <f t="shared" si="46"/>
        <v>5074</v>
      </c>
      <c r="AL268" s="179">
        <f t="shared" si="52"/>
        <v>20</v>
      </c>
      <c r="AM268" s="183">
        <v>0</v>
      </c>
      <c r="AN268" s="183">
        <f t="shared" si="53"/>
        <v>1600000</v>
      </c>
      <c r="AO268" s="183">
        <f t="shared" si="47"/>
        <v>2000000</v>
      </c>
      <c r="AP268" s="183">
        <f t="shared" si="48"/>
        <v>0</v>
      </c>
      <c r="AQ268" s="183">
        <f t="shared" si="49"/>
        <v>8118400</v>
      </c>
      <c r="AR268" s="183"/>
      <c r="AS268" s="183">
        <f t="shared" si="50"/>
        <v>0</v>
      </c>
      <c r="AT268" s="183">
        <f t="shared" si="51"/>
        <v>11718400</v>
      </c>
    </row>
    <row r="269" spans="1:46" s="179" customFormat="1" ht="24.95" hidden="1" customHeight="1" x14ac:dyDescent="0.25">
      <c r="A269" s="179">
        <v>14640</v>
      </c>
      <c r="B269" s="175" t="s">
        <v>96</v>
      </c>
      <c r="C269" s="175" t="s">
        <v>39</v>
      </c>
      <c r="D269" s="179">
        <v>4</v>
      </c>
      <c r="E269" s="179">
        <v>2025</v>
      </c>
      <c r="F269" s="179">
        <v>2025</v>
      </c>
      <c r="G269" s="177" t="s">
        <v>1466</v>
      </c>
      <c r="H269" s="196" t="s">
        <v>336</v>
      </c>
      <c r="I269" s="177" t="s">
        <v>1467</v>
      </c>
      <c r="J269" s="177" t="s">
        <v>2333</v>
      </c>
      <c r="K269" s="181" t="s">
        <v>2334</v>
      </c>
      <c r="L269" s="181"/>
      <c r="M269" s="177"/>
      <c r="N269" s="179">
        <v>13</v>
      </c>
      <c r="O269" s="181" t="s">
        <v>382</v>
      </c>
      <c r="P269" s="177" t="s">
        <v>730</v>
      </c>
      <c r="Q269" s="177" t="s">
        <v>1493</v>
      </c>
      <c r="R269" s="177" t="s">
        <v>339</v>
      </c>
      <c r="S269" s="181" t="s">
        <v>22</v>
      </c>
      <c r="T269" s="177" t="s">
        <v>347</v>
      </c>
      <c r="U269" s="179">
        <v>15</v>
      </c>
      <c r="V269" s="179">
        <v>200</v>
      </c>
      <c r="X269" s="179">
        <v>200</v>
      </c>
      <c r="Y269" s="179">
        <v>4</v>
      </c>
      <c r="Z269" s="179" t="s">
        <v>20</v>
      </c>
      <c r="AA269" s="179" t="s">
        <v>20</v>
      </c>
      <c r="AB269" s="189" t="s">
        <v>18</v>
      </c>
      <c r="AD269" s="181" t="s">
        <v>2335</v>
      </c>
      <c r="AE269" s="179" t="s">
        <v>18</v>
      </c>
      <c r="AF269" s="181"/>
      <c r="AG269" s="184" t="s">
        <v>989</v>
      </c>
      <c r="AH269" s="179">
        <v>50</v>
      </c>
      <c r="AI269" s="179">
        <v>2</v>
      </c>
      <c r="AJ269" s="200">
        <f t="shared" si="45"/>
        <v>3000</v>
      </c>
      <c r="AK269" s="183">
        <f t="shared" si="46"/>
        <v>6372</v>
      </c>
      <c r="AL269" s="179">
        <f t="shared" si="52"/>
        <v>50</v>
      </c>
      <c r="AM269" s="183">
        <v>0</v>
      </c>
      <c r="AN269" s="183">
        <f t="shared" si="53"/>
        <v>3000000</v>
      </c>
      <c r="AO269" s="183">
        <f t="shared" si="47"/>
        <v>3750000</v>
      </c>
      <c r="AP269" s="183">
        <f t="shared" si="48"/>
        <v>0</v>
      </c>
      <c r="AQ269" s="183">
        <f t="shared" si="49"/>
        <v>19116000</v>
      </c>
      <c r="AR269" s="183"/>
      <c r="AS269" s="183">
        <f t="shared" si="50"/>
        <v>0</v>
      </c>
      <c r="AT269" s="183">
        <f t="shared" si="51"/>
        <v>25866000</v>
      </c>
    </row>
    <row r="270" spans="1:46" s="179" customFormat="1" ht="24.95" hidden="1" customHeight="1" x14ac:dyDescent="0.25">
      <c r="A270" s="179">
        <v>14642</v>
      </c>
      <c r="B270" s="175" t="s">
        <v>96</v>
      </c>
      <c r="C270" s="175" t="s">
        <v>39</v>
      </c>
      <c r="D270" s="179">
        <v>4</v>
      </c>
      <c r="E270" s="179">
        <v>2025</v>
      </c>
      <c r="F270" s="179">
        <v>2025</v>
      </c>
      <c r="G270" s="177" t="s">
        <v>1466</v>
      </c>
      <c r="H270" s="196" t="s">
        <v>336</v>
      </c>
      <c r="I270" s="177" t="s">
        <v>1467</v>
      </c>
      <c r="J270" s="177" t="s">
        <v>704</v>
      </c>
      <c r="K270" s="181" t="s">
        <v>705</v>
      </c>
      <c r="L270" s="181"/>
      <c r="M270" s="177"/>
      <c r="N270" s="179">
        <v>13</v>
      </c>
      <c r="O270" s="181" t="s">
        <v>382</v>
      </c>
      <c r="P270" s="177" t="s">
        <v>402</v>
      </c>
      <c r="Q270" s="177" t="s">
        <v>1493</v>
      </c>
      <c r="R270" s="177" t="s">
        <v>339</v>
      </c>
      <c r="S270" s="181" t="s">
        <v>22</v>
      </c>
      <c r="T270" s="177" t="s">
        <v>347</v>
      </c>
      <c r="U270" s="179">
        <v>15</v>
      </c>
      <c r="V270" s="179">
        <v>90</v>
      </c>
      <c r="X270" s="179">
        <v>90</v>
      </c>
      <c r="Y270" s="179">
        <v>4</v>
      </c>
      <c r="Z270" s="179" t="s">
        <v>20</v>
      </c>
      <c r="AA270" s="179" t="s">
        <v>20</v>
      </c>
      <c r="AB270" s="189" t="s">
        <v>18</v>
      </c>
      <c r="AD270" s="181" t="s">
        <v>2336</v>
      </c>
      <c r="AE270" s="179" t="s">
        <v>18</v>
      </c>
      <c r="AF270" s="181"/>
      <c r="AG270" s="184" t="s">
        <v>989</v>
      </c>
      <c r="AH270" s="179">
        <v>23</v>
      </c>
      <c r="AI270" s="179">
        <v>2</v>
      </c>
      <c r="AJ270" s="200">
        <f t="shared" si="45"/>
        <v>1350</v>
      </c>
      <c r="AK270" s="183">
        <f t="shared" si="46"/>
        <v>6372</v>
      </c>
      <c r="AL270" s="179">
        <f t="shared" si="52"/>
        <v>22.5</v>
      </c>
      <c r="AM270" s="183">
        <v>0</v>
      </c>
      <c r="AN270" s="183">
        <f t="shared" si="53"/>
        <v>1380000</v>
      </c>
      <c r="AO270" s="183">
        <f t="shared" si="47"/>
        <v>1725000</v>
      </c>
      <c r="AP270" s="183">
        <f t="shared" si="48"/>
        <v>0</v>
      </c>
      <c r="AQ270" s="183">
        <f t="shared" si="49"/>
        <v>8602200</v>
      </c>
      <c r="AR270" s="183"/>
      <c r="AS270" s="183">
        <f t="shared" si="50"/>
        <v>0</v>
      </c>
      <c r="AT270" s="183">
        <f t="shared" si="51"/>
        <v>11707200</v>
      </c>
    </row>
    <row r="271" spans="1:46" s="179" customFormat="1" ht="24.95" hidden="1" customHeight="1" x14ac:dyDescent="0.25">
      <c r="A271" s="179">
        <v>14645</v>
      </c>
      <c r="B271" s="175" t="s">
        <v>96</v>
      </c>
      <c r="C271" s="175" t="s">
        <v>39</v>
      </c>
      <c r="D271" s="179">
        <v>4</v>
      </c>
      <c r="E271" s="179">
        <v>2025</v>
      </c>
      <c r="F271" s="179">
        <v>2025</v>
      </c>
      <c r="G271" s="177" t="s">
        <v>1466</v>
      </c>
      <c r="H271" s="196" t="s">
        <v>336</v>
      </c>
      <c r="I271" s="177" t="s">
        <v>1467</v>
      </c>
      <c r="J271" s="177" t="s">
        <v>2047</v>
      </c>
      <c r="K271" s="181" t="s">
        <v>2048</v>
      </c>
      <c r="L271" s="181"/>
      <c r="M271" s="177"/>
      <c r="N271" s="179">
        <v>13</v>
      </c>
      <c r="O271" s="181" t="s">
        <v>382</v>
      </c>
      <c r="P271" s="177" t="s">
        <v>720</v>
      </c>
      <c r="Q271" s="177" t="s">
        <v>1493</v>
      </c>
      <c r="R271" s="177" t="s">
        <v>339</v>
      </c>
      <c r="S271" s="181" t="s">
        <v>22</v>
      </c>
      <c r="T271" s="177" t="s">
        <v>347</v>
      </c>
      <c r="U271" s="179">
        <v>20</v>
      </c>
      <c r="V271" s="179">
        <v>120</v>
      </c>
      <c r="X271" s="179">
        <v>120</v>
      </c>
      <c r="Y271" s="179">
        <v>4</v>
      </c>
      <c r="Z271" s="179" t="s">
        <v>20</v>
      </c>
      <c r="AA271" s="179" t="s">
        <v>20</v>
      </c>
      <c r="AB271" s="189" t="s">
        <v>18</v>
      </c>
      <c r="AD271" s="181" t="s">
        <v>2337</v>
      </c>
      <c r="AE271" s="179" t="s">
        <v>18</v>
      </c>
      <c r="AF271" s="181"/>
      <c r="AG271" s="184" t="s">
        <v>989</v>
      </c>
      <c r="AH271" s="179">
        <v>30</v>
      </c>
      <c r="AI271" s="179">
        <v>2</v>
      </c>
      <c r="AJ271" s="200">
        <f t="shared" si="45"/>
        <v>2400</v>
      </c>
      <c r="AK271" s="183">
        <f t="shared" si="46"/>
        <v>6372</v>
      </c>
      <c r="AL271" s="179">
        <f t="shared" si="52"/>
        <v>30</v>
      </c>
      <c r="AM271" s="183">
        <v>0</v>
      </c>
      <c r="AN271" s="183">
        <f t="shared" si="53"/>
        <v>2400000</v>
      </c>
      <c r="AO271" s="183">
        <f t="shared" si="47"/>
        <v>3000000</v>
      </c>
      <c r="AP271" s="183">
        <f t="shared" si="48"/>
        <v>0</v>
      </c>
      <c r="AQ271" s="183">
        <f t="shared" si="49"/>
        <v>15292800</v>
      </c>
      <c r="AR271" s="183"/>
      <c r="AS271" s="183">
        <f t="shared" si="50"/>
        <v>0</v>
      </c>
      <c r="AT271" s="183">
        <f t="shared" si="51"/>
        <v>20692800</v>
      </c>
    </row>
    <row r="272" spans="1:46" s="179" customFormat="1" ht="24.95" hidden="1" customHeight="1" x14ac:dyDescent="0.25">
      <c r="A272" s="179">
        <v>15668</v>
      </c>
      <c r="B272" s="175" t="s">
        <v>96</v>
      </c>
      <c r="C272" s="175" t="s">
        <v>39</v>
      </c>
      <c r="D272" s="179">
        <v>4</v>
      </c>
      <c r="E272" s="179">
        <v>2025</v>
      </c>
      <c r="F272" s="179">
        <v>2025</v>
      </c>
      <c r="G272" s="177" t="s">
        <v>1466</v>
      </c>
      <c r="H272" s="196" t="s">
        <v>336</v>
      </c>
      <c r="I272" s="177" t="s">
        <v>1467</v>
      </c>
      <c r="J272" s="177" t="s">
        <v>2338</v>
      </c>
      <c r="K272" s="181" t="s">
        <v>2339</v>
      </c>
      <c r="L272" s="181"/>
      <c r="M272" s="177"/>
      <c r="N272" s="179">
        <v>13</v>
      </c>
      <c r="O272" s="181" t="s">
        <v>382</v>
      </c>
      <c r="P272" s="177" t="s">
        <v>714</v>
      </c>
      <c r="Q272" s="177" t="s">
        <v>1493</v>
      </c>
      <c r="R272" s="177" t="s">
        <v>339</v>
      </c>
      <c r="S272" s="181" t="s">
        <v>22</v>
      </c>
      <c r="T272" s="177" t="s">
        <v>347</v>
      </c>
      <c r="U272" s="179">
        <v>15</v>
      </c>
      <c r="V272" s="179">
        <v>110</v>
      </c>
      <c r="X272" s="179">
        <v>110</v>
      </c>
      <c r="Y272" s="179">
        <v>4</v>
      </c>
      <c r="Z272" s="179" t="s">
        <v>20</v>
      </c>
      <c r="AA272" s="179" t="s">
        <v>20</v>
      </c>
      <c r="AB272" s="189" t="s">
        <v>18</v>
      </c>
      <c r="AD272" s="181" t="s">
        <v>2340</v>
      </c>
      <c r="AE272" s="179" t="s">
        <v>18</v>
      </c>
      <c r="AF272" s="181"/>
      <c r="AG272" s="184" t="s">
        <v>989</v>
      </c>
      <c r="AH272" s="179">
        <v>28</v>
      </c>
      <c r="AI272" s="179">
        <v>2</v>
      </c>
      <c r="AJ272" s="200">
        <f t="shared" si="45"/>
        <v>1650</v>
      </c>
      <c r="AK272" s="183">
        <f t="shared" si="46"/>
        <v>6372</v>
      </c>
      <c r="AL272" s="179">
        <f t="shared" si="52"/>
        <v>27.5</v>
      </c>
      <c r="AM272" s="183">
        <v>0</v>
      </c>
      <c r="AN272" s="183">
        <f t="shared" si="53"/>
        <v>1680000</v>
      </c>
      <c r="AO272" s="183">
        <f t="shared" si="47"/>
        <v>2100000</v>
      </c>
      <c r="AP272" s="183">
        <f t="shared" si="48"/>
        <v>0</v>
      </c>
      <c r="AQ272" s="183">
        <f t="shared" si="49"/>
        <v>10513800</v>
      </c>
      <c r="AR272" s="183"/>
      <c r="AS272" s="183">
        <f t="shared" si="50"/>
        <v>0</v>
      </c>
      <c r="AT272" s="183">
        <f t="shared" si="51"/>
        <v>14293800</v>
      </c>
    </row>
    <row r="273" spans="1:50" s="179" customFormat="1" ht="24.95" hidden="1" customHeight="1" x14ac:dyDescent="0.25">
      <c r="A273" s="175">
        <v>14409</v>
      </c>
      <c r="B273" s="175" t="s">
        <v>97</v>
      </c>
      <c r="C273" s="188" t="s">
        <v>1610</v>
      </c>
      <c r="D273" s="176">
        <v>1</v>
      </c>
      <c r="E273" s="176">
        <v>2025</v>
      </c>
      <c r="F273" s="176">
        <v>2025</v>
      </c>
      <c r="G273" s="175" t="s">
        <v>23</v>
      </c>
      <c r="H273" s="175" t="s">
        <v>97</v>
      </c>
      <c r="I273" s="175" t="s">
        <v>1611</v>
      </c>
      <c r="J273" s="177" t="s">
        <v>740</v>
      </c>
      <c r="K273" s="175" t="s">
        <v>739</v>
      </c>
      <c r="L273" s="175" t="s">
        <v>21</v>
      </c>
      <c r="M273" s="175" t="s">
        <v>21</v>
      </c>
      <c r="N273" s="175">
        <v>13</v>
      </c>
      <c r="O273" s="175" t="s">
        <v>382</v>
      </c>
      <c r="P273" s="175" t="s">
        <v>404</v>
      </c>
      <c r="Q273" s="175" t="s">
        <v>388</v>
      </c>
      <c r="R273" s="175" t="s">
        <v>339</v>
      </c>
      <c r="S273" s="175" t="s">
        <v>19</v>
      </c>
      <c r="T273" s="175" t="s">
        <v>337</v>
      </c>
      <c r="U273" s="176">
        <v>15</v>
      </c>
      <c r="V273" s="176">
        <v>160</v>
      </c>
      <c r="W273" s="176" t="s">
        <v>21</v>
      </c>
      <c r="X273" s="179">
        <f t="shared" ref="X273:X283" si="54">(SUM(V273:W273))*1</f>
        <v>160</v>
      </c>
      <c r="Y273" s="176">
        <v>4</v>
      </c>
      <c r="Z273" s="176" t="s">
        <v>20</v>
      </c>
      <c r="AA273" s="176" t="s">
        <v>18</v>
      </c>
      <c r="AB273" s="185" t="s">
        <v>18</v>
      </c>
      <c r="AC273" s="186" t="s">
        <v>21</v>
      </c>
      <c r="AD273" s="181" t="s">
        <v>1612</v>
      </c>
      <c r="AE273" s="179" t="s">
        <v>20</v>
      </c>
      <c r="AF273" s="181" t="s">
        <v>1613</v>
      </c>
      <c r="AG273" s="174" t="s">
        <v>990</v>
      </c>
      <c r="AH273" s="179">
        <v>40</v>
      </c>
      <c r="AI273" s="179">
        <f>VLOOKUP(K273,[1]TRAMO!$A:$B,2,0)</f>
        <v>3</v>
      </c>
      <c r="AJ273" s="200">
        <f t="shared" si="45"/>
        <v>2400</v>
      </c>
      <c r="AK273" s="183">
        <f t="shared" si="46"/>
        <v>7434</v>
      </c>
      <c r="AL273" s="179">
        <f t="shared" si="52"/>
        <v>40</v>
      </c>
      <c r="AM273" s="183">
        <v>60000</v>
      </c>
      <c r="AN273" s="183">
        <f t="shared" si="53"/>
        <v>2400000</v>
      </c>
      <c r="AO273" s="183">
        <f t="shared" si="47"/>
        <v>0</v>
      </c>
      <c r="AP273" s="183">
        <f t="shared" si="48"/>
        <v>0</v>
      </c>
      <c r="AQ273" s="183">
        <f t="shared" si="49"/>
        <v>17841600</v>
      </c>
      <c r="AR273" s="183"/>
      <c r="AS273" s="183">
        <f t="shared" si="50"/>
        <v>900000</v>
      </c>
      <c r="AT273" s="183">
        <f t="shared" si="51"/>
        <v>21141600</v>
      </c>
      <c r="AU273" s="175" t="s">
        <v>1614</v>
      </c>
      <c r="AV273" s="175" t="s">
        <v>1615</v>
      </c>
      <c r="AW273" s="175" t="s">
        <v>1616</v>
      </c>
      <c r="AX273" s="175" t="s">
        <v>1617</v>
      </c>
    </row>
    <row r="274" spans="1:50" s="179" customFormat="1" ht="24.95" hidden="1" customHeight="1" x14ac:dyDescent="0.25">
      <c r="A274" s="175">
        <v>14427</v>
      </c>
      <c r="B274" s="175" t="s">
        <v>97</v>
      </c>
      <c r="C274" s="188" t="s">
        <v>1610</v>
      </c>
      <c r="D274" s="176">
        <v>1</v>
      </c>
      <c r="E274" s="176">
        <v>2025</v>
      </c>
      <c r="F274" s="176">
        <v>2025</v>
      </c>
      <c r="G274" s="175" t="s">
        <v>23</v>
      </c>
      <c r="H274" s="175" t="s">
        <v>97</v>
      </c>
      <c r="I274" s="175" t="s">
        <v>1611</v>
      </c>
      <c r="J274" s="177" t="s">
        <v>740</v>
      </c>
      <c r="K274" s="175" t="s">
        <v>739</v>
      </c>
      <c r="L274" s="175" t="s">
        <v>21</v>
      </c>
      <c r="M274" s="175" t="s">
        <v>21</v>
      </c>
      <c r="N274" s="175">
        <v>7</v>
      </c>
      <c r="O274" s="175" t="s">
        <v>428</v>
      </c>
      <c r="P274" s="175" t="s">
        <v>419</v>
      </c>
      <c r="Q274" s="175" t="s">
        <v>388</v>
      </c>
      <c r="R274" s="175" t="s">
        <v>339</v>
      </c>
      <c r="S274" s="175" t="s">
        <v>19</v>
      </c>
      <c r="T274" s="175" t="s">
        <v>337</v>
      </c>
      <c r="U274" s="176">
        <v>15</v>
      </c>
      <c r="V274" s="176">
        <v>160</v>
      </c>
      <c r="W274" s="176" t="s">
        <v>21</v>
      </c>
      <c r="X274" s="179">
        <f t="shared" si="54"/>
        <v>160</v>
      </c>
      <c r="Y274" s="176">
        <v>4</v>
      </c>
      <c r="Z274" s="176" t="s">
        <v>20</v>
      </c>
      <c r="AA274" s="176" t="s">
        <v>18</v>
      </c>
      <c r="AB274" s="185" t="s">
        <v>18</v>
      </c>
      <c r="AC274" s="186" t="s">
        <v>21</v>
      </c>
      <c r="AD274" s="181" t="s">
        <v>1618</v>
      </c>
      <c r="AE274" s="179" t="s">
        <v>20</v>
      </c>
      <c r="AF274" s="181" t="s">
        <v>1613</v>
      </c>
      <c r="AG274" s="174" t="s">
        <v>990</v>
      </c>
      <c r="AH274" s="179">
        <v>40</v>
      </c>
      <c r="AI274" s="179">
        <f>VLOOKUP(K274,[1]TRAMO!$A:$B,2,0)</f>
        <v>3</v>
      </c>
      <c r="AJ274" s="200">
        <f t="shared" si="45"/>
        <v>2400</v>
      </c>
      <c r="AK274" s="183">
        <f t="shared" si="46"/>
        <v>7434</v>
      </c>
      <c r="AL274" s="179">
        <f t="shared" si="52"/>
        <v>40</v>
      </c>
      <c r="AM274" s="183">
        <v>60000</v>
      </c>
      <c r="AN274" s="183">
        <f t="shared" si="53"/>
        <v>2400000</v>
      </c>
      <c r="AO274" s="183">
        <f t="shared" si="47"/>
        <v>0</v>
      </c>
      <c r="AP274" s="183">
        <f t="shared" si="48"/>
        <v>0</v>
      </c>
      <c r="AQ274" s="183">
        <f t="shared" si="49"/>
        <v>17841600</v>
      </c>
      <c r="AR274" s="183"/>
      <c r="AS274" s="183">
        <f t="shared" si="50"/>
        <v>900000</v>
      </c>
      <c r="AT274" s="183">
        <f t="shared" si="51"/>
        <v>21141600</v>
      </c>
      <c r="AU274" s="175" t="s">
        <v>1619</v>
      </c>
      <c r="AV274" s="175" t="s">
        <v>1615</v>
      </c>
      <c r="AW274" s="175" t="s">
        <v>1620</v>
      </c>
      <c r="AX274" s="175" t="s">
        <v>1621</v>
      </c>
    </row>
    <row r="275" spans="1:50" s="179" customFormat="1" ht="24.95" hidden="1" customHeight="1" x14ac:dyDescent="0.25">
      <c r="A275" s="175">
        <v>14433</v>
      </c>
      <c r="B275" s="175" t="s">
        <v>97</v>
      </c>
      <c r="C275" s="188" t="s">
        <v>1610</v>
      </c>
      <c r="D275" s="176">
        <v>1</v>
      </c>
      <c r="E275" s="176">
        <v>2025</v>
      </c>
      <c r="F275" s="176">
        <v>2025</v>
      </c>
      <c r="G275" s="175" t="s">
        <v>23</v>
      </c>
      <c r="H275" s="175" t="s">
        <v>97</v>
      </c>
      <c r="I275" s="175" t="s">
        <v>1611</v>
      </c>
      <c r="J275" s="177" t="s">
        <v>993</v>
      </c>
      <c r="K275" s="175" t="s">
        <v>994</v>
      </c>
      <c r="L275" s="175" t="s">
        <v>21</v>
      </c>
      <c r="M275" s="175" t="s">
        <v>21</v>
      </c>
      <c r="N275" s="175">
        <v>7</v>
      </c>
      <c r="O275" s="175" t="s">
        <v>428</v>
      </c>
      <c r="P275" s="175" t="s">
        <v>419</v>
      </c>
      <c r="Q275" s="175" t="s">
        <v>388</v>
      </c>
      <c r="R275" s="175" t="s">
        <v>339</v>
      </c>
      <c r="S275" s="175" t="s">
        <v>22</v>
      </c>
      <c r="T275" s="175" t="s">
        <v>337</v>
      </c>
      <c r="U275" s="176">
        <v>15</v>
      </c>
      <c r="V275" s="176">
        <v>108</v>
      </c>
      <c r="W275" s="176" t="s">
        <v>21</v>
      </c>
      <c r="X275" s="179">
        <f t="shared" si="54"/>
        <v>108</v>
      </c>
      <c r="Y275" s="176">
        <v>4</v>
      </c>
      <c r="Z275" s="176" t="s">
        <v>20</v>
      </c>
      <c r="AA275" s="176" t="s">
        <v>18</v>
      </c>
      <c r="AB275" s="185" t="s">
        <v>18</v>
      </c>
      <c r="AC275" s="186" t="s">
        <v>21</v>
      </c>
      <c r="AD275" s="181" t="s">
        <v>1914</v>
      </c>
      <c r="AE275" s="179" t="s">
        <v>18</v>
      </c>
      <c r="AF275" s="191"/>
      <c r="AG275" s="174" t="s">
        <v>990</v>
      </c>
      <c r="AH275" s="179">
        <v>27</v>
      </c>
      <c r="AI275" s="179">
        <f>VLOOKUP(K275,[1]TRAMO!$A:$B,2,0)</f>
        <v>2</v>
      </c>
      <c r="AJ275" s="200">
        <f t="shared" si="45"/>
        <v>1620</v>
      </c>
      <c r="AK275" s="183">
        <f t="shared" si="46"/>
        <v>6372</v>
      </c>
      <c r="AL275" s="179">
        <f t="shared" si="52"/>
        <v>27</v>
      </c>
      <c r="AM275" s="183">
        <v>0</v>
      </c>
      <c r="AN275" s="183">
        <f t="shared" si="53"/>
        <v>1620000</v>
      </c>
      <c r="AO275" s="183">
        <f t="shared" si="47"/>
        <v>0</v>
      </c>
      <c r="AP275" s="183">
        <f t="shared" si="48"/>
        <v>0</v>
      </c>
      <c r="AQ275" s="183">
        <f t="shared" si="49"/>
        <v>10322640</v>
      </c>
      <c r="AR275" s="183"/>
      <c r="AS275" s="183">
        <f t="shared" si="50"/>
        <v>0</v>
      </c>
      <c r="AT275" s="183">
        <f t="shared" si="51"/>
        <v>11942640</v>
      </c>
      <c r="AU275" s="175" t="s">
        <v>1619</v>
      </c>
      <c r="AV275" s="175" t="s">
        <v>1615</v>
      </c>
      <c r="AW275" s="175" t="s">
        <v>1620</v>
      </c>
      <c r="AX275" s="175" t="s">
        <v>1621</v>
      </c>
    </row>
    <row r="276" spans="1:50" s="179" customFormat="1" ht="24.95" hidden="1" customHeight="1" x14ac:dyDescent="0.25">
      <c r="A276" s="175">
        <v>14441</v>
      </c>
      <c r="B276" s="175" t="s">
        <v>97</v>
      </c>
      <c r="C276" s="188" t="s">
        <v>1610</v>
      </c>
      <c r="D276" s="176">
        <v>1</v>
      </c>
      <c r="E276" s="176">
        <v>2025</v>
      </c>
      <c r="F276" s="176">
        <v>2025</v>
      </c>
      <c r="G276" s="175" t="s">
        <v>23</v>
      </c>
      <c r="H276" s="175" t="s">
        <v>97</v>
      </c>
      <c r="I276" s="175" t="s">
        <v>1611</v>
      </c>
      <c r="J276" s="177" t="s">
        <v>1919</v>
      </c>
      <c r="K276" s="175" t="s">
        <v>1920</v>
      </c>
      <c r="L276" s="175" t="s">
        <v>21</v>
      </c>
      <c r="M276" s="175" t="s">
        <v>21</v>
      </c>
      <c r="N276" s="175">
        <v>7</v>
      </c>
      <c r="O276" s="175" t="s">
        <v>428</v>
      </c>
      <c r="P276" s="175" t="s">
        <v>419</v>
      </c>
      <c r="Q276" s="175" t="s">
        <v>388</v>
      </c>
      <c r="R276" s="175" t="s">
        <v>339</v>
      </c>
      <c r="S276" s="175" t="s">
        <v>22</v>
      </c>
      <c r="T276" s="175" t="s">
        <v>337</v>
      </c>
      <c r="U276" s="176">
        <v>15</v>
      </c>
      <c r="V276" s="176">
        <v>100</v>
      </c>
      <c r="W276" s="176" t="s">
        <v>21</v>
      </c>
      <c r="X276" s="179">
        <f t="shared" si="54"/>
        <v>100</v>
      </c>
      <c r="Y276" s="176">
        <v>4</v>
      </c>
      <c r="Z276" s="176" t="s">
        <v>20</v>
      </c>
      <c r="AA276" s="176" t="s">
        <v>18</v>
      </c>
      <c r="AB276" s="185" t="s">
        <v>18</v>
      </c>
      <c r="AC276" s="186" t="s">
        <v>21</v>
      </c>
      <c r="AD276" s="181" t="s">
        <v>1914</v>
      </c>
      <c r="AE276" s="179" t="s">
        <v>18</v>
      </c>
      <c r="AF276" s="191"/>
      <c r="AG276" s="174" t="s">
        <v>990</v>
      </c>
      <c r="AH276" s="179">
        <v>25</v>
      </c>
      <c r="AI276" s="179">
        <v>1</v>
      </c>
      <c r="AJ276" s="200">
        <f t="shared" si="45"/>
        <v>1500</v>
      </c>
      <c r="AK276" s="183">
        <f t="shared" si="46"/>
        <v>5074</v>
      </c>
      <c r="AL276" s="179">
        <f t="shared" si="52"/>
        <v>25</v>
      </c>
      <c r="AM276" s="183">
        <v>0</v>
      </c>
      <c r="AN276" s="183">
        <f t="shared" si="53"/>
        <v>1500000</v>
      </c>
      <c r="AO276" s="183">
        <f t="shared" si="47"/>
        <v>0</v>
      </c>
      <c r="AP276" s="183">
        <f t="shared" si="48"/>
        <v>0</v>
      </c>
      <c r="AQ276" s="183">
        <f t="shared" si="49"/>
        <v>7611000</v>
      </c>
      <c r="AR276" s="183"/>
      <c r="AS276" s="183">
        <f t="shared" si="50"/>
        <v>0</v>
      </c>
      <c r="AT276" s="183">
        <f t="shared" si="51"/>
        <v>9111000</v>
      </c>
      <c r="AU276" s="175" t="s">
        <v>1614</v>
      </c>
      <c r="AV276" s="175" t="s">
        <v>1615</v>
      </c>
      <c r="AW276" s="175" t="s">
        <v>1620</v>
      </c>
      <c r="AX276" s="175" t="s">
        <v>1621</v>
      </c>
    </row>
    <row r="277" spans="1:50" s="179" customFormat="1" ht="24.95" hidden="1" customHeight="1" x14ac:dyDescent="0.25">
      <c r="A277" s="175">
        <v>14297</v>
      </c>
      <c r="B277" s="175" t="s">
        <v>97</v>
      </c>
      <c r="C277" s="188" t="s">
        <v>1610</v>
      </c>
      <c r="D277" s="176">
        <v>1</v>
      </c>
      <c r="E277" s="176">
        <v>2025</v>
      </c>
      <c r="F277" s="176">
        <v>2025</v>
      </c>
      <c r="G277" s="175" t="s">
        <v>23</v>
      </c>
      <c r="H277" s="175" t="s">
        <v>97</v>
      </c>
      <c r="I277" s="175" t="s">
        <v>1611</v>
      </c>
      <c r="J277" s="177" t="s">
        <v>786</v>
      </c>
      <c r="K277" s="175" t="s">
        <v>785</v>
      </c>
      <c r="L277" s="175" t="s">
        <v>345</v>
      </c>
      <c r="M277" s="175" t="s">
        <v>346</v>
      </c>
      <c r="N277" s="175">
        <v>7</v>
      </c>
      <c r="O277" s="175" t="s">
        <v>428</v>
      </c>
      <c r="P277" s="175" t="s">
        <v>2059</v>
      </c>
      <c r="Q277" s="175" t="s">
        <v>388</v>
      </c>
      <c r="R277" s="175" t="s">
        <v>339</v>
      </c>
      <c r="S277" s="175" t="s">
        <v>19</v>
      </c>
      <c r="T277" s="175" t="s">
        <v>337</v>
      </c>
      <c r="U277" s="176">
        <v>12</v>
      </c>
      <c r="V277" s="176">
        <v>120</v>
      </c>
      <c r="W277" s="176">
        <v>12</v>
      </c>
      <c r="X277" s="179">
        <f t="shared" si="54"/>
        <v>132</v>
      </c>
      <c r="Y277" s="176">
        <v>4</v>
      </c>
      <c r="Z277" s="176" t="s">
        <v>20</v>
      </c>
      <c r="AA277" s="176" t="s">
        <v>18</v>
      </c>
      <c r="AB277" s="176" t="s">
        <v>20</v>
      </c>
      <c r="AC277" s="186" t="s">
        <v>21</v>
      </c>
      <c r="AD277" s="181" t="s">
        <v>2060</v>
      </c>
      <c r="AE277" s="179" t="s">
        <v>18</v>
      </c>
      <c r="AF277" s="191"/>
      <c r="AG277" s="174" t="s">
        <v>990</v>
      </c>
      <c r="AH277" s="179">
        <v>33</v>
      </c>
      <c r="AI277" s="179">
        <f>VLOOKUP(K277,[1]TRAMO!$A:$B,2,0)</f>
        <v>2</v>
      </c>
      <c r="AJ277" s="200">
        <f t="shared" si="45"/>
        <v>1584</v>
      </c>
      <c r="AK277" s="183">
        <f t="shared" si="46"/>
        <v>6372</v>
      </c>
      <c r="AL277" s="179">
        <f t="shared" si="52"/>
        <v>33</v>
      </c>
      <c r="AM277" s="183">
        <v>0</v>
      </c>
      <c r="AN277" s="183">
        <f t="shared" si="53"/>
        <v>1584000</v>
      </c>
      <c r="AO277" s="183">
        <f t="shared" si="47"/>
        <v>0</v>
      </c>
      <c r="AP277" s="183">
        <f t="shared" si="48"/>
        <v>3240000</v>
      </c>
      <c r="AQ277" s="183">
        <f t="shared" si="49"/>
        <v>10093248</v>
      </c>
      <c r="AR277" s="183"/>
      <c r="AS277" s="183">
        <f t="shared" si="50"/>
        <v>0</v>
      </c>
      <c r="AT277" s="183">
        <f t="shared" si="51"/>
        <v>14917248</v>
      </c>
      <c r="AU277" s="175" t="s">
        <v>2061</v>
      </c>
      <c r="AV277" s="175" t="s">
        <v>2062</v>
      </c>
      <c r="AW277" s="175" t="s">
        <v>2063</v>
      </c>
      <c r="AX277" s="175" t="s">
        <v>2064</v>
      </c>
    </row>
    <row r="278" spans="1:50" s="179" customFormat="1" ht="24.95" hidden="1" customHeight="1" x14ac:dyDescent="0.25">
      <c r="A278" s="175">
        <v>14417</v>
      </c>
      <c r="B278" s="175" t="s">
        <v>97</v>
      </c>
      <c r="C278" s="188" t="s">
        <v>1610</v>
      </c>
      <c r="D278" s="176">
        <v>1</v>
      </c>
      <c r="E278" s="176">
        <v>2025</v>
      </c>
      <c r="F278" s="176">
        <v>2025</v>
      </c>
      <c r="G278" s="175" t="s">
        <v>23</v>
      </c>
      <c r="H278" s="175" t="s">
        <v>97</v>
      </c>
      <c r="I278" s="175" t="s">
        <v>1611</v>
      </c>
      <c r="J278" s="177" t="s">
        <v>786</v>
      </c>
      <c r="K278" s="175" t="s">
        <v>785</v>
      </c>
      <c r="L278" s="175" t="s">
        <v>345</v>
      </c>
      <c r="M278" s="175" t="s">
        <v>346</v>
      </c>
      <c r="N278" s="175">
        <v>13</v>
      </c>
      <c r="O278" s="175" t="s">
        <v>382</v>
      </c>
      <c r="P278" s="175" t="s">
        <v>404</v>
      </c>
      <c r="Q278" s="175" t="s">
        <v>388</v>
      </c>
      <c r="R278" s="175" t="s">
        <v>339</v>
      </c>
      <c r="S278" s="175" t="s">
        <v>19</v>
      </c>
      <c r="T278" s="175" t="s">
        <v>337</v>
      </c>
      <c r="U278" s="176">
        <v>15</v>
      </c>
      <c r="V278" s="176">
        <v>120</v>
      </c>
      <c r="W278" s="176">
        <v>12</v>
      </c>
      <c r="X278" s="179">
        <f t="shared" si="54"/>
        <v>132</v>
      </c>
      <c r="Y278" s="176">
        <v>4</v>
      </c>
      <c r="Z278" s="176" t="s">
        <v>20</v>
      </c>
      <c r="AA278" s="176" t="s">
        <v>18</v>
      </c>
      <c r="AB278" s="176" t="s">
        <v>20</v>
      </c>
      <c r="AC278" s="186" t="s">
        <v>21</v>
      </c>
      <c r="AD278" s="181" t="s">
        <v>2065</v>
      </c>
      <c r="AE278" s="179" t="s">
        <v>18</v>
      </c>
      <c r="AF278" s="191"/>
      <c r="AG278" s="174" t="s">
        <v>990</v>
      </c>
      <c r="AH278" s="179">
        <v>33</v>
      </c>
      <c r="AI278" s="179">
        <f>VLOOKUP(K278,[1]TRAMO!$A:$B,2,0)</f>
        <v>2</v>
      </c>
      <c r="AJ278" s="200">
        <f t="shared" si="45"/>
        <v>1980</v>
      </c>
      <c r="AK278" s="183">
        <f t="shared" si="46"/>
        <v>6372</v>
      </c>
      <c r="AL278" s="179">
        <f t="shared" si="52"/>
        <v>33</v>
      </c>
      <c r="AM278" s="183">
        <v>0</v>
      </c>
      <c r="AN278" s="183">
        <f t="shared" si="53"/>
        <v>1980000</v>
      </c>
      <c r="AO278" s="183">
        <f t="shared" si="47"/>
        <v>0</v>
      </c>
      <c r="AP278" s="183">
        <f t="shared" si="48"/>
        <v>4050000</v>
      </c>
      <c r="AQ278" s="183">
        <f t="shared" si="49"/>
        <v>12616560</v>
      </c>
      <c r="AR278" s="183"/>
      <c r="AS278" s="183">
        <f t="shared" si="50"/>
        <v>0</v>
      </c>
      <c r="AT278" s="183">
        <f t="shared" si="51"/>
        <v>18646560</v>
      </c>
      <c r="AU278" s="175" t="s">
        <v>1619</v>
      </c>
      <c r="AV278" s="175" t="s">
        <v>1615</v>
      </c>
      <c r="AW278" s="175" t="s">
        <v>1616</v>
      </c>
      <c r="AX278" s="175" t="s">
        <v>1617</v>
      </c>
    </row>
    <row r="279" spans="1:50" s="179" customFormat="1" ht="24.95" hidden="1" customHeight="1" x14ac:dyDescent="0.25">
      <c r="A279" s="175">
        <v>14424</v>
      </c>
      <c r="B279" s="175" t="s">
        <v>97</v>
      </c>
      <c r="C279" s="188" t="s">
        <v>1610</v>
      </c>
      <c r="D279" s="176">
        <v>1</v>
      </c>
      <c r="E279" s="176">
        <v>2025</v>
      </c>
      <c r="F279" s="176">
        <v>2025</v>
      </c>
      <c r="G279" s="175" t="s">
        <v>23</v>
      </c>
      <c r="H279" s="175" t="s">
        <v>97</v>
      </c>
      <c r="I279" s="175" t="s">
        <v>1611</v>
      </c>
      <c r="J279" s="177" t="s">
        <v>768</v>
      </c>
      <c r="K279" s="175" t="s">
        <v>767</v>
      </c>
      <c r="L279" s="175" t="s">
        <v>345</v>
      </c>
      <c r="M279" s="175" t="s">
        <v>346</v>
      </c>
      <c r="N279" s="175">
        <v>7</v>
      </c>
      <c r="O279" s="175" t="s">
        <v>428</v>
      </c>
      <c r="P279" s="175" t="s">
        <v>419</v>
      </c>
      <c r="Q279" s="175" t="s">
        <v>388</v>
      </c>
      <c r="R279" s="175" t="s">
        <v>339</v>
      </c>
      <c r="S279" s="175" t="s">
        <v>19</v>
      </c>
      <c r="T279" s="175" t="s">
        <v>337</v>
      </c>
      <c r="U279" s="176">
        <v>15</v>
      </c>
      <c r="V279" s="176">
        <v>150</v>
      </c>
      <c r="W279" s="176">
        <v>12</v>
      </c>
      <c r="X279" s="179">
        <f t="shared" si="54"/>
        <v>162</v>
      </c>
      <c r="Y279" s="176">
        <v>4</v>
      </c>
      <c r="Z279" s="176" t="s">
        <v>20</v>
      </c>
      <c r="AA279" s="176" t="s">
        <v>18</v>
      </c>
      <c r="AB279" s="176" t="s">
        <v>20</v>
      </c>
      <c r="AC279" s="186" t="s">
        <v>21</v>
      </c>
      <c r="AD279" s="181" t="s">
        <v>2143</v>
      </c>
      <c r="AE279" s="179" t="s">
        <v>18</v>
      </c>
      <c r="AF279" s="191"/>
      <c r="AG279" s="174" t="s">
        <v>990</v>
      </c>
      <c r="AH279" s="179">
        <v>41</v>
      </c>
      <c r="AI279" s="179">
        <f>VLOOKUP(K279,[1]TRAMO!$A:$B,2,0)</f>
        <v>2</v>
      </c>
      <c r="AJ279" s="200">
        <f t="shared" si="45"/>
        <v>2430</v>
      </c>
      <c r="AK279" s="183">
        <f t="shared" si="46"/>
        <v>6372</v>
      </c>
      <c r="AL279" s="179">
        <f t="shared" si="52"/>
        <v>40.5</v>
      </c>
      <c r="AM279" s="183">
        <v>0</v>
      </c>
      <c r="AN279" s="183">
        <f t="shared" si="53"/>
        <v>2460000</v>
      </c>
      <c r="AO279" s="183">
        <f t="shared" si="47"/>
        <v>0</v>
      </c>
      <c r="AP279" s="183">
        <f t="shared" si="48"/>
        <v>4050000</v>
      </c>
      <c r="AQ279" s="183">
        <f t="shared" si="49"/>
        <v>15483960</v>
      </c>
      <c r="AR279" s="183"/>
      <c r="AS279" s="183">
        <f t="shared" si="50"/>
        <v>0</v>
      </c>
      <c r="AT279" s="183">
        <f t="shared" si="51"/>
        <v>21993960</v>
      </c>
      <c r="AU279" s="175" t="s">
        <v>1619</v>
      </c>
      <c r="AV279" s="175" t="s">
        <v>1615</v>
      </c>
      <c r="AW279" s="175" t="s">
        <v>1620</v>
      </c>
      <c r="AX279" s="175" t="s">
        <v>1621</v>
      </c>
    </row>
    <row r="280" spans="1:50" s="179" customFormat="1" ht="24.95" hidden="1" customHeight="1" x14ac:dyDescent="0.25">
      <c r="A280" s="175">
        <v>14462</v>
      </c>
      <c r="B280" s="175" t="s">
        <v>97</v>
      </c>
      <c r="C280" s="188" t="s">
        <v>1610</v>
      </c>
      <c r="D280" s="176">
        <v>1</v>
      </c>
      <c r="E280" s="176">
        <v>2025</v>
      </c>
      <c r="F280" s="176">
        <v>2025</v>
      </c>
      <c r="G280" s="175" t="s">
        <v>23</v>
      </c>
      <c r="H280" s="175" t="s">
        <v>97</v>
      </c>
      <c r="I280" s="175" t="s">
        <v>1611</v>
      </c>
      <c r="J280" s="177" t="s">
        <v>768</v>
      </c>
      <c r="K280" s="175" t="s">
        <v>767</v>
      </c>
      <c r="L280" s="175" t="s">
        <v>345</v>
      </c>
      <c r="M280" s="175" t="s">
        <v>346</v>
      </c>
      <c r="N280" s="175">
        <v>8</v>
      </c>
      <c r="O280" s="175" t="s">
        <v>709</v>
      </c>
      <c r="P280" s="175" t="s">
        <v>735</v>
      </c>
      <c r="Q280" s="175" t="s">
        <v>388</v>
      </c>
      <c r="R280" s="175" t="s">
        <v>339</v>
      </c>
      <c r="S280" s="175" t="s">
        <v>19</v>
      </c>
      <c r="T280" s="175" t="s">
        <v>337</v>
      </c>
      <c r="U280" s="176">
        <v>15</v>
      </c>
      <c r="V280" s="176">
        <v>150</v>
      </c>
      <c r="W280" s="176">
        <v>12</v>
      </c>
      <c r="X280" s="179">
        <f t="shared" si="54"/>
        <v>162</v>
      </c>
      <c r="Y280" s="176">
        <v>4</v>
      </c>
      <c r="Z280" s="176" t="s">
        <v>20</v>
      </c>
      <c r="AA280" s="176" t="s">
        <v>18</v>
      </c>
      <c r="AB280" s="176" t="s">
        <v>20</v>
      </c>
      <c r="AC280" s="186" t="s">
        <v>21</v>
      </c>
      <c r="AD280" s="181" t="s">
        <v>2144</v>
      </c>
      <c r="AE280" s="179" t="s">
        <v>18</v>
      </c>
      <c r="AF280" s="191"/>
      <c r="AG280" s="174" t="s">
        <v>990</v>
      </c>
      <c r="AH280" s="179">
        <v>41</v>
      </c>
      <c r="AI280" s="179">
        <f>VLOOKUP(K280,[1]TRAMO!$A:$B,2,0)</f>
        <v>2</v>
      </c>
      <c r="AJ280" s="200">
        <f t="shared" si="45"/>
        <v>2430</v>
      </c>
      <c r="AK280" s="183">
        <f t="shared" si="46"/>
        <v>6372</v>
      </c>
      <c r="AL280" s="179">
        <f t="shared" si="52"/>
        <v>40.5</v>
      </c>
      <c r="AM280" s="183">
        <v>0</v>
      </c>
      <c r="AN280" s="183">
        <f t="shared" si="53"/>
        <v>2460000</v>
      </c>
      <c r="AO280" s="183">
        <f t="shared" si="47"/>
        <v>0</v>
      </c>
      <c r="AP280" s="183">
        <f t="shared" si="48"/>
        <v>4050000</v>
      </c>
      <c r="AQ280" s="183">
        <f t="shared" si="49"/>
        <v>15483960</v>
      </c>
      <c r="AR280" s="183"/>
      <c r="AS280" s="183">
        <f t="shared" si="50"/>
        <v>0</v>
      </c>
      <c r="AT280" s="183">
        <f t="shared" si="51"/>
        <v>21993960</v>
      </c>
      <c r="AU280" s="175" t="s">
        <v>1619</v>
      </c>
      <c r="AV280" s="175" t="s">
        <v>1615</v>
      </c>
      <c r="AW280" s="175" t="s">
        <v>2145</v>
      </c>
      <c r="AX280" s="175" t="s">
        <v>1010</v>
      </c>
    </row>
    <row r="281" spans="1:50" s="179" customFormat="1" ht="24.95" hidden="1" customHeight="1" x14ac:dyDescent="0.25">
      <c r="A281" s="175">
        <v>14314</v>
      </c>
      <c r="B281" s="175" t="s">
        <v>97</v>
      </c>
      <c r="C281" s="188" t="s">
        <v>1610</v>
      </c>
      <c r="D281" s="176">
        <v>1</v>
      </c>
      <c r="E281" s="176">
        <v>2025</v>
      </c>
      <c r="F281" s="176">
        <v>2025</v>
      </c>
      <c r="G281" s="175" t="s">
        <v>23</v>
      </c>
      <c r="H281" s="175" t="s">
        <v>97</v>
      </c>
      <c r="I281" s="175" t="s">
        <v>1611</v>
      </c>
      <c r="J281" s="177" t="s">
        <v>350</v>
      </c>
      <c r="K281" s="175" t="s">
        <v>349</v>
      </c>
      <c r="L281" s="175" t="s">
        <v>345</v>
      </c>
      <c r="M281" s="175" t="s">
        <v>346</v>
      </c>
      <c r="N281" s="175">
        <v>3</v>
      </c>
      <c r="O281" s="175" t="s">
        <v>751</v>
      </c>
      <c r="P281" s="175" t="s">
        <v>839</v>
      </c>
      <c r="Q281" s="175" t="s">
        <v>388</v>
      </c>
      <c r="R281" s="175" t="s">
        <v>339</v>
      </c>
      <c r="S281" s="175" t="s">
        <v>19</v>
      </c>
      <c r="T281" s="175" t="s">
        <v>337</v>
      </c>
      <c r="U281" s="176">
        <v>15</v>
      </c>
      <c r="V281" s="176">
        <v>110</v>
      </c>
      <c r="W281" s="176">
        <v>12</v>
      </c>
      <c r="X281" s="179">
        <f t="shared" si="54"/>
        <v>122</v>
      </c>
      <c r="Y281" s="176">
        <v>4</v>
      </c>
      <c r="Z281" s="176" t="s">
        <v>20</v>
      </c>
      <c r="AA281" s="176" t="s">
        <v>18</v>
      </c>
      <c r="AB281" s="176" t="s">
        <v>20</v>
      </c>
      <c r="AC281" s="186" t="s">
        <v>21</v>
      </c>
      <c r="AD281" s="181" t="s">
        <v>2158</v>
      </c>
      <c r="AE281" s="179" t="s">
        <v>18</v>
      </c>
      <c r="AF281" s="191"/>
      <c r="AG281" s="174" t="s">
        <v>990</v>
      </c>
      <c r="AH281" s="179">
        <v>31</v>
      </c>
      <c r="AI281" s="179">
        <f>VLOOKUP(K281,[1]TRAMO!$A:$B,2,0)</f>
        <v>2</v>
      </c>
      <c r="AJ281" s="200">
        <f t="shared" si="45"/>
        <v>1830</v>
      </c>
      <c r="AK281" s="183">
        <f t="shared" si="46"/>
        <v>6372</v>
      </c>
      <c r="AL281" s="179">
        <f t="shared" si="52"/>
        <v>30.5</v>
      </c>
      <c r="AM281" s="183">
        <v>0</v>
      </c>
      <c r="AN281" s="183">
        <f t="shared" si="53"/>
        <v>1860000</v>
      </c>
      <c r="AO281" s="183">
        <f t="shared" si="47"/>
        <v>0</v>
      </c>
      <c r="AP281" s="183">
        <f t="shared" si="48"/>
        <v>4050000</v>
      </c>
      <c r="AQ281" s="183">
        <f t="shared" si="49"/>
        <v>11660760</v>
      </c>
      <c r="AR281" s="183"/>
      <c r="AS281" s="183">
        <f t="shared" si="50"/>
        <v>0</v>
      </c>
      <c r="AT281" s="183">
        <f t="shared" si="51"/>
        <v>17570760</v>
      </c>
      <c r="AU281" s="175" t="s">
        <v>1614</v>
      </c>
      <c r="AV281" s="175" t="s">
        <v>1615</v>
      </c>
      <c r="AW281" s="175" t="s">
        <v>2159</v>
      </c>
      <c r="AX281" s="175" t="s">
        <v>998</v>
      </c>
    </row>
    <row r="282" spans="1:50" s="179" customFormat="1" ht="24.95" hidden="1" customHeight="1" x14ac:dyDescent="0.25">
      <c r="A282" s="175">
        <v>14420</v>
      </c>
      <c r="B282" s="175" t="s">
        <v>97</v>
      </c>
      <c r="C282" s="188" t="s">
        <v>1610</v>
      </c>
      <c r="D282" s="176">
        <v>1</v>
      </c>
      <c r="E282" s="176">
        <v>2025</v>
      </c>
      <c r="F282" s="176">
        <v>2025</v>
      </c>
      <c r="G282" s="175" t="s">
        <v>23</v>
      </c>
      <c r="H282" s="175" t="s">
        <v>97</v>
      </c>
      <c r="I282" s="175" t="s">
        <v>1611</v>
      </c>
      <c r="J282" s="177" t="s">
        <v>350</v>
      </c>
      <c r="K282" s="175" t="s">
        <v>349</v>
      </c>
      <c r="L282" s="175" t="s">
        <v>345</v>
      </c>
      <c r="M282" s="175" t="s">
        <v>346</v>
      </c>
      <c r="N282" s="175">
        <v>13</v>
      </c>
      <c r="O282" s="175" t="s">
        <v>382</v>
      </c>
      <c r="P282" s="175" t="s">
        <v>404</v>
      </c>
      <c r="Q282" s="175" t="s">
        <v>388</v>
      </c>
      <c r="R282" s="175" t="s">
        <v>339</v>
      </c>
      <c r="S282" s="175" t="s">
        <v>19</v>
      </c>
      <c r="T282" s="175" t="s">
        <v>337</v>
      </c>
      <c r="U282" s="176">
        <v>15</v>
      </c>
      <c r="V282" s="176">
        <v>110</v>
      </c>
      <c r="W282" s="176">
        <v>12</v>
      </c>
      <c r="X282" s="179">
        <f t="shared" si="54"/>
        <v>122</v>
      </c>
      <c r="Y282" s="176">
        <v>4</v>
      </c>
      <c r="Z282" s="176" t="s">
        <v>20</v>
      </c>
      <c r="AA282" s="176" t="s">
        <v>18</v>
      </c>
      <c r="AB282" s="176" t="s">
        <v>20</v>
      </c>
      <c r="AC282" s="186" t="s">
        <v>21</v>
      </c>
      <c r="AD282" s="181" t="s">
        <v>2065</v>
      </c>
      <c r="AE282" s="179" t="s">
        <v>18</v>
      </c>
      <c r="AF282" s="191"/>
      <c r="AG282" s="174" t="s">
        <v>990</v>
      </c>
      <c r="AH282" s="179">
        <v>31</v>
      </c>
      <c r="AI282" s="179">
        <f>VLOOKUP(K282,[1]TRAMO!$A:$B,2,0)</f>
        <v>2</v>
      </c>
      <c r="AJ282" s="200">
        <f t="shared" si="45"/>
        <v>1830</v>
      </c>
      <c r="AK282" s="183">
        <f t="shared" si="46"/>
        <v>6372</v>
      </c>
      <c r="AL282" s="179">
        <f t="shared" si="52"/>
        <v>30.5</v>
      </c>
      <c r="AM282" s="183">
        <v>0</v>
      </c>
      <c r="AN282" s="183">
        <f t="shared" si="53"/>
        <v>1860000</v>
      </c>
      <c r="AO282" s="183">
        <f t="shared" si="47"/>
        <v>0</v>
      </c>
      <c r="AP282" s="183">
        <f t="shared" si="48"/>
        <v>4050000</v>
      </c>
      <c r="AQ282" s="183">
        <f t="shared" si="49"/>
        <v>11660760</v>
      </c>
      <c r="AR282" s="183"/>
      <c r="AS282" s="183">
        <f t="shared" si="50"/>
        <v>0</v>
      </c>
      <c r="AT282" s="183">
        <f t="shared" si="51"/>
        <v>17570760</v>
      </c>
      <c r="AU282" s="175" t="s">
        <v>1619</v>
      </c>
      <c r="AV282" s="175" t="s">
        <v>1615</v>
      </c>
      <c r="AW282" s="175" t="s">
        <v>1616</v>
      </c>
      <c r="AX282" s="175" t="s">
        <v>1617</v>
      </c>
    </row>
    <row r="283" spans="1:50" s="179" customFormat="1" ht="24.95" hidden="1" customHeight="1" x14ac:dyDescent="0.25">
      <c r="A283" s="175">
        <v>14464</v>
      </c>
      <c r="B283" s="175" t="s">
        <v>97</v>
      </c>
      <c r="C283" s="188" t="s">
        <v>1610</v>
      </c>
      <c r="D283" s="176">
        <v>1</v>
      </c>
      <c r="E283" s="176">
        <v>2025</v>
      </c>
      <c r="F283" s="176">
        <v>2025</v>
      </c>
      <c r="G283" s="175" t="s">
        <v>23</v>
      </c>
      <c r="H283" s="175" t="s">
        <v>97</v>
      </c>
      <c r="I283" s="175" t="s">
        <v>1611</v>
      </c>
      <c r="J283" s="177" t="s">
        <v>350</v>
      </c>
      <c r="K283" s="175" t="s">
        <v>349</v>
      </c>
      <c r="L283" s="175" t="s">
        <v>345</v>
      </c>
      <c r="M283" s="175" t="s">
        <v>346</v>
      </c>
      <c r="N283" s="175">
        <v>9</v>
      </c>
      <c r="O283" s="175" t="s">
        <v>424</v>
      </c>
      <c r="P283" s="175" t="s">
        <v>425</v>
      </c>
      <c r="Q283" s="175" t="s">
        <v>388</v>
      </c>
      <c r="R283" s="175" t="s">
        <v>339</v>
      </c>
      <c r="S283" s="175" t="s">
        <v>19</v>
      </c>
      <c r="T283" s="175" t="s">
        <v>337</v>
      </c>
      <c r="U283" s="176">
        <v>20</v>
      </c>
      <c r="V283" s="176">
        <v>110</v>
      </c>
      <c r="W283" s="176">
        <v>12</v>
      </c>
      <c r="X283" s="179">
        <f t="shared" si="54"/>
        <v>122</v>
      </c>
      <c r="Y283" s="176">
        <v>4</v>
      </c>
      <c r="Z283" s="176" t="s">
        <v>20</v>
      </c>
      <c r="AA283" s="176" t="s">
        <v>18</v>
      </c>
      <c r="AB283" s="176" t="s">
        <v>20</v>
      </c>
      <c r="AC283" s="186" t="s">
        <v>21</v>
      </c>
      <c r="AD283" s="181" t="s">
        <v>2165</v>
      </c>
      <c r="AE283" s="179" t="s">
        <v>18</v>
      </c>
      <c r="AF283" s="191"/>
      <c r="AG283" s="174" t="s">
        <v>990</v>
      </c>
      <c r="AH283" s="179">
        <v>31</v>
      </c>
      <c r="AI283" s="179">
        <f>VLOOKUP(K283,[1]TRAMO!$A:$B,2,0)</f>
        <v>2</v>
      </c>
      <c r="AJ283" s="200">
        <f t="shared" si="45"/>
        <v>2440</v>
      </c>
      <c r="AK283" s="183">
        <f t="shared" si="46"/>
        <v>6372</v>
      </c>
      <c r="AL283" s="179">
        <f t="shared" si="52"/>
        <v>30.5</v>
      </c>
      <c r="AM283" s="183">
        <v>0</v>
      </c>
      <c r="AN283" s="183">
        <f t="shared" si="53"/>
        <v>2480000</v>
      </c>
      <c r="AO283" s="183">
        <f t="shared" si="47"/>
        <v>0</v>
      </c>
      <c r="AP283" s="183">
        <f t="shared" si="48"/>
        <v>5400000</v>
      </c>
      <c r="AQ283" s="183">
        <f t="shared" si="49"/>
        <v>15547680</v>
      </c>
      <c r="AR283" s="183"/>
      <c r="AS283" s="183">
        <f t="shared" si="50"/>
        <v>0</v>
      </c>
      <c r="AT283" s="183">
        <f t="shared" si="51"/>
        <v>23427680</v>
      </c>
      <c r="AU283" s="175" t="s">
        <v>1614</v>
      </c>
      <c r="AV283" s="175" t="s">
        <v>1615</v>
      </c>
      <c r="AW283" s="175" t="s">
        <v>2166</v>
      </c>
      <c r="AX283" s="175" t="s">
        <v>1851</v>
      </c>
    </row>
    <row r="284" spans="1:50" customFormat="1" ht="33.75" hidden="1" customHeight="1" x14ac:dyDescent="0.25">
      <c r="A284">
        <v>14455</v>
      </c>
      <c r="B284" t="s">
        <v>98</v>
      </c>
      <c r="C284" t="s">
        <v>41</v>
      </c>
      <c r="D284">
        <v>1</v>
      </c>
      <c r="E284">
        <v>2025</v>
      </c>
      <c r="F284">
        <v>2025</v>
      </c>
      <c r="G284" t="s">
        <v>23</v>
      </c>
      <c r="H284" t="s">
        <v>98</v>
      </c>
      <c r="I284" t="s">
        <v>1175</v>
      </c>
      <c r="J284" t="s">
        <v>1774</v>
      </c>
      <c r="K284" t="s">
        <v>1775</v>
      </c>
      <c r="L284" t="s">
        <v>21</v>
      </c>
      <c r="M284" t="s">
        <v>21</v>
      </c>
      <c r="O284" t="s">
        <v>382</v>
      </c>
      <c r="P284" t="s">
        <v>717</v>
      </c>
      <c r="Q284" s="203" t="s">
        <v>2347</v>
      </c>
      <c r="R284" t="s">
        <v>339</v>
      </c>
      <c r="S284" t="s">
        <v>19</v>
      </c>
      <c r="T284" t="s">
        <v>337</v>
      </c>
      <c r="U284">
        <v>10</v>
      </c>
      <c r="V284">
        <v>80</v>
      </c>
      <c r="W284" t="s">
        <v>21</v>
      </c>
      <c r="X284">
        <v>80</v>
      </c>
      <c r="Y284">
        <v>4</v>
      </c>
      <c r="Z284" t="s">
        <v>20</v>
      </c>
      <c r="AA284" t="s">
        <v>18</v>
      </c>
      <c r="AB284" s="189" t="s">
        <v>18</v>
      </c>
      <c r="AC284" t="s">
        <v>21</v>
      </c>
      <c r="AD284" t="s">
        <v>1776</v>
      </c>
      <c r="AG284" t="s">
        <v>990</v>
      </c>
      <c r="AH284">
        <v>20</v>
      </c>
      <c r="AI284">
        <v>3</v>
      </c>
      <c r="AJ284" s="200">
        <f t="shared" ref="AJ284:AJ347" si="55">+(U284*X284)</f>
        <v>800</v>
      </c>
      <c r="AL284" s="179">
        <f t="shared" si="52"/>
        <v>20</v>
      </c>
      <c r="AN284" s="183">
        <f t="shared" si="53"/>
        <v>800000</v>
      </c>
    </row>
    <row r="285" spans="1:50" customFormat="1" ht="20.100000000000001" hidden="1" customHeight="1" x14ac:dyDescent="0.25">
      <c r="A285">
        <v>14456</v>
      </c>
      <c r="B285" t="s">
        <v>98</v>
      </c>
      <c r="C285" t="s">
        <v>41</v>
      </c>
      <c r="D285">
        <v>1</v>
      </c>
      <c r="E285">
        <v>2025</v>
      </c>
      <c r="F285">
        <v>2025</v>
      </c>
      <c r="G285" t="s">
        <v>23</v>
      </c>
      <c r="H285" t="s">
        <v>98</v>
      </c>
      <c r="I285" t="s">
        <v>1175</v>
      </c>
      <c r="J285" t="s">
        <v>1809</v>
      </c>
      <c r="K285" t="s">
        <v>1810</v>
      </c>
      <c r="L285" t="s">
        <v>21</v>
      </c>
      <c r="M285" t="s">
        <v>21</v>
      </c>
      <c r="O285" t="s">
        <v>382</v>
      </c>
      <c r="P285" t="s">
        <v>717</v>
      </c>
      <c r="Q285" s="203" t="s">
        <v>2347</v>
      </c>
      <c r="R285" t="s">
        <v>339</v>
      </c>
      <c r="S285" t="s">
        <v>19</v>
      </c>
      <c r="T285" t="s">
        <v>337</v>
      </c>
      <c r="U285">
        <v>10</v>
      </c>
      <c r="V285">
        <v>28</v>
      </c>
      <c r="W285" t="s">
        <v>21</v>
      </c>
      <c r="X285">
        <v>28</v>
      </c>
      <c r="Y285">
        <v>4</v>
      </c>
      <c r="Z285" t="s">
        <v>18</v>
      </c>
      <c r="AA285" t="s">
        <v>18</v>
      </c>
      <c r="AB285" s="189" t="s">
        <v>18</v>
      </c>
      <c r="AC285" t="s">
        <v>21</v>
      </c>
      <c r="AD285" t="s">
        <v>1776</v>
      </c>
      <c r="AG285" t="s">
        <v>990</v>
      </c>
      <c r="AH285">
        <v>7</v>
      </c>
      <c r="AI285">
        <v>1</v>
      </c>
      <c r="AJ285" s="200">
        <f t="shared" si="55"/>
        <v>280</v>
      </c>
      <c r="AL285" s="179">
        <f t="shared" si="52"/>
        <v>7</v>
      </c>
      <c r="AN285" s="183">
        <f t="shared" si="53"/>
        <v>0</v>
      </c>
    </row>
    <row r="286" spans="1:50" customFormat="1" ht="20.100000000000001" hidden="1" customHeight="1" x14ac:dyDescent="0.25">
      <c r="A286">
        <v>14459</v>
      </c>
      <c r="B286" t="s">
        <v>98</v>
      </c>
      <c r="C286" t="s">
        <v>41</v>
      </c>
      <c r="D286">
        <v>1</v>
      </c>
      <c r="E286">
        <v>2025</v>
      </c>
      <c r="F286">
        <v>2025</v>
      </c>
      <c r="G286" t="s">
        <v>23</v>
      </c>
      <c r="H286" t="s">
        <v>98</v>
      </c>
      <c r="I286" t="s">
        <v>1175</v>
      </c>
      <c r="J286" t="s">
        <v>1809</v>
      </c>
      <c r="K286" t="s">
        <v>1810</v>
      </c>
      <c r="L286" t="s">
        <v>21</v>
      </c>
      <c r="M286" t="s">
        <v>21</v>
      </c>
      <c r="O286" t="s">
        <v>382</v>
      </c>
      <c r="P286" t="s">
        <v>717</v>
      </c>
      <c r="Q286" s="203" t="s">
        <v>2347</v>
      </c>
      <c r="R286" t="s">
        <v>339</v>
      </c>
      <c r="S286" t="s">
        <v>19</v>
      </c>
      <c r="T286" t="s">
        <v>337</v>
      </c>
      <c r="U286">
        <v>10</v>
      </c>
      <c r="V286">
        <v>28</v>
      </c>
      <c r="W286" t="s">
        <v>21</v>
      </c>
      <c r="X286">
        <v>28</v>
      </c>
      <c r="Y286">
        <v>4</v>
      </c>
      <c r="Z286" t="s">
        <v>18</v>
      </c>
      <c r="AA286" t="s">
        <v>18</v>
      </c>
      <c r="AB286" s="189" t="s">
        <v>18</v>
      </c>
      <c r="AC286" t="s">
        <v>21</v>
      </c>
      <c r="AD286" t="s">
        <v>1776</v>
      </c>
      <c r="AG286" t="s">
        <v>990</v>
      </c>
      <c r="AH286">
        <v>7</v>
      </c>
      <c r="AI286">
        <v>1</v>
      </c>
      <c r="AJ286" s="200">
        <f t="shared" si="55"/>
        <v>280</v>
      </c>
      <c r="AL286" s="179">
        <f t="shared" si="52"/>
        <v>7</v>
      </c>
      <c r="AN286" s="183">
        <f t="shared" si="53"/>
        <v>0</v>
      </c>
    </row>
    <row r="287" spans="1:50" customFormat="1" ht="20.100000000000001" hidden="1" customHeight="1" x14ac:dyDescent="0.25">
      <c r="A287">
        <v>14460</v>
      </c>
      <c r="B287" t="s">
        <v>98</v>
      </c>
      <c r="C287" t="s">
        <v>41</v>
      </c>
      <c r="D287">
        <v>1</v>
      </c>
      <c r="E287">
        <v>2025</v>
      </c>
      <c r="F287">
        <v>2025</v>
      </c>
      <c r="G287" t="s">
        <v>23</v>
      </c>
      <c r="H287" t="s">
        <v>98</v>
      </c>
      <c r="I287" t="s">
        <v>1175</v>
      </c>
      <c r="J287" t="s">
        <v>1809</v>
      </c>
      <c r="K287" t="s">
        <v>1810</v>
      </c>
      <c r="L287" t="s">
        <v>21</v>
      </c>
      <c r="M287" t="s">
        <v>21</v>
      </c>
      <c r="O287" t="s">
        <v>382</v>
      </c>
      <c r="P287" t="s">
        <v>717</v>
      </c>
      <c r="Q287" s="203" t="s">
        <v>2347</v>
      </c>
      <c r="R287" t="s">
        <v>339</v>
      </c>
      <c r="S287" t="s">
        <v>19</v>
      </c>
      <c r="T287" t="s">
        <v>337</v>
      </c>
      <c r="U287">
        <v>10</v>
      </c>
      <c r="V287">
        <v>28</v>
      </c>
      <c r="W287" t="s">
        <v>21</v>
      </c>
      <c r="X287">
        <v>28</v>
      </c>
      <c r="Y287">
        <v>4</v>
      </c>
      <c r="Z287" t="s">
        <v>18</v>
      </c>
      <c r="AA287" t="s">
        <v>18</v>
      </c>
      <c r="AB287" s="189" t="s">
        <v>18</v>
      </c>
      <c r="AC287" t="s">
        <v>21</v>
      </c>
      <c r="AD287" t="s">
        <v>1776</v>
      </c>
      <c r="AG287" t="s">
        <v>990</v>
      </c>
      <c r="AH287">
        <v>7</v>
      </c>
      <c r="AI287">
        <v>1</v>
      </c>
      <c r="AJ287" s="200">
        <f t="shared" si="55"/>
        <v>280</v>
      </c>
      <c r="AL287" s="179">
        <f t="shared" si="52"/>
        <v>7</v>
      </c>
      <c r="AN287" s="183">
        <f t="shared" si="53"/>
        <v>0</v>
      </c>
    </row>
    <row r="288" spans="1:50" customFormat="1" ht="20.100000000000001" hidden="1" customHeight="1" x14ac:dyDescent="0.25">
      <c r="A288">
        <v>14317</v>
      </c>
      <c r="B288" t="s">
        <v>98</v>
      </c>
      <c r="C288" t="s">
        <v>41</v>
      </c>
      <c r="D288">
        <v>1</v>
      </c>
      <c r="E288">
        <v>2025</v>
      </c>
      <c r="F288">
        <v>2025</v>
      </c>
      <c r="G288" t="s">
        <v>23</v>
      </c>
      <c r="H288" t="s">
        <v>98</v>
      </c>
      <c r="I288" t="s">
        <v>1175</v>
      </c>
      <c r="J288" t="s">
        <v>815</v>
      </c>
      <c r="K288" t="s">
        <v>814</v>
      </c>
      <c r="L288" t="s">
        <v>21</v>
      </c>
      <c r="M288" t="s">
        <v>21</v>
      </c>
      <c r="O288" t="s">
        <v>382</v>
      </c>
      <c r="P288" t="s">
        <v>392</v>
      </c>
      <c r="Q288" s="203" t="s">
        <v>2347</v>
      </c>
      <c r="R288" t="s">
        <v>339</v>
      </c>
      <c r="S288" t="s">
        <v>19</v>
      </c>
      <c r="T288" t="s">
        <v>337</v>
      </c>
      <c r="U288">
        <v>10</v>
      </c>
      <c r="V288">
        <v>130</v>
      </c>
      <c r="W288" t="s">
        <v>21</v>
      </c>
      <c r="X288">
        <v>130</v>
      </c>
      <c r="Y288">
        <v>3</v>
      </c>
      <c r="Z288" t="s">
        <v>20</v>
      </c>
      <c r="AA288" t="s">
        <v>18</v>
      </c>
      <c r="AB288" s="189" t="s">
        <v>18</v>
      </c>
      <c r="AC288" t="s">
        <v>21</v>
      </c>
      <c r="AD288" t="s">
        <v>1869</v>
      </c>
      <c r="AG288" t="s">
        <v>990</v>
      </c>
      <c r="AH288">
        <v>44</v>
      </c>
      <c r="AI288">
        <v>3</v>
      </c>
      <c r="AJ288" s="200">
        <f t="shared" si="55"/>
        <v>1300</v>
      </c>
      <c r="AL288" s="179">
        <f t="shared" si="52"/>
        <v>43.333333333333336</v>
      </c>
      <c r="AN288" s="183">
        <f t="shared" si="53"/>
        <v>1760000</v>
      </c>
    </row>
    <row r="289" spans="1:40" customFormat="1" ht="20.100000000000001" hidden="1" customHeight="1" x14ac:dyDescent="0.25">
      <c r="A289">
        <v>14458</v>
      </c>
      <c r="B289" t="s">
        <v>98</v>
      </c>
      <c r="C289" t="s">
        <v>41</v>
      </c>
      <c r="D289">
        <v>1</v>
      </c>
      <c r="E289">
        <v>2025</v>
      </c>
      <c r="F289">
        <v>2025</v>
      </c>
      <c r="G289" t="s">
        <v>23</v>
      </c>
      <c r="H289" t="s">
        <v>98</v>
      </c>
      <c r="I289" t="s">
        <v>1175</v>
      </c>
      <c r="J289" t="s">
        <v>350</v>
      </c>
      <c r="K289" t="s">
        <v>349</v>
      </c>
      <c r="L289" t="s">
        <v>21</v>
      </c>
      <c r="M289" t="s">
        <v>21</v>
      </c>
      <c r="O289" t="s">
        <v>382</v>
      </c>
      <c r="P289" t="s">
        <v>717</v>
      </c>
      <c r="Q289" s="203" t="s">
        <v>2347</v>
      </c>
      <c r="R289" t="s">
        <v>339</v>
      </c>
      <c r="S289" t="s">
        <v>19</v>
      </c>
      <c r="T289" t="s">
        <v>337</v>
      </c>
      <c r="U289">
        <v>10</v>
      </c>
      <c r="V289">
        <v>110</v>
      </c>
      <c r="W289" t="s">
        <v>21</v>
      </c>
      <c r="X289">
        <v>110</v>
      </c>
      <c r="Y289">
        <v>4</v>
      </c>
      <c r="Z289" t="s">
        <v>20</v>
      </c>
      <c r="AA289" t="s">
        <v>18</v>
      </c>
      <c r="AB289" s="189" t="s">
        <v>18</v>
      </c>
      <c r="AC289" t="s">
        <v>21</v>
      </c>
      <c r="AD289" t="s">
        <v>1776</v>
      </c>
      <c r="AG289" t="s">
        <v>990</v>
      </c>
      <c r="AH289">
        <v>28</v>
      </c>
      <c r="AI289">
        <v>2</v>
      </c>
      <c r="AJ289" s="200">
        <f t="shared" si="55"/>
        <v>1100</v>
      </c>
      <c r="AL289" s="179">
        <f t="shared" si="52"/>
        <v>27.5</v>
      </c>
      <c r="AN289" s="183">
        <f t="shared" si="53"/>
        <v>1120000</v>
      </c>
    </row>
    <row r="290" spans="1:40" customFormat="1" ht="20.100000000000001" hidden="1" customHeight="1" x14ac:dyDescent="0.25">
      <c r="A290">
        <v>14453</v>
      </c>
      <c r="B290" t="s">
        <v>98</v>
      </c>
      <c r="C290" t="s">
        <v>41</v>
      </c>
      <c r="D290">
        <v>1</v>
      </c>
      <c r="E290">
        <v>2025</v>
      </c>
      <c r="F290">
        <v>2025</v>
      </c>
      <c r="G290" t="s">
        <v>23</v>
      </c>
      <c r="H290" t="s">
        <v>98</v>
      </c>
      <c r="I290" t="s">
        <v>1175</v>
      </c>
      <c r="J290" t="s">
        <v>350</v>
      </c>
      <c r="K290" t="s">
        <v>349</v>
      </c>
      <c r="L290" t="s">
        <v>345</v>
      </c>
      <c r="M290" t="s">
        <v>346</v>
      </c>
      <c r="O290" t="s">
        <v>382</v>
      </c>
      <c r="P290" t="s">
        <v>717</v>
      </c>
      <c r="Q290" s="203" t="s">
        <v>2347</v>
      </c>
      <c r="R290" t="s">
        <v>339</v>
      </c>
      <c r="S290" t="s">
        <v>19</v>
      </c>
      <c r="T290" t="s">
        <v>337</v>
      </c>
      <c r="U290">
        <v>10</v>
      </c>
      <c r="V290">
        <v>110</v>
      </c>
      <c r="W290">
        <v>12</v>
      </c>
      <c r="X290">
        <v>122</v>
      </c>
      <c r="Y290">
        <v>4</v>
      </c>
      <c r="Z290" t="s">
        <v>18</v>
      </c>
      <c r="AA290" t="s">
        <v>18</v>
      </c>
      <c r="AB290" t="s">
        <v>20</v>
      </c>
      <c r="AC290" t="s">
        <v>21</v>
      </c>
      <c r="AD290" t="s">
        <v>1776</v>
      </c>
      <c r="AG290" t="s">
        <v>990</v>
      </c>
      <c r="AH290">
        <v>31</v>
      </c>
      <c r="AI290">
        <v>2</v>
      </c>
      <c r="AJ290" s="200">
        <f t="shared" si="55"/>
        <v>1220</v>
      </c>
      <c r="AL290" s="179">
        <f t="shared" si="52"/>
        <v>30.5</v>
      </c>
      <c r="AN290" s="183">
        <f t="shared" si="53"/>
        <v>0</v>
      </c>
    </row>
    <row r="291" spans="1:40" customFormat="1" ht="20.100000000000001" hidden="1" customHeight="1" x14ac:dyDescent="0.25">
      <c r="A291">
        <v>14506</v>
      </c>
      <c r="B291" t="s">
        <v>98</v>
      </c>
      <c r="C291" t="s">
        <v>41</v>
      </c>
      <c r="D291">
        <v>1</v>
      </c>
      <c r="E291">
        <v>2025</v>
      </c>
      <c r="F291">
        <v>2025</v>
      </c>
      <c r="G291" t="s">
        <v>23</v>
      </c>
      <c r="H291" t="s">
        <v>98</v>
      </c>
      <c r="I291" t="s">
        <v>1175</v>
      </c>
      <c r="J291" t="s">
        <v>389</v>
      </c>
      <c r="K291" t="s">
        <v>390</v>
      </c>
      <c r="L291" t="s">
        <v>21</v>
      </c>
      <c r="M291" t="s">
        <v>21</v>
      </c>
      <c r="O291" t="s">
        <v>798</v>
      </c>
      <c r="P291" t="s">
        <v>1564</v>
      </c>
      <c r="Q291" t="s">
        <v>388</v>
      </c>
      <c r="R291" t="s">
        <v>339</v>
      </c>
      <c r="S291" t="s">
        <v>19</v>
      </c>
      <c r="T291" t="s">
        <v>347</v>
      </c>
      <c r="U291">
        <v>10</v>
      </c>
      <c r="V291">
        <v>55</v>
      </c>
      <c r="W291" t="s">
        <v>21</v>
      </c>
      <c r="X291">
        <v>55</v>
      </c>
      <c r="Y291">
        <v>5</v>
      </c>
      <c r="Z291" t="s">
        <v>20</v>
      </c>
      <c r="AA291" t="s">
        <v>18</v>
      </c>
      <c r="AB291" s="189" t="s">
        <v>18</v>
      </c>
      <c r="AC291" t="s">
        <v>21</v>
      </c>
      <c r="AD291" t="s">
        <v>1679</v>
      </c>
      <c r="AG291" t="s">
        <v>990</v>
      </c>
      <c r="AH291">
        <v>11</v>
      </c>
      <c r="AI291">
        <v>1</v>
      </c>
      <c r="AJ291" s="200">
        <f t="shared" si="55"/>
        <v>550</v>
      </c>
      <c r="AL291" s="179">
        <f t="shared" si="52"/>
        <v>11</v>
      </c>
      <c r="AN291" s="183">
        <f t="shared" si="53"/>
        <v>440000</v>
      </c>
    </row>
    <row r="292" spans="1:40" customFormat="1" ht="20.100000000000001" hidden="1" customHeight="1" x14ac:dyDescent="0.25">
      <c r="A292">
        <v>14440</v>
      </c>
      <c r="B292" t="s">
        <v>98</v>
      </c>
      <c r="C292" t="s">
        <v>41</v>
      </c>
      <c r="D292">
        <v>1</v>
      </c>
      <c r="E292">
        <v>2025</v>
      </c>
      <c r="F292">
        <v>2025</v>
      </c>
      <c r="G292" t="s">
        <v>23</v>
      </c>
      <c r="H292" t="s">
        <v>98</v>
      </c>
      <c r="I292" t="s">
        <v>1175</v>
      </c>
      <c r="J292" t="s">
        <v>722</v>
      </c>
      <c r="K292" t="s">
        <v>723</v>
      </c>
      <c r="L292" t="s">
        <v>21</v>
      </c>
      <c r="M292" t="s">
        <v>21</v>
      </c>
      <c r="O292" t="s">
        <v>796</v>
      </c>
      <c r="P292" t="s">
        <v>1681</v>
      </c>
      <c r="Q292" t="s">
        <v>1201</v>
      </c>
      <c r="R292" t="s">
        <v>339</v>
      </c>
      <c r="S292" t="s">
        <v>19</v>
      </c>
      <c r="T292" t="s">
        <v>337</v>
      </c>
      <c r="U292">
        <v>10</v>
      </c>
      <c r="V292">
        <v>15</v>
      </c>
      <c r="W292" t="s">
        <v>21</v>
      </c>
      <c r="X292">
        <v>15</v>
      </c>
      <c r="Y292">
        <v>4</v>
      </c>
      <c r="Z292" t="s">
        <v>20</v>
      </c>
      <c r="AA292" t="s">
        <v>18</v>
      </c>
      <c r="AB292" s="189" t="s">
        <v>18</v>
      </c>
      <c r="AC292" t="s">
        <v>21</v>
      </c>
      <c r="AD292" t="s">
        <v>1682</v>
      </c>
      <c r="AG292" t="s">
        <v>990</v>
      </c>
      <c r="AH292">
        <v>4</v>
      </c>
      <c r="AI292">
        <v>1</v>
      </c>
      <c r="AJ292" s="200">
        <f t="shared" si="55"/>
        <v>150</v>
      </c>
      <c r="AL292" s="179">
        <f t="shared" si="52"/>
        <v>3.75</v>
      </c>
      <c r="AN292" s="183">
        <f t="shared" si="53"/>
        <v>160000</v>
      </c>
    </row>
    <row r="293" spans="1:40" customFormat="1" ht="20.100000000000001" hidden="1" customHeight="1" x14ac:dyDescent="0.25">
      <c r="A293">
        <v>14502</v>
      </c>
      <c r="B293" t="s">
        <v>98</v>
      </c>
      <c r="C293" t="s">
        <v>41</v>
      </c>
      <c r="D293">
        <v>1</v>
      </c>
      <c r="E293">
        <v>2025</v>
      </c>
      <c r="F293">
        <v>2025</v>
      </c>
      <c r="G293" t="s">
        <v>23</v>
      </c>
      <c r="H293" t="s">
        <v>98</v>
      </c>
      <c r="I293" t="s">
        <v>1175</v>
      </c>
      <c r="J293" t="s">
        <v>738</v>
      </c>
      <c r="K293" t="s">
        <v>737</v>
      </c>
      <c r="L293" t="s">
        <v>21</v>
      </c>
      <c r="M293" t="s">
        <v>21</v>
      </c>
      <c r="O293" t="s">
        <v>415</v>
      </c>
      <c r="P293" t="s">
        <v>1685</v>
      </c>
      <c r="Q293" t="s">
        <v>388</v>
      </c>
      <c r="R293" t="s">
        <v>339</v>
      </c>
      <c r="S293" t="s">
        <v>19</v>
      </c>
      <c r="T293" t="s">
        <v>347</v>
      </c>
      <c r="U293">
        <v>10</v>
      </c>
      <c r="V293">
        <v>80</v>
      </c>
      <c r="W293" t="s">
        <v>21</v>
      </c>
      <c r="X293">
        <v>80</v>
      </c>
      <c r="Y293">
        <v>5</v>
      </c>
      <c r="Z293" t="s">
        <v>20</v>
      </c>
      <c r="AA293" t="s">
        <v>18</v>
      </c>
      <c r="AB293" s="189" t="s">
        <v>18</v>
      </c>
      <c r="AC293" t="s">
        <v>21</v>
      </c>
      <c r="AD293" t="s">
        <v>1686</v>
      </c>
      <c r="AG293" t="s">
        <v>990</v>
      </c>
      <c r="AH293">
        <v>16</v>
      </c>
      <c r="AI293">
        <v>1</v>
      </c>
      <c r="AJ293" s="200">
        <f t="shared" si="55"/>
        <v>800</v>
      </c>
      <c r="AL293" s="179">
        <f t="shared" si="52"/>
        <v>16</v>
      </c>
      <c r="AN293" s="183">
        <f t="shared" si="53"/>
        <v>640000</v>
      </c>
    </row>
    <row r="294" spans="1:40" customFormat="1" ht="20.100000000000001" hidden="1" customHeight="1" x14ac:dyDescent="0.25">
      <c r="A294">
        <v>14509</v>
      </c>
      <c r="B294" t="s">
        <v>98</v>
      </c>
      <c r="C294" t="s">
        <v>41</v>
      </c>
      <c r="D294">
        <v>1</v>
      </c>
      <c r="E294">
        <v>2025</v>
      </c>
      <c r="F294">
        <v>2025</v>
      </c>
      <c r="G294" t="s">
        <v>23</v>
      </c>
      <c r="H294" t="s">
        <v>98</v>
      </c>
      <c r="I294" t="s">
        <v>1175</v>
      </c>
      <c r="J294" t="s">
        <v>704</v>
      </c>
      <c r="K294" t="s">
        <v>705</v>
      </c>
      <c r="L294" t="s">
        <v>21</v>
      </c>
      <c r="M294" t="s">
        <v>21</v>
      </c>
      <c r="O294" t="s">
        <v>798</v>
      </c>
      <c r="P294" t="s">
        <v>881</v>
      </c>
      <c r="Q294" t="s">
        <v>388</v>
      </c>
      <c r="R294" t="s">
        <v>339</v>
      </c>
      <c r="S294" t="s">
        <v>19</v>
      </c>
      <c r="T294" t="s">
        <v>347</v>
      </c>
      <c r="U294">
        <v>10</v>
      </c>
      <c r="V294">
        <v>90</v>
      </c>
      <c r="W294" t="s">
        <v>21</v>
      </c>
      <c r="X294">
        <v>90</v>
      </c>
      <c r="Y294">
        <v>5</v>
      </c>
      <c r="Z294" t="s">
        <v>20</v>
      </c>
      <c r="AA294" t="s">
        <v>18</v>
      </c>
      <c r="AB294" s="189" t="s">
        <v>18</v>
      </c>
      <c r="AC294" t="s">
        <v>21</v>
      </c>
      <c r="AD294" t="s">
        <v>1690</v>
      </c>
      <c r="AG294" t="s">
        <v>990</v>
      </c>
      <c r="AH294">
        <v>18</v>
      </c>
      <c r="AI294">
        <v>1</v>
      </c>
      <c r="AJ294" s="200">
        <f t="shared" si="55"/>
        <v>900</v>
      </c>
      <c r="AL294" s="179">
        <f t="shared" si="52"/>
        <v>18</v>
      </c>
      <c r="AN294" s="183">
        <f t="shared" si="53"/>
        <v>720000</v>
      </c>
    </row>
    <row r="295" spans="1:40" customFormat="1" ht="20.100000000000001" hidden="1" customHeight="1" x14ac:dyDescent="0.25">
      <c r="A295">
        <v>14480</v>
      </c>
      <c r="B295" t="s">
        <v>98</v>
      </c>
      <c r="C295" t="s">
        <v>41</v>
      </c>
      <c r="D295">
        <v>1</v>
      </c>
      <c r="E295">
        <v>2025</v>
      </c>
      <c r="F295">
        <v>2025</v>
      </c>
      <c r="G295" t="s">
        <v>23</v>
      </c>
      <c r="H295" t="s">
        <v>98</v>
      </c>
      <c r="I295" t="s">
        <v>1175</v>
      </c>
      <c r="J295" t="s">
        <v>345</v>
      </c>
      <c r="K295" t="s">
        <v>346</v>
      </c>
      <c r="L295" t="s">
        <v>21</v>
      </c>
      <c r="M295" t="s">
        <v>21</v>
      </c>
      <c r="O295" t="s">
        <v>382</v>
      </c>
      <c r="P295" t="s">
        <v>729</v>
      </c>
      <c r="Q295" t="s">
        <v>841</v>
      </c>
      <c r="R295" t="s">
        <v>339</v>
      </c>
      <c r="S295" t="s">
        <v>19</v>
      </c>
      <c r="T295" t="s">
        <v>347</v>
      </c>
      <c r="U295">
        <v>15</v>
      </c>
      <c r="V295">
        <v>12</v>
      </c>
      <c r="W295" t="s">
        <v>21</v>
      </c>
      <c r="X295">
        <v>12</v>
      </c>
      <c r="Y295">
        <v>4</v>
      </c>
      <c r="Z295" t="s">
        <v>20</v>
      </c>
      <c r="AA295" t="s">
        <v>18</v>
      </c>
      <c r="AB295" s="189" t="s">
        <v>18</v>
      </c>
      <c r="AC295" t="s">
        <v>21</v>
      </c>
      <c r="AD295" t="s">
        <v>1693</v>
      </c>
      <c r="AG295" t="s">
        <v>990</v>
      </c>
      <c r="AH295">
        <v>3</v>
      </c>
      <c r="AI295">
        <v>1</v>
      </c>
      <c r="AJ295" s="200">
        <f t="shared" si="55"/>
        <v>180</v>
      </c>
      <c r="AL295" s="179">
        <f t="shared" si="52"/>
        <v>3</v>
      </c>
      <c r="AN295" s="183">
        <f t="shared" si="53"/>
        <v>180000</v>
      </c>
    </row>
    <row r="296" spans="1:40" customFormat="1" ht="20.100000000000001" hidden="1" customHeight="1" x14ac:dyDescent="0.25">
      <c r="A296">
        <v>14390</v>
      </c>
      <c r="B296" t="s">
        <v>98</v>
      </c>
      <c r="C296" t="s">
        <v>41</v>
      </c>
      <c r="D296">
        <v>1</v>
      </c>
      <c r="E296">
        <v>2025</v>
      </c>
      <c r="F296">
        <v>2025</v>
      </c>
      <c r="G296" t="s">
        <v>23</v>
      </c>
      <c r="H296" t="s">
        <v>98</v>
      </c>
      <c r="I296" t="s">
        <v>1175</v>
      </c>
      <c r="J296" t="s">
        <v>875</v>
      </c>
      <c r="K296" t="s">
        <v>874</v>
      </c>
      <c r="L296" t="s">
        <v>2348</v>
      </c>
      <c r="M296" s="203" t="s">
        <v>759</v>
      </c>
      <c r="O296" t="s">
        <v>395</v>
      </c>
      <c r="P296" t="s">
        <v>1007</v>
      </c>
      <c r="Q296" t="s">
        <v>409</v>
      </c>
      <c r="R296" t="s">
        <v>339</v>
      </c>
      <c r="S296" t="s">
        <v>22</v>
      </c>
      <c r="T296" t="s">
        <v>1006</v>
      </c>
      <c r="U296">
        <v>20</v>
      </c>
      <c r="V296">
        <v>8</v>
      </c>
      <c r="W296">
        <v>8</v>
      </c>
      <c r="X296">
        <v>16</v>
      </c>
      <c r="Y296">
        <v>4</v>
      </c>
      <c r="Z296" t="s">
        <v>20</v>
      </c>
      <c r="AA296" t="s">
        <v>18</v>
      </c>
      <c r="AB296" s="189" t="s">
        <v>18</v>
      </c>
      <c r="AC296" t="s">
        <v>21</v>
      </c>
      <c r="AD296" t="s">
        <v>1707</v>
      </c>
      <c r="AG296" t="s">
        <v>990</v>
      </c>
      <c r="AH296">
        <v>2</v>
      </c>
      <c r="AI296">
        <v>1</v>
      </c>
      <c r="AJ296" s="200">
        <f t="shared" si="55"/>
        <v>320</v>
      </c>
      <c r="AL296" s="179">
        <f t="shared" si="52"/>
        <v>4</v>
      </c>
      <c r="AN296" s="183">
        <f t="shared" si="53"/>
        <v>160000</v>
      </c>
    </row>
    <row r="297" spans="1:40" customFormat="1" ht="16.5" hidden="1" customHeight="1" x14ac:dyDescent="0.25">
      <c r="A297">
        <v>14415</v>
      </c>
      <c r="B297" t="s">
        <v>98</v>
      </c>
      <c r="C297" t="s">
        <v>41</v>
      </c>
      <c r="D297">
        <v>1</v>
      </c>
      <c r="E297">
        <v>2025</v>
      </c>
      <c r="F297">
        <v>2025</v>
      </c>
      <c r="G297" t="s">
        <v>23</v>
      </c>
      <c r="H297" t="s">
        <v>98</v>
      </c>
      <c r="I297" t="s">
        <v>1175</v>
      </c>
      <c r="J297" t="s">
        <v>2349</v>
      </c>
      <c r="K297" t="s">
        <v>992</v>
      </c>
      <c r="L297" t="s">
        <v>760</v>
      </c>
      <c r="M297" t="s">
        <v>759</v>
      </c>
      <c r="O297" t="s">
        <v>1722</v>
      </c>
      <c r="P297" t="s">
        <v>731</v>
      </c>
      <c r="Q297" t="s">
        <v>409</v>
      </c>
      <c r="R297" t="s">
        <v>339</v>
      </c>
      <c r="S297" t="s">
        <v>22</v>
      </c>
      <c r="T297" t="s">
        <v>866</v>
      </c>
      <c r="U297">
        <v>20</v>
      </c>
      <c r="V297">
        <v>58</v>
      </c>
      <c r="W297">
        <v>8</v>
      </c>
      <c r="X297">
        <v>66</v>
      </c>
      <c r="Y297">
        <v>5</v>
      </c>
      <c r="Z297" t="s">
        <v>20</v>
      </c>
      <c r="AA297" t="s">
        <v>18</v>
      </c>
      <c r="AB297" s="189" t="s">
        <v>18</v>
      </c>
      <c r="AC297" t="s">
        <v>2350</v>
      </c>
      <c r="AD297" t="s">
        <v>1723</v>
      </c>
      <c r="AG297" t="s">
        <v>990</v>
      </c>
      <c r="AH297">
        <v>14</v>
      </c>
      <c r="AI297">
        <v>1</v>
      </c>
      <c r="AJ297" s="200">
        <f t="shared" si="55"/>
        <v>1320</v>
      </c>
      <c r="AL297" s="179">
        <f t="shared" si="52"/>
        <v>13.2</v>
      </c>
      <c r="AN297" s="183">
        <f t="shared" si="53"/>
        <v>1120000</v>
      </c>
    </row>
    <row r="298" spans="1:40" customFormat="1" ht="20.100000000000001" hidden="1" customHeight="1" x14ac:dyDescent="0.25">
      <c r="A298">
        <v>14391</v>
      </c>
      <c r="B298" t="s">
        <v>98</v>
      </c>
      <c r="C298" t="s">
        <v>41</v>
      </c>
      <c r="D298">
        <v>1</v>
      </c>
      <c r="E298">
        <v>2025</v>
      </c>
      <c r="F298">
        <v>2025</v>
      </c>
      <c r="G298" t="s">
        <v>23</v>
      </c>
      <c r="H298" t="s">
        <v>98</v>
      </c>
      <c r="I298" t="s">
        <v>1175</v>
      </c>
      <c r="J298" t="s">
        <v>762</v>
      </c>
      <c r="K298" t="s">
        <v>761</v>
      </c>
      <c r="L298" t="s">
        <v>21</v>
      </c>
      <c r="M298" t="s">
        <v>21</v>
      </c>
      <c r="O298" t="s">
        <v>395</v>
      </c>
      <c r="P298" t="s">
        <v>1007</v>
      </c>
      <c r="Q298" t="s">
        <v>409</v>
      </c>
      <c r="R298" t="s">
        <v>339</v>
      </c>
      <c r="S298" t="s">
        <v>22</v>
      </c>
      <c r="T298" t="s">
        <v>393</v>
      </c>
      <c r="U298">
        <v>17</v>
      </c>
      <c r="V298">
        <v>72</v>
      </c>
      <c r="W298" t="s">
        <v>21</v>
      </c>
      <c r="X298">
        <v>72</v>
      </c>
      <c r="Y298">
        <v>4</v>
      </c>
      <c r="Z298" t="s">
        <v>20</v>
      </c>
      <c r="AA298" t="s">
        <v>18</v>
      </c>
      <c r="AB298" s="189" t="s">
        <v>18</v>
      </c>
      <c r="AC298" s="203" t="s">
        <v>2351</v>
      </c>
      <c r="AD298" t="s">
        <v>1707</v>
      </c>
      <c r="AG298" t="s">
        <v>990</v>
      </c>
      <c r="AH298">
        <v>18</v>
      </c>
      <c r="AI298">
        <v>1</v>
      </c>
      <c r="AJ298" s="200">
        <f t="shared" si="55"/>
        <v>1224</v>
      </c>
      <c r="AL298" s="179">
        <f t="shared" si="52"/>
        <v>18</v>
      </c>
      <c r="AN298" s="183">
        <f t="shared" si="53"/>
        <v>1224000</v>
      </c>
    </row>
    <row r="299" spans="1:40" customFormat="1" ht="20.100000000000001" hidden="1" customHeight="1" x14ac:dyDescent="0.25">
      <c r="A299">
        <v>14275</v>
      </c>
      <c r="B299" t="s">
        <v>98</v>
      </c>
      <c r="C299" t="s">
        <v>41</v>
      </c>
      <c r="D299">
        <v>1</v>
      </c>
      <c r="E299">
        <v>2025</v>
      </c>
      <c r="F299">
        <v>2025</v>
      </c>
      <c r="G299" t="s">
        <v>23</v>
      </c>
      <c r="H299" t="s">
        <v>98</v>
      </c>
      <c r="I299" t="s">
        <v>1175</v>
      </c>
      <c r="J299" t="s">
        <v>762</v>
      </c>
      <c r="K299" t="s">
        <v>761</v>
      </c>
      <c r="L299" t="s">
        <v>875</v>
      </c>
      <c r="M299" t="s">
        <v>874</v>
      </c>
      <c r="O299" t="s">
        <v>1722</v>
      </c>
      <c r="P299" t="s">
        <v>828</v>
      </c>
      <c r="Q299" t="s">
        <v>409</v>
      </c>
      <c r="R299" t="s">
        <v>339</v>
      </c>
      <c r="S299" t="s">
        <v>22</v>
      </c>
      <c r="T299" t="s">
        <v>784</v>
      </c>
      <c r="U299">
        <v>11</v>
      </c>
      <c r="V299">
        <v>72</v>
      </c>
      <c r="W299">
        <v>8</v>
      </c>
      <c r="X299">
        <v>80</v>
      </c>
      <c r="Y299">
        <v>4</v>
      </c>
      <c r="Z299" t="s">
        <v>20</v>
      </c>
      <c r="AA299" t="s">
        <v>18</v>
      </c>
      <c r="AB299" s="189" t="s">
        <v>18</v>
      </c>
      <c r="AC299" s="203" t="s">
        <v>2352</v>
      </c>
      <c r="AD299" t="s">
        <v>1728</v>
      </c>
      <c r="AG299" t="s">
        <v>990</v>
      </c>
      <c r="AH299">
        <v>20</v>
      </c>
      <c r="AI299">
        <v>1</v>
      </c>
      <c r="AJ299" s="200">
        <f t="shared" si="55"/>
        <v>880</v>
      </c>
      <c r="AL299" s="179">
        <f t="shared" si="52"/>
        <v>20</v>
      </c>
      <c r="AN299" s="183">
        <f t="shared" si="53"/>
        <v>880000</v>
      </c>
    </row>
    <row r="300" spans="1:40" customFormat="1" ht="20.100000000000001" hidden="1" customHeight="1" x14ac:dyDescent="0.25">
      <c r="A300">
        <v>14276</v>
      </c>
      <c r="B300" t="s">
        <v>98</v>
      </c>
      <c r="C300" t="s">
        <v>41</v>
      </c>
      <c r="D300">
        <v>1</v>
      </c>
      <c r="E300">
        <v>2025</v>
      </c>
      <c r="F300">
        <v>2025</v>
      </c>
      <c r="G300" t="s">
        <v>23</v>
      </c>
      <c r="H300" t="s">
        <v>98</v>
      </c>
      <c r="I300" t="s">
        <v>1175</v>
      </c>
      <c r="J300" t="s">
        <v>762</v>
      </c>
      <c r="K300" t="s">
        <v>761</v>
      </c>
      <c r="L300" t="s">
        <v>875</v>
      </c>
      <c r="M300" t="s">
        <v>874</v>
      </c>
      <c r="O300" t="s">
        <v>424</v>
      </c>
      <c r="P300" t="s">
        <v>872</v>
      </c>
      <c r="Q300" t="s">
        <v>409</v>
      </c>
      <c r="R300" t="s">
        <v>339</v>
      </c>
      <c r="S300" t="s">
        <v>22</v>
      </c>
      <c r="T300" t="s">
        <v>784</v>
      </c>
      <c r="U300">
        <v>11</v>
      </c>
      <c r="V300">
        <v>72</v>
      </c>
      <c r="W300">
        <v>8</v>
      </c>
      <c r="X300">
        <v>80</v>
      </c>
      <c r="Y300">
        <v>4</v>
      </c>
      <c r="Z300" t="s">
        <v>20</v>
      </c>
      <c r="AA300" t="s">
        <v>18</v>
      </c>
      <c r="AB300" s="189" t="s">
        <v>18</v>
      </c>
      <c r="AC300" s="203" t="s">
        <v>2353</v>
      </c>
      <c r="AD300" t="s">
        <v>1733</v>
      </c>
      <c r="AG300" t="s">
        <v>990</v>
      </c>
      <c r="AH300">
        <v>20</v>
      </c>
      <c r="AI300">
        <v>1</v>
      </c>
      <c r="AJ300" s="200">
        <f t="shared" si="55"/>
        <v>880</v>
      </c>
      <c r="AL300" s="179">
        <f t="shared" si="52"/>
        <v>20</v>
      </c>
      <c r="AN300" s="183">
        <f t="shared" si="53"/>
        <v>880000</v>
      </c>
    </row>
    <row r="301" spans="1:40" customFormat="1" ht="20.100000000000001" hidden="1" customHeight="1" x14ac:dyDescent="0.25">
      <c r="A301">
        <v>14284</v>
      </c>
      <c r="B301" t="s">
        <v>98</v>
      </c>
      <c r="C301" t="s">
        <v>41</v>
      </c>
      <c r="D301">
        <v>1</v>
      </c>
      <c r="E301">
        <v>2025</v>
      </c>
      <c r="F301">
        <v>2025</v>
      </c>
      <c r="G301" t="s">
        <v>23</v>
      </c>
      <c r="H301" t="s">
        <v>98</v>
      </c>
      <c r="I301" t="s">
        <v>1175</v>
      </c>
      <c r="J301" t="s">
        <v>762</v>
      </c>
      <c r="K301" t="s">
        <v>761</v>
      </c>
      <c r="L301" t="s">
        <v>875</v>
      </c>
      <c r="M301" t="s">
        <v>874</v>
      </c>
      <c r="O301" t="s">
        <v>382</v>
      </c>
      <c r="P301" t="s">
        <v>1734</v>
      </c>
      <c r="Q301" t="s">
        <v>409</v>
      </c>
      <c r="R301" t="s">
        <v>339</v>
      </c>
      <c r="S301" t="s">
        <v>22</v>
      </c>
      <c r="T301" t="s">
        <v>337</v>
      </c>
      <c r="U301">
        <v>20</v>
      </c>
      <c r="V301">
        <v>72</v>
      </c>
      <c r="W301">
        <v>8</v>
      </c>
      <c r="X301">
        <v>80</v>
      </c>
      <c r="Y301">
        <v>3</v>
      </c>
      <c r="Z301" t="s">
        <v>20</v>
      </c>
      <c r="AA301" t="s">
        <v>18</v>
      </c>
      <c r="AB301" s="189" t="s">
        <v>18</v>
      </c>
      <c r="AC301" s="203" t="s">
        <v>2354</v>
      </c>
      <c r="AD301" t="s">
        <v>1735</v>
      </c>
      <c r="AG301" t="s">
        <v>990</v>
      </c>
      <c r="AH301">
        <v>27</v>
      </c>
      <c r="AI301">
        <v>1</v>
      </c>
      <c r="AJ301" s="200">
        <f t="shared" si="55"/>
        <v>1600</v>
      </c>
      <c r="AL301" s="179">
        <f t="shared" si="52"/>
        <v>26.666666666666668</v>
      </c>
      <c r="AN301" s="183">
        <f t="shared" si="53"/>
        <v>2160000</v>
      </c>
    </row>
    <row r="302" spans="1:40" customFormat="1" ht="20.100000000000001" hidden="1" customHeight="1" x14ac:dyDescent="0.25">
      <c r="A302">
        <v>14385</v>
      </c>
      <c r="B302" t="s">
        <v>98</v>
      </c>
      <c r="C302" t="s">
        <v>41</v>
      </c>
      <c r="D302">
        <v>1</v>
      </c>
      <c r="E302">
        <v>2025</v>
      </c>
      <c r="F302">
        <v>2025</v>
      </c>
      <c r="G302" t="s">
        <v>23</v>
      </c>
      <c r="H302" t="s">
        <v>98</v>
      </c>
      <c r="I302" t="s">
        <v>1175</v>
      </c>
      <c r="J302" t="s">
        <v>1176</v>
      </c>
      <c r="K302" t="s">
        <v>1177</v>
      </c>
      <c r="L302" t="s">
        <v>21</v>
      </c>
      <c r="M302" t="s">
        <v>21</v>
      </c>
      <c r="O302" t="s">
        <v>382</v>
      </c>
      <c r="P302" t="s">
        <v>724</v>
      </c>
      <c r="Q302" t="s">
        <v>1178</v>
      </c>
      <c r="R302" t="s">
        <v>339</v>
      </c>
      <c r="S302" t="s">
        <v>22</v>
      </c>
      <c r="T302" t="s">
        <v>348</v>
      </c>
      <c r="U302">
        <v>16</v>
      </c>
      <c r="V302">
        <v>110</v>
      </c>
      <c r="W302" t="s">
        <v>21</v>
      </c>
      <c r="X302">
        <v>110</v>
      </c>
      <c r="Y302">
        <v>4</v>
      </c>
      <c r="Z302" t="s">
        <v>20</v>
      </c>
      <c r="AA302" t="s">
        <v>18</v>
      </c>
      <c r="AB302" s="189" t="s">
        <v>18</v>
      </c>
      <c r="AC302" s="203" t="s">
        <v>2355</v>
      </c>
      <c r="AD302" t="s">
        <v>1179</v>
      </c>
      <c r="AG302" t="s">
        <v>990</v>
      </c>
      <c r="AH302">
        <v>28</v>
      </c>
      <c r="AI302">
        <v>2</v>
      </c>
      <c r="AJ302" s="200">
        <f t="shared" si="55"/>
        <v>1760</v>
      </c>
      <c r="AL302" s="179">
        <f t="shared" si="52"/>
        <v>27.5</v>
      </c>
      <c r="AN302" s="183">
        <f t="shared" si="53"/>
        <v>1792000</v>
      </c>
    </row>
    <row r="303" spans="1:40" customFormat="1" ht="20.100000000000001" hidden="1" customHeight="1" x14ac:dyDescent="0.25">
      <c r="A303">
        <v>14426</v>
      </c>
      <c r="B303" t="s">
        <v>98</v>
      </c>
      <c r="C303" t="s">
        <v>41</v>
      </c>
      <c r="D303">
        <v>1</v>
      </c>
      <c r="E303">
        <v>2025</v>
      </c>
      <c r="F303">
        <v>2025</v>
      </c>
      <c r="G303" t="s">
        <v>23</v>
      </c>
      <c r="H303" t="s">
        <v>98</v>
      </c>
      <c r="I303" t="s">
        <v>1175</v>
      </c>
      <c r="J303" t="s">
        <v>999</v>
      </c>
      <c r="K303" t="s">
        <v>1000</v>
      </c>
      <c r="L303" t="s">
        <v>21</v>
      </c>
      <c r="M303" t="s">
        <v>21</v>
      </c>
      <c r="O303" t="s">
        <v>810</v>
      </c>
      <c r="P303" t="s">
        <v>1768</v>
      </c>
      <c r="Q303" t="s">
        <v>1201</v>
      </c>
      <c r="R303" t="s">
        <v>339</v>
      </c>
      <c r="S303" t="s">
        <v>22</v>
      </c>
      <c r="T303" t="s">
        <v>337</v>
      </c>
      <c r="U303">
        <v>10</v>
      </c>
      <c r="V303">
        <v>80</v>
      </c>
      <c r="W303" t="s">
        <v>21</v>
      </c>
      <c r="X303">
        <v>80</v>
      </c>
      <c r="Y303">
        <v>4</v>
      </c>
      <c r="Z303" t="s">
        <v>20</v>
      </c>
      <c r="AA303" t="s">
        <v>18</v>
      </c>
      <c r="AB303" s="189" t="s">
        <v>18</v>
      </c>
      <c r="AC303" s="203" t="s">
        <v>2356</v>
      </c>
      <c r="AD303" t="s">
        <v>1769</v>
      </c>
      <c r="AG303" t="s">
        <v>990</v>
      </c>
      <c r="AH303">
        <v>20</v>
      </c>
      <c r="AI303">
        <v>3</v>
      </c>
      <c r="AJ303" s="200">
        <f t="shared" si="55"/>
        <v>800</v>
      </c>
      <c r="AL303" s="179">
        <f t="shared" si="52"/>
        <v>20</v>
      </c>
      <c r="AN303" s="183">
        <f t="shared" si="53"/>
        <v>800000</v>
      </c>
    </row>
    <row r="304" spans="1:40" customFormat="1" ht="20.100000000000001" hidden="1" customHeight="1" x14ac:dyDescent="0.25">
      <c r="A304">
        <v>14439</v>
      </c>
      <c r="B304" t="s">
        <v>98</v>
      </c>
      <c r="C304" t="s">
        <v>41</v>
      </c>
      <c r="D304">
        <v>1</v>
      </c>
      <c r="E304">
        <v>2025</v>
      </c>
      <c r="F304">
        <v>2025</v>
      </c>
      <c r="G304" t="s">
        <v>23</v>
      </c>
      <c r="H304" t="s">
        <v>98</v>
      </c>
      <c r="I304" t="s">
        <v>1175</v>
      </c>
      <c r="J304" t="s">
        <v>999</v>
      </c>
      <c r="K304" t="s">
        <v>1000</v>
      </c>
      <c r="L304" t="s">
        <v>21</v>
      </c>
      <c r="M304" t="s">
        <v>21</v>
      </c>
      <c r="O304" t="s">
        <v>796</v>
      </c>
      <c r="P304" t="s">
        <v>1681</v>
      </c>
      <c r="Q304" t="s">
        <v>1201</v>
      </c>
      <c r="R304" t="s">
        <v>339</v>
      </c>
      <c r="S304" t="s">
        <v>22</v>
      </c>
      <c r="T304" t="s">
        <v>337</v>
      </c>
      <c r="U304">
        <v>10</v>
      </c>
      <c r="V304">
        <v>80</v>
      </c>
      <c r="W304" t="s">
        <v>21</v>
      </c>
      <c r="X304">
        <v>80</v>
      </c>
      <c r="Y304">
        <v>4</v>
      </c>
      <c r="Z304" t="s">
        <v>20</v>
      </c>
      <c r="AA304" t="s">
        <v>18</v>
      </c>
      <c r="AB304" s="189" t="s">
        <v>18</v>
      </c>
      <c r="AC304" s="203" t="s">
        <v>2357</v>
      </c>
      <c r="AD304" t="s">
        <v>1682</v>
      </c>
      <c r="AG304" t="s">
        <v>990</v>
      </c>
      <c r="AH304">
        <v>20</v>
      </c>
      <c r="AI304">
        <v>3</v>
      </c>
      <c r="AJ304" s="200">
        <f t="shared" si="55"/>
        <v>800</v>
      </c>
      <c r="AL304" s="179">
        <f t="shared" si="52"/>
        <v>20</v>
      </c>
      <c r="AN304" s="183">
        <f t="shared" si="53"/>
        <v>800000</v>
      </c>
    </row>
    <row r="305" spans="1:40" customFormat="1" ht="20.100000000000001" hidden="1" customHeight="1" x14ac:dyDescent="0.25">
      <c r="A305">
        <v>14584</v>
      </c>
      <c r="B305" t="s">
        <v>98</v>
      </c>
      <c r="C305" t="s">
        <v>41</v>
      </c>
      <c r="D305">
        <v>1</v>
      </c>
      <c r="E305">
        <v>2025</v>
      </c>
      <c r="F305">
        <v>2025</v>
      </c>
      <c r="G305" t="s">
        <v>23</v>
      </c>
      <c r="H305" t="s">
        <v>98</v>
      </c>
      <c r="I305" t="s">
        <v>1175</v>
      </c>
      <c r="J305" t="s">
        <v>999</v>
      </c>
      <c r="K305" t="s">
        <v>1000</v>
      </c>
      <c r="L305" t="s">
        <v>21</v>
      </c>
      <c r="M305" t="s">
        <v>21</v>
      </c>
      <c r="O305" t="s">
        <v>395</v>
      </c>
      <c r="P305" t="s">
        <v>708</v>
      </c>
      <c r="Q305" t="s">
        <v>1201</v>
      </c>
      <c r="R305" t="s">
        <v>339</v>
      </c>
      <c r="S305" t="s">
        <v>22</v>
      </c>
      <c r="T305" t="s">
        <v>347</v>
      </c>
      <c r="U305">
        <v>20</v>
      </c>
      <c r="V305">
        <v>80</v>
      </c>
      <c r="W305" t="s">
        <v>21</v>
      </c>
      <c r="X305">
        <v>80</v>
      </c>
      <c r="Y305">
        <v>4</v>
      </c>
      <c r="Z305" t="s">
        <v>20</v>
      </c>
      <c r="AA305" t="s">
        <v>18</v>
      </c>
      <c r="AB305" s="189" t="s">
        <v>18</v>
      </c>
      <c r="AC305" s="203" t="s">
        <v>2358</v>
      </c>
      <c r="AD305" t="s">
        <v>1773</v>
      </c>
      <c r="AG305" t="s">
        <v>990</v>
      </c>
      <c r="AH305">
        <v>20</v>
      </c>
      <c r="AI305">
        <v>3</v>
      </c>
      <c r="AJ305" s="200">
        <f t="shared" si="55"/>
        <v>1600</v>
      </c>
      <c r="AL305" s="179">
        <f t="shared" si="52"/>
        <v>20</v>
      </c>
      <c r="AN305" s="183">
        <f t="shared" si="53"/>
        <v>1600000</v>
      </c>
    </row>
    <row r="306" spans="1:40" customFormat="1" ht="20.100000000000001" hidden="1" customHeight="1" x14ac:dyDescent="0.25">
      <c r="A306">
        <v>14481</v>
      </c>
      <c r="B306" t="s">
        <v>98</v>
      </c>
      <c r="C306" t="s">
        <v>41</v>
      </c>
      <c r="D306">
        <v>1</v>
      </c>
      <c r="E306">
        <v>2025</v>
      </c>
      <c r="F306">
        <v>2025</v>
      </c>
      <c r="G306" t="s">
        <v>23</v>
      </c>
      <c r="H306" t="s">
        <v>98</v>
      </c>
      <c r="I306" t="s">
        <v>1175</v>
      </c>
      <c r="J306" t="s">
        <v>792</v>
      </c>
      <c r="K306" t="s">
        <v>791</v>
      </c>
      <c r="L306" t="s">
        <v>21</v>
      </c>
      <c r="M306" t="s">
        <v>21</v>
      </c>
      <c r="O306" t="s">
        <v>382</v>
      </c>
      <c r="P306" t="s">
        <v>733</v>
      </c>
      <c r="Q306" t="s">
        <v>841</v>
      </c>
      <c r="R306" t="s">
        <v>339</v>
      </c>
      <c r="S306" t="s">
        <v>19</v>
      </c>
      <c r="T306" t="s">
        <v>347</v>
      </c>
      <c r="U306">
        <v>15</v>
      </c>
      <c r="V306">
        <v>100</v>
      </c>
      <c r="W306" t="s">
        <v>21</v>
      </c>
      <c r="X306">
        <v>100</v>
      </c>
      <c r="Y306">
        <v>4</v>
      </c>
      <c r="Z306" t="s">
        <v>20</v>
      </c>
      <c r="AA306" t="s">
        <v>18</v>
      </c>
      <c r="AB306" s="189" t="s">
        <v>18</v>
      </c>
      <c r="AC306" s="203" t="s">
        <v>2359</v>
      </c>
      <c r="AD306" t="s">
        <v>1693</v>
      </c>
      <c r="AG306" t="s">
        <v>990</v>
      </c>
      <c r="AH306">
        <v>25</v>
      </c>
      <c r="AI306">
        <v>1</v>
      </c>
      <c r="AJ306" s="200">
        <f t="shared" si="55"/>
        <v>1500</v>
      </c>
      <c r="AL306" s="179">
        <f t="shared" si="52"/>
        <v>25</v>
      </c>
      <c r="AN306" s="183">
        <f t="shared" si="53"/>
        <v>1500000</v>
      </c>
    </row>
    <row r="307" spans="1:40" customFormat="1" ht="20.100000000000001" hidden="1" customHeight="1" x14ac:dyDescent="0.25">
      <c r="A307">
        <v>14402</v>
      </c>
      <c r="B307" t="s">
        <v>98</v>
      </c>
      <c r="C307" t="s">
        <v>41</v>
      </c>
      <c r="D307">
        <v>1</v>
      </c>
      <c r="E307">
        <v>2025</v>
      </c>
      <c r="F307">
        <v>2025</v>
      </c>
      <c r="G307" t="s">
        <v>23</v>
      </c>
      <c r="H307" t="s">
        <v>98</v>
      </c>
      <c r="I307" t="s">
        <v>1175</v>
      </c>
      <c r="J307" t="s">
        <v>700</v>
      </c>
      <c r="K307" t="s">
        <v>701</v>
      </c>
      <c r="L307" t="s">
        <v>21</v>
      </c>
      <c r="M307" t="s">
        <v>21</v>
      </c>
      <c r="O307" t="s">
        <v>382</v>
      </c>
      <c r="P307" t="s">
        <v>776</v>
      </c>
      <c r="Q307" t="s">
        <v>1201</v>
      </c>
      <c r="R307" t="s">
        <v>339</v>
      </c>
      <c r="S307" t="s">
        <v>22</v>
      </c>
      <c r="T307" t="s">
        <v>337</v>
      </c>
      <c r="U307">
        <v>19</v>
      </c>
      <c r="V307">
        <v>150</v>
      </c>
      <c r="W307" t="s">
        <v>21</v>
      </c>
      <c r="X307">
        <v>150</v>
      </c>
      <c r="Y307">
        <v>4</v>
      </c>
      <c r="Z307" t="s">
        <v>20</v>
      </c>
      <c r="AA307" t="s">
        <v>18</v>
      </c>
      <c r="AB307" s="189" t="s">
        <v>18</v>
      </c>
      <c r="AC307" s="203" t="s">
        <v>2360</v>
      </c>
      <c r="AD307" t="s">
        <v>1794</v>
      </c>
      <c r="AG307" t="s">
        <v>990</v>
      </c>
      <c r="AH307">
        <v>38</v>
      </c>
      <c r="AI307">
        <v>3</v>
      </c>
      <c r="AJ307" s="200">
        <f t="shared" si="55"/>
        <v>2850</v>
      </c>
      <c r="AL307" s="179">
        <f t="shared" si="52"/>
        <v>37.5</v>
      </c>
      <c r="AN307" s="183">
        <f t="shared" si="53"/>
        <v>2888000</v>
      </c>
    </row>
    <row r="308" spans="1:40" customFormat="1" ht="20.100000000000001" hidden="1" customHeight="1" x14ac:dyDescent="0.25">
      <c r="A308">
        <v>14404</v>
      </c>
      <c r="B308" t="s">
        <v>98</v>
      </c>
      <c r="C308" t="s">
        <v>41</v>
      </c>
      <c r="D308">
        <v>1</v>
      </c>
      <c r="E308">
        <v>2025</v>
      </c>
      <c r="F308">
        <v>2025</v>
      </c>
      <c r="G308" t="s">
        <v>23</v>
      </c>
      <c r="H308" t="s">
        <v>98</v>
      </c>
      <c r="I308" t="s">
        <v>1175</v>
      </c>
      <c r="J308" t="s">
        <v>700</v>
      </c>
      <c r="K308" t="s">
        <v>701</v>
      </c>
      <c r="L308" t="s">
        <v>21</v>
      </c>
      <c r="M308" t="s">
        <v>21</v>
      </c>
      <c r="O308" t="s">
        <v>382</v>
      </c>
      <c r="P308" t="s">
        <v>383</v>
      </c>
      <c r="Q308" t="s">
        <v>1201</v>
      </c>
      <c r="R308" t="s">
        <v>339</v>
      </c>
      <c r="S308" t="s">
        <v>22</v>
      </c>
      <c r="T308" t="s">
        <v>337</v>
      </c>
      <c r="U308">
        <v>20</v>
      </c>
      <c r="V308">
        <v>150</v>
      </c>
      <c r="W308" t="s">
        <v>21</v>
      </c>
      <c r="X308">
        <v>150</v>
      </c>
      <c r="Y308">
        <v>4</v>
      </c>
      <c r="Z308" t="s">
        <v>20</v>
      </c>
      <c r="AA308" t="s">
        <v>18</v>
      </c>
      <c r="AB308" s="189" t="s">
        <v>18</v>
      </c>
      <c r="AC308" s="203" t="s">
        <v>2361</v>
      </c>
      <c r="AD308" t="s">
        <v>1794</v>
      </c>
      <c r="AG308" t="s">
        <v>990</v>
      </c>
      <c r="AH308">
        <v>38</v>
      </c>
      <c r="AI308">
        <v>3</v>
      </c>
      <c r="AJ308" s="200">
        <f t="shared" si="55"/>
        <v>3000</v>
      </c>
      <c r="AL308" s="179">
        <f t="shared" si="52"/>
        <v>37.5</v>
      </c>
      <c r="AN308" s="183">
        <f t="shared" si="53"/>
        <v>3040000</v>
      </c>
    </row>
    <row r="309" spans="1:40" customFormat="1" ht="20.100000000000001" hidden="1" customHeight="1" x14ac:dyDescent="0.25">
      <c r="A309">
        <v>14331</v>
      </c>
      <c r="B309" t="s">
        <v>98</v>
      </c>
      <c r="C309" t="s">
        <v>41</v>
      </c>
      <c r="D309">
        <v>1</v>
      </c>
      <c r="E309">
        <v>2025</v>
      </c>
      <c r="F309">
        <v>2025</v>
      </c>
      <c r="G309" t="s">
        <v>23</v>
      </c>
      <c r="H309" t="s">
        <v>98</v>
      </c>
      <c r="I309" t="s">
        <v>1175</v>
      </c>
      <c r="J309" t="s">
        <v>391</v>
      </c>
      <c r="K309" t="s">
        <v>987</v>
      </c>
      <c r="L309" t="s">
        <v>21</v>
      </c>
      <c r="M309" t="s">
        <v>21</v>
      </c>
      <c r="O309" t="s">
        <v>395</v>
      </c>
      <c r="P309" t="s">
        <v>1030</v>
      </c>
      <c r="Q309" t="s">
        <v>1201</v>
      </c>
      <c r="R309" t="s">
        <v>339</v>
      </c>
      <c r="S309" t="s">
        <v>19</v>
      </c>
      <c r="T309" t="s">
        <v>337</v>
      </c>
      <c r="U309">
        <v>15</v>
      </c>
      <c r="V309">
        <v>24</v>
      </c>
      <c r="W309" t="s">
        <v>21</v>
      </c>
      <c r="X309">
        <v>24</v>
      </c>
      <c r="Y309">
        <v>4</v>
      </c>
      <c r="Z309" t="s">
        <v>20</v>
      </c>
      <c r="AA309" t="s">
        <v>18</v>
      </c>
      <c r="AB309" s="189" t="s">
        <v>18</v>
      </c>
      <c r="AC309" s="203" t="s">
        <v>2362</v>
      </c>
      <c r="AD309" t="s">
        <v>1560</v>
      </c>
      <c r="AE309" t="s">
        <v>20</v>
      </c>
      <c r="AF309" s="92" t="s">
        <v>988</v>
      </c>
      <c r="AG309" t="s">
        <v>990</v>
      </c>
      <c r="AH309">
        <v>6</v>
      </c>
      <c r="AI309">
        <v>3</v>
      </c>
      <c r="AJ309" s="200">
        <f t="shared" si="55"/>
        <v>360</v>
      </c>
      <c r="AL309" s="179">
        <f t="shared" si="52"/>
        <v>6</v>
      </c>
      <c r="AN309" s="183">
        <f t="shared" si="53"/>
        <v>360000</v>
      </c>
    </row>
    <row r="310" spans="1:40" customFormat="1" ht="20.100000000000001" hidden="1" customHeight="1" x14ac:dyDescent="0.25">
      <c r="A310">
        <v>14333</v>
      </c>
      <c r="B310" t="s">
        <v>98</v>
      </c>
      <c r="C310" t="s">
        <v>41</v>
      </c>
      <c r="D310">
        <v>1</v>
      </c>
      <c r="E310">
        <v>2025</v>
      </c>
      <c r="F310">
        <v>2025</v>
      </c>
      <c r="G310" t="s">
        <v>23</v>
      </c>
      <c r="H310" t="s">
        <v>98</v>
      </c>
      <c r="I310" t="s">
        <v>1175</v>
      </c>
      <c r="J310" t="s">
        <v>391</v>
      </c>
      <c r="K310" t="s">
        <v>987</v>
      </c>
      <c r="L310" t="s">
        <v>21</v>
      </c>
      <c r="M310" t="s">
        <v>21</v>
      </c>
      <c r="O310" t="s">
        <v>798</v>
      </c>
      <c r="P310" t="s">
        <v>1564</v>
      </c>
      <c r="Q310" t="s">
        <v>1201</v>
      </c>
      <c r="R310" t="s">
        <v>339</v>
      </c>
      <c r="S310" t="s">
        <v>19</v>
      </c>
      <c r="T310" t="s">
        <v>337</v>
      </c>
      <c r="U310">
        <v>15</v>
      </c>
      <c r="V310">
        <v>24</v>
      </c>
      <c r="W310" t="s">
        <v>21</v>
      </c>
      <c r="X310">
        <v>24</v>
      </c>
      <c r="Y310">
        <v>4</v>
      </c>
      <c r="Z310" t="s">
        <v>20</v>
      </c>
      <c r="AA310" t="s">
        <v>18</v>
      </c>
      <c r="AB310" s="189" t="s">
        <v>18</v>
      </c>
      <c r="AC310" s="203" t="s">
        <v>2363</v>
      </c>
      <c r="AD310" t="s">
        <v>1565</v>
      </c>
      <c r="AE310" t="s">
        <v>20</v>
      </c>
      <c r="AF310" s="92" t="s">
        <v>988</v>
      </c>
      <c r="AG310" t="s">
        <v>990</v>
      </c>
      <c r="AH310">
        <v>6</v>
      </c>
      <c r="AI310">
        <v>3</v>
      </c>
      <c r="AJ310" s="200">
        <f t="shared" si="55"/>
        <v>360</v>
      </c>
      <c r="AL310" s="179">
        <f t="shared" si="52"/>
        <v>6</v>
      </c>
      <c r="AN310" s="183">
        <f t="shared" si="53"/>
        <v>360000</v>
      </c>
    </row>
    <row r="311" spans="1:40" customFormat="1" ht="20.100000000000001" hidden="1" customHeight="1" x14ac:dyDescent="0.25">
      <c r="A311">
        <v>14337</v>
      </c>
      <c r="B311" t="s">
        <v>98</v>
      </c>
      <c r="C311" t="s">
        <v>41</v>
      </c>
      <c r="D311">
        <v>1</v>
      </c>
      <c r="E311">
        <v>2025</v>
      </c>
      <c r="F311">
        <v>2025</v>
      </c>
      <c r="G311" t="s">
        <v>23</v>
      </c>
      <c r="H311" t="s">
        <v>98</v>
      </c>
      <c r="I311" t="s">
        <v>1175</v>
      </c>
      <c r="J311" t="s">
        <v>391</v>
      </c>
      <c r="K311" t="s">
        <v>987</v>
      </c>
      <c r="L311" t="s">
        <v>21</v>
      </c>
      <c r="M311" t="s">
        <v>21</v>
      </c>
      <c r="O311" t="s">
        <v>382</v>
      </c>
      <c r="P311" t="s">
        <v>416</v>
      </c>
      <c r="Q311" t="s">
        <v>1178</v>
      </c>
      <c r="R311" t="s">
        <v>339</v>
      </c>
      <c r="S311" t="s">
        <v>19</v>
      </c>
      <c r="T311" t="s">
        <v>347</v>
      </c>
      <c r="U311">
        <v>18</v>
      </c>
      <c r="V311">
        <v>24</v>
      </c>
      <c r="W311" t="s">
        <v>21</v>
      </c>
      <c r="X311">
        <v>24</v>
      </c>
      <c r="Y311">
        <v>4</v>
      </c>
      <c r="Z311" t="s">
        <v>20</v>
      </c>
      <c r="AA311" t="s">
        <v>18</v>
      </c>
      <c r="AB311" s="189" t="s">
        <v>18</v>
      </c>
      <c r="AC311" t="s">
        <v>21</v>
      </c>
      <c r="AD311" t="s">
        <v>1180</v>
      </c>
      <c r="AE311" t="s">
        <v>20</v>
      </c>
      <c r="AF311" s="92" t="s">
        <v>988</v>
      </c>
      <c r="AG311" t="s">
        <v>990</v>
      </c>
      <c r="AH311">
        <v>15</v>
      </c>
      <c r="AI311">
        <v>3</v>
      </c>
      <c r="AJ311" s="200">
        <f t="shared" si="55"/>
        <v>432</v>
      </c>
      <c r="AL311" s="179">
        <f t="shared" si="52"/>
        <v>6</v>
      </c>
      <c r="AN311" s="183">
        <f t="shared" si="53"/>
        <v>1080000</v>
      </c>
    </row>
    <row r="312" spans="1:40" customFormat="1" ht="20.100000000000001" hidden="1" customHeight="1" x14ac:dyDescent="0.25">
      <c r="A312">
        <v>14339</v>
      </c>
      <c r="B312" t="s">
        <v>98</v>
      </c>
      <c r="C312" t="s">
        <v>41</v>
      </c>
      <c r="D312">
        <v>1</v>
      </c>
      <c r="E312">
        <v>2025</v>
      </c>
      <c r="F312">
        <v>2025</v>
      </c>
      <c r="G312" t="s">
        <v>23</v>
      </c>
      <c r="H312" t="s">
        <v>98</v>
      </c>
      <c r="I312" t="s">
        <v>1175</v>
      </c>
      <c r="J312" t="s">
        <v>391</v>
      </c>
      <c r="K312" t="s">
        <v>987</v>
      </c>
      <c r="L312" t="s">
        <v>21</v>
      </c>
      <c r="M312" t="s">
        <v>21</v>
      </c>
      <c r="O312" t="s">
        <v>382</v>
      </c>
      <c r="P312" t="s">
        <v>416</v>
      </c>
      <c r="Q312" t="s">
        <v>1178</v>
      </c>
      <c r="R312" t="s">
        <v>339</v>
      </c>
      <c r="S312" t="s">
        <v>19</v>
      </c>
      <c r="T312" t="s">
        <v>347</v>
      </c>
      <c r="U312">
        <v>18</v>
      </c>
      <c r="V312">
        <v>24</v>
      </c>
      <c r="W312" t="s">
        <v>21</v>
      </c>
      <c r="X312">
        <v>24</v>
      </c>
      <c r="Y312">
        <v>4</v>
      </c>
      <c r="Z312" t="s">
        <v>20</v>
      </c>
      <c r="AA312" t="s">
        <v>18</v>
      </c>
      <c r="AB312" s="189" t="s">
        <v>18</v>
      </c>
      <c r="AC312" t="s">
        <v>21</v>
      </c>
      <c r="AD312" t="s">
        <v>1180</v>
      </c>
      <c r="AE312" t="s">
        <v>20</v>
      </c>
      <c r="AF312" s="92" t="s">
        <v>988</v>
      </c>
      <c r="AG312" t="s">
        <v>990</v>
      </c>
      <c r="AH312">
        <v>15</v>
      </c>
      <c r="AI312">
        <v>3</v>
      </c>
      <c r="AJ312" s="200">
        <f t="shared" si="55"/>
        <v>432</v>
      </c>
      <c r="AL312" s="179">
        <f t="shared" si="52"/>
        <v>6</v>
      </c>
      <c r="AN312" s="183">
        <f t="shared" si="53"/>
        <v>1080000</v>
      </c>
    </row>
    <row r="313" spans="1:40" customFormat="1" ht="20.100000000000001" hidden="1" customHeight="1" x14ac:dyDescent="0.25">
      <c r="A313">
        <v>14395</v>
      </c>
      <c r="B313" t="s">
        <v>98</v>
      </c>
      <c r="C313" t="s">
        <v>41</v>
      </c>
      <c r="D313">
        <v>1</v>
      </c>
      <c r="E313">
        <v>2025</v>
      </c>
      <c r="F313">
        <v>2025</v>
      </c>
      <c r="G313" t="s">
        <v>23</v>
      </c>
      <c r="H313" t="s">
        <v>98</v>
      </c>
      <c r="I313" t="s">
        <v>1175</v>
      </c>
      <c r="J313" t="s">
        <v>391</v>
      </c>
      <c r="K313" t="s">
        <v>987</v>
      </c>
      <c r="L313" t="s">
        <v>21</v>
      </c>
      <c r="M313" t="s">
        <v>21</v>
      </c>
      <c r="O313" t="s">
        <v>424</v>
      </c>
      <c r="P313" t="s">
        <v>842</v>
      </c>
      <c r="Q313" t="s">
        <v>1201</v>
      </c>
      <c r="R313" t="s">
        <v>339</v>
      </c>
      <c r="S313" t="s">
        <v>19</v>
      </c>
      <c r="T313" t="s">
        <v>337</v>
      </c>
      <c r="U313">
        <v>16</v>
      </c>
      <c r="V313">
        <v>24</v>
      </c>
      <c r="W313" t="s">
        <v>21</v>
      </c>
      <c r="X313">
        <v>24</v>
      </c>
      <c r="Y313">
        <v>4</v>
      </c>
      <c r="Z313" t="s">
        <v>20</v>
      </c>
      <c r="AA313" t="s">
        <v>18</v>
      </c>
      <c r="AB313" s="189" t="s">
        <v>18</v>
      </c>
      <c r="AC313" t="s">
        <v>21</v>
      </c>
      <c r="AD313" t="s">
        <v>1570</v>
      </c>
      <c r="AE313" t="s">
        <v>20</v>
      </c>
      <c r="AF313" s="92" t="s">
        <v>988</v>
      </c>
      <c r="AG313" t="s">
        <v>990</v>
      </c>
      <c r="AH313">
        <v>6</v>
      </c>
      <c r="AI313">
        <v>3</v>
      </c>
      <c r="AJ313" s="200">
        <f t="shared" si="55"/>
        <v>384</v>
      </c>
      <c r="AL313" s="179">
        <f t="shared" si="52"/>
        <v>6</v>
      </c>
      <c r="AN313" s="183">
        <f t="shared" si="53"/>
        <v>384000</v>
      </c>
    </row>
    <row r="314" spans="1:40" customFormat="1" ht="20.100000000000001" hidden="1" customHeight="1" x14ac:dyDescent="0.25">
      <c r="A314">
        <v>14396</v>
      </c>
      <c r="B314" t="s">
        <v>98</v>
      </c>
      <c r="C314" t="s">
        <v>41</v>
      </c>
      <c r="D314">
        <v>1</v>
      </c>
      <c r="E314">
        <v>2025</v>
      </c>
      <c r="F314">
        <v>2025</v>
      </c>
      <c r="G314" t="s">
        <v>23</v>
      </c>
      <c r="H314" t="s">
        <v>98</v>
      </c>
      <c r="I314" t="s">
        <v>1175</v>
      </c>
      <c r="J314" t="s">
        <v>391</v>
      </c>
      <c r="K314" t="s">
        <v>987</v>
      </c>
      <c r="L314" t="s">
        <v>21</v>
      </c>
      <c r="M314" t="s">
        <v>21</v>
      </c>
      <c r="O314" t="s">
        <v>424</v>
      </c>
      <c r="P314" t="s">
        <v>842</v>
      </c>
      <c r="Q314" t="s">
        <v>1201</v>
      </c>
      <c r="R314" t="s">
        <v>339</v>
      </c>
      <c r="S314" t="s">
        <v>19</v>
      </c>
      <c r="T314" t="s">
        <v>337</v>
      </c>
      <c r="U314">
        <v>16</v>
      </c>
      <c r="V314">
        <v>24</v>
      </c>
      <c r="W314" t="s">
        <v>21</v>
      </c>
      <c r="X314">
        <v>24</v>
      </c>
      <c r="Y314">
        <v>4</v>
      </c>
      <c r="Z314" t="s">
        <v>20</v>
      </c>
      <c r="AA314" t="s">
        <v>18</v>
      </c>
      <c r="AB314" s="189" t="s">
        <v>18</v>
      </c>
      <c r="AC314" t="s">
        <v>21</v>
      </c>
      <c r="AD314" t="s">
        <v>1574</v>
      </c>
      <c r="AE314" t="s">
        <v>20</v>
      </c>
      <c r="AF314" s="92" t="s">
        <v>988</v>
      </c>
      <c r="AG314" t="s">
        <v>990</v>
      </c>
      <c r="AH314">
        <v>6</v>
      </c>
      <c r="AI314">
        <v>3</v>
      </c>
      <c r="AJ314" s="200">
        <f t="shared" si="55"/>
        <v>384</v>
      </c>
      <c r="AL314" s="179">
        <f t="shared" si="52"/>
        <v>6</v>
      </c>
      <c r="AN314" s="183">
        <f t="shared" si="53"/>
        <v>384000</v>
      </c>
    </row>
    <row r="315" spans="1:40" customFormat="1" ht="20.100000000000001" hidden="1" customHeight="1" x14ac:dyDescent="0.25">
      <c r="A315">
        <v>14397</v>
      </c>
      <c r="B315" t="s">
        <v>98</v>
      </c>
      <c r="C315" t="s">
        <v>41</v>
      </c>
      <c r="D315">
        <v>1</v>
      </c>
      <c r="E315">
        <v>2025</v>
      </c>
      <c r="F315">
        <v>2025</v>
      </c>
      <c r="G315" t="s">
        <v>23</v>
      </c>
      <c r="H315" t="s">
        <v>98</v>
      </c>
      <c r="I315" t="s">
        <v>1175</v>
      </c>
      <c r="J315" t="s">
        <v>391</v>
      </c>
      <c r="K315" t="s">
        <v>987</v>
      </c>
      <c r="L315" t="s">
        <v>21</v>
      </c>
      <c r="M315" t="s">
        <v>21</v>
      </c>
      <c r="O315" t="s">
        <v>424</v>
      </c>
      <c r="P315" t="s">
        <v>1497</v>
      </c>
      <c r="Q315" t="s">
        <v>1201</v>
      </c>
      <c r="R315" t="s">
        <v>339</v>
      </c>
      <c r="S315" t="s">
        <v>19</v>
      </c>
      <c r="T315" t="s">
        <v>337</v>
      </c>
      <c r="U315">
        <v>16</v>
      </c>
      <c r="V315">
        <v>24</v>
      </c>
      <c r="W315" t="s">
        <v>21</v>
      </c>
      <c r="X315">
        <v>24</v>
      </c>
      <c r="Y315">
        <v>4</v>
      </c>
      <c r="Z315" t="s">
        <v>20</v>
      </c>
      <c r="AA315" t="s">
        <v>18</v>
      </c>
      <c r="AB315" s="189" t="s">
        <v>18</v>
      </c>
      <c r="AC315" t="s">
        <v>21</v>
      </c>
      <c r="AD315" t="s">
        <v>1575</v>
      </c>
      <c r="AE315" t="s">
        <v>20</v>
      </c>
      <c r="AF315" s="92" t="s">
        <v>988</v>
      </c>
      <c r="AG315" t="s">
        <v>990</v>
      </c>
      <c r="AH315">
        <v>6</v>
      </c>
      <c r="AI315">
        <v>3</v>
      </c>
      <c r="AJ315" s="200">
        <f t="shared" si="55"/>
        <v>384</v>
      </c>
      <c r="AL315" s="179">
        <f t="shared" si="52"/>
        <v>6</v>
      </c>
      <c r="AN315" s="183">
        <f t="shared" si="53"/>
        <v>384000</v>
      </c>
    </row>
    <row r="316" spans="1:40" customFormat="1" ht="20.100000000000001" hidden="1" customHeight="1" x14ac:dyDescent="0.25">
      <c r="A316">
        <v>14443</v>
      </c>
      <c r="B316" t="s">
        <v>98</v>
      </c>
      <c r="C316" t="s">
        <v>41</v>
      </c>
      <c r="D316">
        <v>1</v>
      </c>
      <c r="E316">
        <v>2025</v>
      </c>
      <c r="F316">
        <v>2025</v>
      </c>
      <c r="G316" t="s">
        <v>23</v>
      </c>
      <c r="H316" t="s">
        <v>98</v>
      </c>
      <c r="I316" t="s">
        <v>1175</v>
      </c>
      <c r="J316" t="s">
        <v>391</v>
      </c>
      <c r="K316" t="s">
        <v>987</v>
      </c>
      <c r="L316" t="s">
        <v>21</v>
      </c>
      <c r="M316" t="s">
        <v>21</v>
      </c>
      <c r="O316" t="s">
        <v>709</v>
      </c>
      <c r="P316" t="s">
        <v>721</v>
      </c>
      <c r="Q316" t="s">
        <v>1201</v>
      </c>
      <c r="R316" t="s">
        <v>339</v>
      </c>
      <c r="S316" t="s">
        <v>22</v>
      </c>
      <c r="T316" t="s">
        <v>337</v>
      </c>
      <c r="U316">
        <v>10</v>
      </c>
      <c r="V316">
        <v>24</v>
      </c>
      <c r="W316" t="s">
        <v>21</v>
      </c>
      <c r="X316">
        <v>24</v>
      </c>
      <c r="Y316">
        <v>4</v>
      </c>
      <c r="Z316" t="s">
        <v>20</v>
      </c>
      <c r="AA316" t="s">
        <v>18</v>
      </c>
      <c r="AB316" s="189" t="s">
        <v>18</v>
      </c>
      <c r="AC316" t="s">
        <v>21</v>
      </c>
      <c r="AD316" t="s">
        <v>1578</v>
      </c>
      <c r="AE316" t="s">
        <v>20</v>
      </c>
      <c r="AF316" s="92" t="s">
        <v>988</v>
      </c>
      <c r="AG316" t="s">
        <v>990</v>
      </c>
      <c r="AH316">
        <v>6</v>
      </c>
      <c r="AI316">
        <v>3</v>
      </c>
      <c r="AJ316" s="200">
        <f t="shared" si="55"/>
        <v>240</v>
      </c>
      <c r="AL316" s="179">
        <f t="shared" si="52"/>
        <v>6</v>
      </c>
      <c r="AN316" s="183">
        <f t="shared" si="53"/>
        <v>240000</v>
      </c>
    </row>
    <row r="317" spans="1:40" customFormat="1" ht="20.100000000000001" hidden="1" customHeight="1" x14ac:dyDescent="0.25">
      <c r="A317">
        <v>14445</v>
      </c>
      <c r="B317" t="s">
        <v>98</v>
      </c>
      <c r="C317" t="s">
        <v>41</v>
      </c>
      <c r="D317">
        <v>1</v>
      </c>
      <c r="E317">
        <v>2025</v>
      </c>
      <c r="F317">
        <v>2025</v>
      </c>
      <c r="G317" t="s">
        <v>23</v>
      </c>
      <c r="H317" t="s">
        <v>98</v>
      </c>
      <c r="I317" t="s">
        <v>1175</v>
      </c>
      <c r="J317" t="s">
        <v>391</v>
      </c>
      <c r="K317" t="s">
        <v>987</v>
      </c>
      <c r="L317" t="s">
        <v>21</v>
      </c>
      <c r="M317" t="s">
        <v>21</v>
      </c>
      <c r="O317" t="s">
        <v>706</v>
      </c>
      <c r="P317" t="s">
        <v>754</v>
      </c>
      <c r="Q317" t="s">
        <v>1201</v>
      </c>
      <c r="R317" t="s">
        <v>339</v>
      </c>
      <c r="S317" t="s">
        <v>22</v>
      </c>
      <c r="T317" t="s">
        <v>337</v>
      </c>
      <c r="U317">
        <v>10</v>
      </c>
      <c r="V317">
        <v>24</v>
      </c>
      <c r="W317" t="s">
        <v>21</v>
      </c>
      <c r="X317">
        <v>24</v>
      </c>
      <c r="Y317">
        <v>4</v>
      </c>
      <c r="Z317" t="s">
        <v>20</v>
      </c>
      <c r="AA317" t="s">
        <v>18</v>
      </c>
      <c r="AB317" s="189" t="s">
        <v>18</v>
      </c>
      <c r="AC317" t="s">
        <v>21</v>
      </c>
      <c r="AD317" t="s">
        <v>1580</v>
      </c>
      <c r="AE317" t="s">
        <v>20</v>
      </c>
      <c r="AF317" s="92" t="s">
        <v>988</v>
      </c>
      <c r="AG317" t="s">
        <v>990</v>
      </c>
      <c r="AH317">
        <v>6</v>
      </c>
      <c r="AI317">
        <v>3</v>
      </c>
      <c r="AJ317" s="200">
        <f t="shared" si="55"/>
        <v>240</v>
      </c>
      <c r="AL317" s="179">
        <f t="shared" si="52"/>
        <v>6</v>
      </c>
      <c r="AN317" s="183">
        <f t="shared" si="53"/>
        <v>240000</v>
      </c>
    </row>
    <row r="318" spans="1:40" customFormat="1" ht="20.100000000000001" hidden="1" customHeight="1" x14ac:dyDescent="0.25">
      <c r="A318">
        <v>14452</v>
      </c>
      <c r="B318" t="s">
        <v>98</v>
      </c>
      <c r="C318" t="s">
        <v>41</v>
      </c>
      <c r="D318">
        <v>1</v>
      </c>
      <c r="E318">
        <v>2025</v>
      </c>
      <c r="F318">
        <v>2025</v>
      </c>
      <c r="G318" t="s">
        <v>23</v>
      </c>
      <c r="H318" t="s">
        <v>98</v>
      </c>
      <c r="I318" t="s">
        <v>1175</v>
      </c>
      <c r="J318" t="s">
        <v>391</v>
      </c>
      <c r="K318" t="s">
        <v>987</v>
      </c>
      <c r="L318" t="s">
        <v>21</v>
      </c>
      <c r="M318" t="s">
        <v>21</v>
      </c>
      <c r="O318" t="s">
        <v>798</v>
      </c>
      <c r="P318" t="s">
        <v>1583</v>
      </c>
      <c r="Q318" t="s">
        <v>1201</v>
      </c>
      <c r="R318" t="s">
        <v>339</v>
      </c>
      <c r="S318" t="s">
        <v>22</v>
      </c>
      <c r="T318" t="s">
        <v>337</v>
      </c>
      <c r="U318">
        <v>10</v>
      </c>
      <c r="V318">
        <v>24</v>
      </c>
      <c r="W318" t="s">
        <v>21</v>
      </c>
      <c r="X318">
        <v>24</v>
      </c>
      <c r="Y318">
        <v>4</v>
      </c>
      <c r="Z318" t="s">
        <v>20</v>
      </c>
      <c r="AA318" t="s">
        <v>18</v>
      </c>
      <c r="AB318" s="189" t="s">
        <v>18</v>
      </c>
      <c r="AC318" t="s">
        <v>21</v>
      </c>
      <c r="AD318" t="s">
        <v>1584</v>
      </c>
      <c r="AE318" t="s">
        <v>20</v>
      </c>
      <c r="AF318" s="92" t="s">
        <v>988</v>
      </c>
      <c r="AG318" t="s">
        <v>990</v>
      </c>
      <c r="AH318">
        <v>6</v>
      </c>
      <c r="AI318">
        <v>3</v>
      </c>
      <c r="AJ318" s="200">
        <f t="shared" si="55"/>
        <v>240</v>
      </c>
      <c r="AL318" s="179">
        <f t="shared" si="52"/>
        <v>6</v>
      </c>
      <c r="AN318" s="183">
        <f t="shared" si="53"/>
        <v>240000</v>
      </c>
    </row>
    <row r="319" spans="1:40" customFormat="1" ht="20.100000000000001" hidden="1" customHeight="1" x14ac:dyDescent="0.25">
      <c r="A319">
        <v>14508</v>
      </c>
      <c r="B319" t="s">
        <v>98</v>
      </c>
      <c r="C319" t="s">
        <v>41</v>
      </c>
      <c r="D319">
        <v>1</v>
      </c>
      <c r="E319">
        <v>2025</v>
      </c>
      <c r="F319">
        <v>2025</v>
      </c>
      <c r="G319" t="s">
        <v>23</v>
      </c>
      <c r="H319" t="s">
        <v>98</v>
      </c>
      <c r="I319" t="s">
        <v>1175</v>
      </c>
      <c r="J319" t="s">
        <v>391</v>
      </c>
      <c r="K319" t="s">
        <v>987</v>
      </c>
      <c r="L319" t="s">
        <v>21</v>
      </c>
      <c r="M319" t="s">
        <v>21</v>
      </c>
      <c r="O319" t="s">
        <v>709</v>
      </c>
      <c r="P319" t="s">
        <v>755</v>
      </c>
      <c r="Q319" t="s">
        <v>388</v>
      </c>
      <c r="R319" t="s">
        <v>339</v>
      </c>
      <c r="S319" t="s">
        <v>19</v>
      </c>
      <c r="T319" t="s">
        <v>347</v>
      </c>
      <c r="U319">
        <v>10</v>
      </c>
      <c r="V319">
        <v>24</v>
      </c>
      <c r="W319" t="s">
        <v>21</v>
      </c>
      <c r="X319">
        <v>24</v>
      </c>
      <c r="Y319">
        <v>5</v>
      </c>
      <c r="Z319" t="s">
        <v>20</v>
      </c>
      <c r="AA319" t="s">
        <v>18</v>
      </c>
      <c r="AB319" s="189" t="s">
        <v>18</v>
      </c>
      <c r="AC319" t="s">
        <v>21</v>
      </c>
      <c r="AD319" t="s">
        <v>1587</v>
      </c>
      <c r="AE319" t="s">
        <v>20</v>
      </c>
      <c r="AF319" s="92" t="s">
        <v>988</v>
      </c>
      <c r="AG319" t="s">
        <v>990</v>
      </c>
      <c r="AH319">
        <v>5</v>
      </c>
      <c r="AI319">
        <v>3</v>
      </c>
      <c r="AJ319" s="200">
        <f t="shared" si="55"/>
        <v>240</v>
      </c>
      <c r="AL319" s="179">
        <f t="shared" si="52"/>
        <v>4.8</v>
      </c>
      <c r="AN319" s="183">
        <f t="shared" si="53"/>
        <v>200000</v>
      </c>
    </row>
    <row r="320" spans="1:40" customFormat="1" ht="20.100000000000001" hidden="1" customHeight="1" x14ac:dyDescent="0.25">
      <c r="A320">
        <v>14588</v>
      </c>
      <c r="B320" t="s">
        <v>98</v>
      </c>
      <c r="C320" t="s">
        <v>41</v>
      </c>
      <c r="D320">
        <v>1</v>
      </c>
      <c r="E320">
        <v>2025</v>
      </c>
      <c r="F320">
        <v>2025</v>
      </c>
      <c r="G320" t="s">
        <v>23</v>
      </c>
      <c r="H320" t="s">
        <v>98</v>
      </c>
      <c r="I320" t="s">
        <v>1175</v>
      </c>
      <c r="J320" t="s">
        <v>391</v>
      </c>
      <c r="K320" t="s">
        <v>987</v>
      </c>
      <c r="L320" t="s">
        <v>21</v>
      </c>
      <c r="M320" t="s">
        <v>21</v>
      </c>
      <c r="O320" t="s">
        <v>709</v>
      </c>
      <c r="P320" t="s">
        <v>764</v>
      </c>
      <c r="Q320" t="s">
        <v>388</v>
      </c>
      <c r="R320" t="s">
        <v>339</v>
      </c>
      <c r="S320" t="s">
        <v>22</v>
      </c>
      <c r="T320" t="s">
        <v>337</v>
      </c>
      <c r="U320">
        <v>15</v>
      </c>
      <c r="V320">
        <v>24</v>
      </c>
      <c r="W320" t="s">
        <v>21</v>
      </c>
      <c r="X320">
        <v>24</v>
      </c>
      <c r="Y320">
        <v>4</v>
      </c>
      <c r="Z320" t="s">
        <v>20</v>
      </c>
      <c r="AA320" t="s">
        <v>18</v>
      </c>
      <c r="AB320" s="189" t="s">
        <v>18</v>
      </c>
      <c r="AC320" t="s">
        <v>21</v>
      </c>
      <c r="AD320" t="s">
        <v>2364</v>
      </c>
      <c r="AE320" t="s">
        <v>20</v>
      </c>
      <c r="AF320" s="92" t="s">
        <v>988</v>
      </c>
      <c r="AG320" t="s">
        <v>990</v>
      </c>
      <c r="AH320">
        <v>6</v>
      </c>
      <c r="AI320">
        <v>3</v>
      </c>
      <c r="AJ320" s="200">
        <f t="shared" si="55"/>
        <v>360</v>
      </c>
      <c r="AL320" s="179">
        <f t="shared" si="52"/>
        <v>6</v>
      </c>
      <c r="AN320" s="183">
        <f t="shared" si="53"/>
        <v>360000</v>
      </c>
    </row>
    <row r="321" spans="1:40" customFormat="1" ht="20.100000000000001" hidden="1" customHeight="1" x14ac:dyDescent="0.25">
      <c r="A321">
        <v>14437</v>
      </c>
      <c r="B321" t="s">
        <v>98</v>
      </c>
      <c r="C321" t="s">
        <v>41</v>
      </c>
      <c r="D321">
        <v>1</v>
      </c>
      <c r="E321">
        <v>2025</v>
      </c>
      <c r="F321">
        <v>2025</v>
      </c>
      <c r="G321" t="s">
        <v>23</v>
      </c>
      <c r="H321" t="s">
        <v>98</v>
      </c>
      <c r="I321" t="s">
        <v>1175</v>
      </c>
      <c r="J321" t="s">
        <v>743</v>
      </c>
      <c r="K321" t="s">
        <v>742</v>
      </c>
      <c r="L321" t="s">
        <v>21</v>
      </c>
      <c r="M321" t="s">
        <v>21</v>
      </c>
      <c r="O321" t="s">
        <v>395</v>
      </c>
      <c r="P321" t="s">
        <v>752</v>
      </c>
      <c r="Q321" t="s">
        <v>1201</v>
      </c>
      <c r="R321" t="s">
        <v>339</v>
      </c>
      <c r="S321" t="s">
        <v>22</v>
      </c>
      <c r="T321" t="s">
        <v>337</v>
      </c>
      <c r="U321">
        <v>10</v>
      </c>
      <c r="V321">
        <v>150</v>
      </c>
      <c r="W321" t="s">
        <v>21</v>
      </c>
      <c r="X321">
        <v>150</v>
      </c>
      <c r="Y321">
        <v>4</v>
      </c>
      <c r="Z321" t="s">
        <v>20</v>
      </c>
      <c r="AA321" t="s">
        <v>18</v>
      </c>
      <c r="AB321" s="189" t="s">
        <v>18</v>
      </c>
      <c r="AC321" t="s">
        <v>21</v>
      </c>
      <c r="AD321" s="204" t="s">
        <v>1639</v>
      </c>
      <c r="AE321" t="s">
        <v>20</v>
      </c>
      <c r="AF321" s="92" t="s">
        <v>991</v>
      </c>
      <c r="AG321" t="s">
        <v>990</v>
      </c>
      <c r="AH321">
        <v>38</v>
      </c>
      <c r="AI321">
        <v>3</v>
      </c>
      <c r="AJ321" s="200">
        <f t="shared" si="55"/>
        <v>1500</v>
      </c>
      <c r="AL321" s="179">
        <f t="shared" si="52"/>
        <v>37.5</v>
      </c>
      <c r="AN321" s="183">
        <f t="shared" si="53"/>
        <v>1520000</v>
      </c>
    </row>
    <row r="322" spans="1:40" customFormat="1" ht="20.100000000000001" hidden="1" customHeight="1" x14ac:dyDescent="0.25">
      <c r="A322">
        <v>14261</v>
      </c>
      <c r="B322" t="s">
        <v>98</v>
      </c>
      <c r="C322" t="s">
        <v>41</v>
      </c>
      <c r="D322">
        <v>1</v>
      </c>
      <c r="E322">
        <v>2025</v>
      </c>
      <c r="F322">
        <v>2025</v>
      </c>
      <c r="G322" t="s">
        <v>23</v>
      </c>
      <c r="H322" t="s">
        <v>98</v>
      </c>
      <c r="I322" t="s">
        <v>1175</v>
      </c>
      <c r="J322" t="s">
        <v>1797</v>
      </c>
      <c r="K322" t="s">
        <v>1798</v>
      </c>
      <c r="L322" t="s">
        <v>21</v>
      </c>
      <c r="M322" t="s">
        <v>21</v>
      </c>
      <c r="O322" t="s">
        <v>709</v>
      </c>
      <c r="P322" t="s">
        <v>764</v>
      </c>
      <c r="Q322" t="s">
        <v>388</v>
      </c>
      <c r="R322" t="s">
        <v>339</v>
      </c>
      <c r="S322" t="s">
        <v>19</v>
      </c>
      <c r="T322" t="s">
        <v>393</v>
      </c>
      <c r="U322">
        <v>12</v>
      </c>
      <c r="V322">
        <v>70</v>
      </c>
      <c r="W322" t="s">
        <v>21</v>
      </c>
      <c r="X322">
        <v>70</v>
      </c>
      <c r="Y322">
        <v>4</v>
      </c>
      <c r="Z322" t="s">
        <v>20</v>
      </c>
      <c r="AA322" t="s">
        <v>18</v>
      </c>
      <c r="AB322" s="189" t="s">
        <v>18</v>
      </c>
      <c r="AC322" t="s">
        <v>21</v>
      </c>
      <c r="AD322" t="s">
        <v>1799</v>
      </c>
      <c r="AG322" t="s">
        <v>990</v>
      </c>
      <c r="AH322">
        <v>18</v>
      </c>
      <c r="AI322">
        <v>2</v>
      </c>
      <c r="AJ322" s="200">
        <f t="shared" si="55"/>
        <v>840</v>
      </c>
      <c r="AL322" s="179">
        <f t="shared" si="52"/>
        <v>17.5</v>
      </c>
      <c r="AN322" s="183">
        <f t="shared" si="53"/>
        <v>864000</v>
      </c>
    </row>
    <row r="323" spans="1:40" customFormat="1" ht="20.100000000000001" hidden="1" customHeight="1" x14ac:dyDescent="0.25">
      <c r="A323">
        <v>14501</v>
      </c>
      <c r="B323" t="s">
        <v>98</v>
      </c>
      <c r="C323" t="s">
        <v>41</v>
      </c>
      <c r="D323">
        <v>1</v>
      </c>
      <c r="E323">
        <v>2025</v>
      </c>
      <c r="F323">
        <v>2025</v>
      </c>
      <c r="G323" t="s">
        <v>23</v>
      </c>
      <c r="H323" t="s">
        <v>98</v>
      </c>
      <c r="I323" t="s">
        <v>1175</v>
      </c>
      <c r="J323" t="s">
        <v>1797</v>
      </c>
      <c r="K323" t="s">
        <v>1798</v>
      </c>
      <c r="L323" t="s">
        <v>21</v>
      </c>
      <c r="M323" t="s">
        <v>21</v>
      </c>
      <c r="O323" t="s">
        <v>709</v>
      </c>
      <c r="P323" t="s">
        <v>923</v>
      </c>
      <c r="Q323" t="s">
        <v>388</v>
      </c>
      <c r="R323" t="s">
        <v>339</v>
      </c>
      <c r="S323" t="s">
        <v>19</v>
      </c>
      <c r="T323" t="s">
        <v>347</v>
      </c>
      <c r="U323">
        <v>10</v>
      </c>
      <c r="V323">
        <v>70</v>
      </c>
      <c r="W323" t="s">
        <v>21</v>
      </c>
      <c r="X323">
        <v>70</v>
      </c>
      <c r="Y323">
        <v>5</v>
      </c>
      <c r="Z323" t="s">
        <v>20</v>
      </c>
      <c r="AA323" t="s">
        <v>18</v>
      </c>
      <c r="AB323" s="189" t="s">
        <v>18</v>
      </c>
      <c r="AC323" t="s">
        <v>21</v>
      </c>
      <c r="AD323" t="s">
        <v>1802</v>
      </c>
      <c r="AG323" t="s">
        <v>990</v>
      </c>
      <c r="AH323">
        <v>14</v>
      </c>
      <c r="AI323">
        <v>2</v>
      </c>
      <c r="AJ323" s="200">
        <f t="shared" si="55"/>
        <v>700</v>
      </c>
      <c r="AL323" s="179">
        <f t="shared" ref="AL323:AL386" si="56">+(X323/Y323)</f>
        <v>14</v>
      </c>
      <c r="AN323" s="183">
        <f t="shared" ref="AN323:AN386" si="57">IF(Z323="SI",4000*U323*AH323,0)</f>
        <v>560000</v>
      </c>
    </row>
    <row r="324" spans="1:40" customFormat="1" ht="20.100000000000001" hidden="1" customHeight="1" x14ac:dyDescent="0.25">
      <c r="A324">
        <v>14461</v>
      </c>
      <c r="B324" t="s">
        <v>98</v>
      </c>
      <c r="C324" t="s">
        <v>41</v>
      </c>
      <c r="D324">
        <v>1</v>
      </c>
      <c r="E324">
        <v>2025</v>
      </c>
      <c r="F324">
        <v>2025</v>
      </c>
      <c r="G324" t="s">
        <v>23</v>
      </c>
      <c r="H324" t="s">
        <v>98</v>
      </c>
      <c r="I324" t="s">
        <v>1175</v>
      </c>
      <c r="J324" t="s">
        <v>772</v>
      </c>
      <c r="K324" t="s">
        <v>771</v>
      </c>
      <c r="L324" t="s">
        <v>21</v>
      </c>
      <c r="M324" t="s">
        <v>21</v>
      </c>
      <c r="O324" t="s">
        <v>382</v>
      </c>
      <c r="P324" t="s">
        <v>720</v>
      </c>
      <c r="Q324" t="s">
        <v>1201</v>
      </c>
      <c r="R324" t="s">
        <v>339</v>
      </c>
      <c r="S324" t="s">
        <v>19</v>
      </c>
      <c r="T324" t="s">
        <v>393</v>
      </c>
      <c r="U324">
        <v>12</v>
      </c>
      <c r="V324">
        <v>100</v>
      </c>
      <c r="W324" t="s">
        <v>21</v>
      </c>
      <c r="X324">
        <v>100</v>
      </c>
      <c r="Y324">
        <v>4</v>
      </c>
      <c r="Z324" t="s">
        <v>20</v>
      </c>
      <c r="AA324" t="s">
        <v>18</v>
      </c>
      <c r="AB324" s="189" t="s">
        <v>18</v>
      </c>
      <c r="AC324" t="s">
        <v>21</v>
      </c>
      <c r="AD324" t="s">
        <v>1805</v>
      </c>
      <c r="AG324" t="s">
        <v>990</v>
      </c>
      <c r="AH324">
        <v>25</v>
      </c>
      <c r="AI324">
        <v>2</v>
      </c>
      <c r="AJ324" s="200">
        <f t="shared" si="55"/>
        <v>1200</v>
      </c>
      <c r="AL324" s="179">
        <f t="shared" si="56"/>
        <v>25</v>
      </c>
      <c r="AN324" s="183">
        <f t="shared" si="57"/>
        <v>1200000</v>
      </c>
    </row>
    <row r="325" spans="1:40" customFormat="1" ht="20.100000000000001" hidden="1" customHeight="1" x14ac:dyDescent="0.25">
      <c r="A325">
        <v>14265</v>
      </c>
      <c r="B325" t="s">
        <v>98</v>
      </c>
      <c r="C325" t="s">
        <v>41</v>
      </c>
      <c r="D325">
        <v>1</v>
      </c>
      <c r="E325">
        <v>2025</v>
      </c>
      <c r="F325">
        <v>2025</v>
      </c>
      <c r="G325" t="s">
        <v>23</v>
      </c>
      <c r="H325" t="s">
        <v>98</v>
      </c>
      <c r="I325" t="s">
        <v>1175</v>
      </c>
      <c r="J325" t="s">
        <v>824</v>
      </c>
      <c r="K325" t="s">
        <v>823</v>
      </c>
      <c r="L325" t="s">
        <v>21</v>
      </c>
      <c r="M325" t="s">
        <v>21</v>
      </c>
      <c r="O325" t="s">
        <v>709</v>
      </c>
      <c r="P325" t="s">
        <v>1820</v>
      </c>
      <c r="Q325" t="s">
        <v>1201</v>
      </c>
      <c r="R325" t="s">
        <v>339</v>
      </c>
      <c r="S325" t="s">
        <v>19</v>
      </c>
      <c r="T325" t="s">
        <v>393</v>
      </c>
      <c r="U325">
        <v>10</v>
      </c>
      <c r="V325">
        <v>64</v>
      </c>
      <c r="W325" t="s">
        <v>21</v>
      </c>
      <c r="X325">
        <v>64</v>
      </c>
      <c r="Y325">
        <v>4</v>
      </c>
      <c r="Z325" t="s">
        <v>20</v>
      </c>
      <c r="AA325" t="s">
        <v>18</v>
      </c>
      <c r="AB325" s="189" t="s">
        <v>18</v>
      </c>
      <c r="AC325" t="s">
        <v>21</v>
      </c>
      <c r="AD325" t="s">
        <v>1821</v>
      </c>
      <c r="AG325" t="s">
        <v>990</v>
      </c>
      <c r="AH325">
        <v>16</v>
      </c>
      <c r="AI325">
        <v>2</v>
      </c>
      <c r="AJ325" s="200">
        <f t="shared" si="55"/>
        <v>640</v>
      </c>
      <c r="AL325" s="179">
        <f t="shared" si="56"/>
        <v>16</v>
      </c>
      <c r="AN325" s="183">
        <f t="shared" si="57"/>
        <v>640000</v>
      </c>
    </row>
    <row r="326" spans="1:40" customFormat="1" ht="20.100000000000001" hidden="1" customHeight="1" x14ac:dyDescent="0.25">
      <c r="A326">
        <v>14384</v>
      </c>
      <c r="B326" t="s">
        <v>98</v>
      </c>
      <c r="C326" t="s">
        <v>41</v>
      </c>
      <c r="D326">
        <v>1</v>
      </c>
      <c r="E326">
        <v>2025</v>
      </c>
      <c r="F326">
        <v>2025</v>
      </c>
      <c r="G326" t="s">
        <v>23</v>
      </c>
      <c r="H326" t="s">
        <v>98</v>
      </c>
      <c r="I326" t="s">
        <v>1175</v>
      </c>
      <c r="J326" t="s">
        <v>1181</v>
      </c>
      <c r="K326" t="s">
        <v>1182</v>
      </c>
      <c r="L326" t="s">
        <v>21</v>
      </c>
      <c r="M326" t="s">
        <v>21</v>
      </c>
      <c r="O326" t="s">
        <v>382</v>
      </c>
      <c r="P326" t="s">
        <v>724</v>
      </c>
      <c r="Q326" t="s">
        <v>1178</v>
      </c>
      <c r="R326" t="s">
        <v>339</v>
      </c>
      <c r="S326" t="s">
        <v>22</v>
      </c>
      <c r="T326" t="s">
        <v>348</v>
      </c>
      <c r="U326">
        <v>15</v>
      </c>
      <c r="V326">
        <v>120</v>
      </c>
      <c r="W326" t="s">
        <v>21</v>
      </c>
      <c r="X326">
        <v>120</v>
      </c>
      <c r="Y326">
        <v>4</v>
      </c>
      <c r="Z326" t="s">
        <v>20</v>
      </c>
      <c r="AA326" t="s">
        <v>18</v>
      </c>
      <c r="AB326" s="189" t="s">
        <v>18</v>
      </c>
      <c r="AC326" t="s">
        <v>21</v>
      </c>
      <c r="AD326" t="s">
        <v>1179</v>
      </c>
      <c r="AG326" t="s">
        <v>990</v>
      </c>
      <c r="AH326">
        <v>30</v>
      </c>
      <c r="AI326">
        <v>2</v>
      </c>
      <c r="AJ326" s="200">
        <f t="shared" si="55"/>
        <v>1800</v>
      </c>
      <c r="AL326" s="179">
        <f t="shared" si="56"/>
        <v>30</v>
      </c>
      <c r="AN326" s="183">
        <f t="shared" si="57"/>
        <v>1800000</v>
      </c>
    </row>
    <row r="327" spans="1:40" customFormat="1" ht="20.100000000000001" hidden="1" customHeight="1" x14ac:dyDescent="0.25">
      <c r="A327">
        <v>14264</v>
      </c>
      <c r="B327" t="s">
        <v>98</v>
      </c>
      <c r="C327" t="s">
        <v>41</v>
      </c>
      <c r="D327">
        <v>1</v>
      </c>
      <c r="E327">
        <v>2025</v>
      </c>
      <c r="F327">
        <v>2025</v>
      </c>
      <c r="G327" t="s">
        <v>23</v>
      </c>
      <c r="H327" t="s">
        <v>98</v>
      </c>
      <c r="I327" t="s">
        <v>1175</v>
      </c>
      <c r="J327" t="s">
        <v>1836</v>
      </c>
      <c r="K327" t="s">
        <v>1837</v>
      </c>
      <c r="L327" t="s">
        <v>21</v>
      </c>
      <c r="M327" t="s">
        <v>21</v>
      </c>
      <c r="O327" t="s">
        <v>709</v>
      </c>
      <c r="P327" t="s">
        <v>1820</v>
      </c>
      <c r="Q327" t="s">
        <v>1201</v>
      </c>
      <c r="R327" t="s">
        <v>339</v>
      </c>
      <c r="S327" t="s">
        <v>19</v>
      </c>
      <c r="T327" t="s">
        <v>393</v>
      </c>
      <c r="U327">
        <v>10</v>
      </c>
      <c r="V327">
        <v>80</v>
      </c>
      <c r="W327" t="s">
        <v>21</v>
      </c>
      <c r="X327">
        <v>80</v>
      </c>
      <c r="Y327">
        <v>4</v>
      </c>
      <c r="Z327" t="s">
        <v>20</v>
      </c>
      <c r="AA327" t="s">
        <v>18</v>
      </c>
      <c r="AB327" s="189" t="s">
        <v>18</v>
      </c>
      <c r="AC327" t="s">
        <v>21</v>
      </c>
      <c r="AD327" t="s">
        <v>1838</v>
      </c>
      <c r="AG327" t="s">
        <v>990</v>
      </c>
      <c r="AH327">
        <v>20</v>
      </c>
      <c r="AI327">
        <v>2</v>
      </c>
      <c r="AJ327" s="200">
        <f t="shared" si="55"/>
        <v>800</v>
      </c>
      <c r="AL327" s="179">
        <f t="shared" si="56"/>
        <v>20</v>
      </c>
      <c r="AN327" s="183">
        <f t="shared" si="57"/>
        <v>800000</v>
      </c>
    </row>
    <row r="328" spans="1:40" customFormat="1" ht="20.100000000000001" hidden="1" customHeight="1" x14ac:dyDescent="0.25">
      <c r="A328">
        <v>14500</v>
      </c>
      <c r="B328" t="s">
        <v>98</v>
      </c>
      <c r="C328" t="s">
        <v>41</v>
      </c>
      <c r="D328">
        <v>1</v>
      </c>
      <c r="E328">
        <v>2025</v>
      </c>
      <c r="F328">
        <v>2025</v>
      </c>
      <c r="G328" t="s">
        <v>23</v>
      </c>
      <c r="H328" t="s">
        <v>98</v>
      </c>
      <c r="I328" t="s">
        <v>1175</v>
      </c>
      <c r="J328" t="s">
        <v>1836</v>
      </c>
      <c r="K328" t="s">
        <v>1837</v>
      </c>
      <c r="L328" t="s">
        <v>21</v>
      </c>
      <c r="M328" t="s">
        <v>21</v>
      </c>
      <c r="O328" t="s">
        <v>773</v>
      </c>
      <c r="P328" t="s">
        <v>1842</v>
      </c>
      <c r="Q328" t="s">
        <v>388</v>
      </c>
      <c r="R328" t="s">
        <v>339</v>
      </c>
      <c r="S328" t="s">
        <v>19</v>
      </c>
      <c r="T328" t="s">
        <v>347</v>
      </c>
      <c r="U328">
        <v>10</v>
      </c>
      <c r="V328">
        <v>80</v>
      </c>
      <c r="W328" t="s">
        <v>21</v>
      </c>
      <c r="X328">
        <v>80</v>
      </c>
      <c r="Y328">
        <v>5</v>
      </c>
      <c r="Z328" t="s">
        <v>20</v>
      </c>
      <c r="AA328" t="s">
        <v>18</v>
      </c>
      <c r="AB328" s="189" t="s">
        <v>18</v>
      </c>
      <c r="AC328" t="s">
        <v>21</v>
      </c>
      <c r="AD328" t="s">
        <v>1843</v>
      </c>
      <c r="AG328" t="s">
        <v>990</v>
      </c>
      <c r="AH328">
        <v>16</v>
      </c>
      <c r="AI328">
        <v>2</v>
      </c>
      <c r="AJ328" s="200">
        <f t="shared" si="55"/>
        <v>800</v>
      </c>
      <c r="AL328" s="179">
        <f t="shared" si="56"/>
        <v>16</v>
      </c>
      <c r="AN328" s="183">
        <f t="shared" si="57"/>
        <v>640000</v>
      </c>
    </row>
    <row r="329" spans="1:40" customFormat="1" ht="20.100000000000001" hidden="1" customHeight="1" x14ac:dyDescent="0.25">
      <c r="A329">
        <v>14504</v>
      </c>
      <c r="B329" t="s">
        <v>98</v>
      </c>
      <c r="C329" t="s">
        <v>41</v>
      </c>
      <c r="D329">
        <v>1</v>
      </c>
      <c r="E329">
        <v>2025</v>
      </c>
      <c r="F329">
        <v>2025</v>
      </c>
      <c r="G329" t="s">
        <v>23</v>
      </c>
      <c r="H329" t="s">
        <v>98</v>
      </c>
      <c r="I329" t="s">
        <v>1175</v>
      </c>
      <c r="J329" t="s">
        <v>1847</v>
      </c>
      <c r="K329" t="s">
        <v>1848</v>
      </c>
      <c r="L329" t="s">
        <v>21</v>
      </c>
      <c r="M329" t="s">
        <v>21</v>
      </c>
      <c r="O329" t="s">
        <v>424</v>
      </c>
      <c r="P329" t="s">
        <v>425</v>
      </c>
      <c r="Q329" t="s">
        <v>388</v>
      </c>
      <c r="R329" t="s">
        <v>339</v>
      </c>
      <c r="S329" t="s">
        <v>19</v>
      </c>
      <c r="T329" t="s">
        <v>347</v>
      </c>
      <c r="U329">
        <v>10</v>
      </c>
      <c r="V329">
        <v>36</v>
      </c>
      <c r="W329" t="s">
        <v>21</v>
      </c>
      <c r="X329">
        <v>36</v>
      </c>
      <c r="Y329">
        <v>5</v>
      </c>
      <c r="Z329" t="s">
        <v>20</v>
      </c>
      <c r="AA329" t="s">
        <v>18</v>
      </c>
      <c r="AB329" s="189" t="s">
        <v>18</v>
      </c>
      <c r="AC329" t="s">
        <v>21</v>
      </c>
      <c r="AD329" t="s">
        <v>1849</v>
      </c>
      <c r="AG329" t="s">
        <v>990</v>
      </c>
      <c r="AH329">
        <v>8</v>
      </c>
      <c r="AI329">
        <v>1</v>
      </c>
      <c r="AJ329" s="200">
        <f t="shared" si="55"/>
        <v>360</v>
      </c>
      <c r="AL329" s="179">
        <f t="shared" si="56"/>
        <v>7.2</v>
      </c>
      <c r="AN329" s="183">
        <f t="shared" si="57"/>
        <v>320000</v>
      </c>
    </row>
    <row r="330" spans="1:40" customFormat="1" ht="20.100000000000001" hidden="1" customHeight="1" x14ac:dyDescent="0.25">
      <c r="A330">
        <v>14505</v>
      </c>
      <c r="B330" t="s">
        <v>98</v>
      </c>
      <c r="C330" t="s">
        <v>41</v>
      </c>
      <c r="D330">
        <v>1</v>
      </c>
      <c r="E330">
        <v>2025</v>
      </c>
      <c r="F330">
        <v>2025</v>
      </c>
      <c r="G330" t="s">
        <v>23</v>
      </c>
      <c r="H330" t="s">
        <v>98</v>
      </c>
      <c r="I330" t="s">
        <v>1175</v>
      </c>
      <c r="J330" t="s">
        <v>1847</v>
      </c>
      <c r="K330" t="s">
        <v>1848</v>
      </c>
      <c r="L330" t="s">
        <v>21</v>
      </c>
      <c r="M330" t="s">
        <v>21</v>
      </c>
      <c r="O330" t="s">
        <v>424</v>
      </c>
      <c r="P330" t="s">
        <v>425</v>
      </c>
      <c r="Q330" t="s">
        <v>388</v>
      </c>
      <c r="R330" t="s">
        <v>339</v>
      </c>
      <c r="S330" t="s">
        <v>19</v>
      </c>
      <c r="T330" t="s">
        <v>347</v>
      </c>
      <c r="U330">
        <v>10</v>
      </c>
      <c r="V330">
        <v>36</v>
      </c>
      <c r="W330" t="s">
        <v>21</v>
      </c>
      <c r="X330">
        <v>36</v>
      </c>
      <c r="Y330">
        <v>5</v>
      </c>
      <c r="Z330" t="s">
        <v>20</v>
      </c>
      <c r="AA330" t="s">
        <v>18</v>
      </c>
      <c r="AB330" s="189" t="s">
        <v>18</v>
      </c>
      <c r="AC330" t="s">
        <v>21</v>
      </c>
      <c r="AD330" t="s">
        <v>1849</v>
      </c>
      <c r="AG330" t="s">
        <v>990</v>
      </c>
      <c r="AH330">
        <v>8</v>
      </c>
      <c r="AI330">
        <v>1</v>
      </c>
      <c r="AJ330" s="200">
        <f t="shared" si="55"/>
        <v>360</v>
      </c>
      <c r="AL330" s="179">
        <f t="shared" si="56"/>
        <v>7.2</v>
      </c>
      <c r="AN330" s="183">
        <f t="shared" si="57"/>
        <v>320000</v>
      </c>
    </row>
    <row r="331" spans="1:40" customFormat="1" ht="20.100000000000001" hidden="1" customHeight="1" x14ac:dyDescent="0.25">
      <c r="A331">
        <v>14386</v>
      </c>
      <c r="B331" t="s">
        <v>98</v>
      </c>
      <c r="C331" t="s">
        <v>41</v>
      </c>
      <c r="D331">
        <v>1</v>
      </c>
      <c r="E331">
        <v>2025</v>
      </c>
      <c r="F331">
        <v>2025</v>
      </c>
      <c r="G331" t="s">
        <v>23</v>
      </c>
      <c r="H331" t="s">
        <v>98</v>
      </c>
      <c r="I331" t="s">
        <v>1175</v>
      </c>
      <c r="J331" t="s">
        <v>1183</v>
      </c>
      <c r="K331" t="s">
        <v>1184</v>
      </c>
      <c r="L331" t="s">
        <v>21</v>
      </c>
      <c r="M331" t="s">
        <v>21</v>
      </c>
      <c r="O331" t="s">
        <v>382</v>
      </c>
      <c r="P331" t="s">
        <v>724</v>
      </c>
      <c r="Q331" t="s">
        <v>1178</v>
      </c>
      <c r="R331" t="s">
        <v>339</v>
      </c>
      <c r="S331" t="s">
        <v>22</v>
      </c>
      <c r="T331" t="s">
        <v>348</v>
      </c>
      <c r="U331">
        <v>14</v>
      </c>
      <c r="V331">
        <v>120</v>
      </c>
      <c r="W331" t="s">
        <v>21</v>
      </c>
      <c r="X331">
        <v>120</v>
      </c>
      <c r="Y331">
        <v>4</v>
      </c>
      <c r="Z331" t="s">
        <v>20</v>
      </c>
      <c r="AA331" t="s">
        <v>18</v>
      </c>
      <c r="AB331" s="189" t="s">
        <v>18</v>
      </c>
      <c r="AC331" t="s">
        <v>21</v>
      </c>
      <c r="AD331" t="s">
        <v>1179</v>
      </c>
      <c r="AG331" t="s">
        <v>990</v>
      </c>
      <c r="AH331">
        <v>30</v>
      </c>
      <c r="AI331">
        <v>3</v>
      </c>
      <c r="AJ331" s="200">
        <f t="shared" si="55"/>
        <v>1680</v>
      </c>
      <c r="AL331" s="179">
        <f t="shared" si="56"/>
        <v>30</v>
      </c>
      <c r="AN331" s="183">
        <f t="shared" si="57"/>
        <v>1680000</v>
      </c>
    </row>
    <row r="332" spans="1:40" customFormat="1" ht="20.100000000000001" hidden="1" customHeight="1" x14ac:dyDescent="0.25">
      <c r="A332">
        <v>14432</v>
      </c>
      <c r="B332" t="s">
        <v>98</v>
      </c>
      <c r="C332" t="s">
        <v>41</v>
      </c>
      <c r="D332">
        <v>1</v>
      </c>
      <c r="E332">
        <v>2025</v>
      </c>
      <c r="F332">
        <v>2025</v>
      </c>
      <c r="G332" t="s">
        <v>23</v>
      </c>
      <c r="H332" t="s">
        <v>98</v>
      </c>
      <c r="I332" t="s">
        <v>1175</v>
      </c>
      <c r="J332" t="s">
        <v>740</v>
      </c>
      <c r="K332" t="s">
        <v>739</v>
      </c>
      <c r="L332" t="s">
        <v>21</v>
      </c>
      <c r="M332" t="s">
        <v>21</v>
      </c>
      <c r="O332" t="s">
        <v>709</v>
      </c>
      <c r="P332" t="s">
        <v>755</v>
      </c>
      <c r="Q332" t="s">
        <v>1201</v>
      </c>
      <c r="R332" t="s">
        <v>339</v>
      </c>
      <c r="S332" t="s">
        <v>22</v>
      </c>
      <c r="T332" t="s">
        <v>337</v>
      </c>
      <c r="U332">
        <v>10</v>
      </c>
      <c r="V332">
        <v>160</v>
      </c>
      <c r="W332" t="s">
        <v>21</v>
      </c>
      <c r="X332">
        <v>160</v>
      </c>
      <c r="Y332">
        <v>4</v>
      </c>
      <c r="Z332" t="s">
        <v>20</v>
      </c>
      <c r="AA332" t="s">
        <v>18</v>
      </c>
      <c r="AB332" s="189" t="s">
        <v>18</v>
      </c>
      <c r="AC332" t="s">
        <v>21</v>
      </c>
      <c r="AD332" t="s">
        <v>1622</v>
      </c>
      <c r="AE332" t="s">
        <v>20</v>
      </c>
      <c r="AF332" s="92" t="s">
        <v>996</v>
      </c>
      <c r="AG332" t="s">
        <v>990</v>
      </c>
      <c r="AH332">
        <v>40</v>
      </c>
      <c r="AI332">
        <v>3</v>
      </c>
      <c r="AJ332" s="200">
        <f t="shared" si="55"/>
        <v>1600</v>
      </c>
      <c r="AL332" s="179">
        <f t="shared" si="56"/>
        <v>40</v>
      </c>
      <c r="AN332" s="183">
        <f t="shared" si="57"/>
        <v>1600000</v>
      </c>
    </row>
    <row r="333" spans="1:40" customFormat="1" ht="20.100000000000001" hidden="1" customHeight="1" x14ac:dyDescent="0.25">
      <c r="A333">
        <v>14586</v>
      </c>
      <c r="B333" t="s">
        <v>98</v>
      </c>
      <c r="C333" t="s">
        <v>41</v>
      </c>
      <c r="D333">
        <v>1</v>
      </c>
      <c r="E333">
        <v>2025</v>
      </c>
      <c r="F333">
        <v>2025</v>
      </c>
      <c r="G333" t="s">
        <v>23</v>
      </c>
      <c r="H333" t="s">
        <v>98</v>
      </c>
      <c r="I333" t="s">
        <v>1175</v>
      </c>
      <c r="J333" t="s">
        <v>740</v>
      </c>
      <c r="K333" t="s">
        <v>739</v>
      </c>
      <c r="L333" t="s">
        <v>21</v>
      </c>
      <c r="M333" t="s">
        <v>21</v>
      </c>
      <c r="O333" t="s">
        <v>395</v>
      </c>
      <c r="P333" t="s">
        <v>396</v>
      </c>
      <c r="Q333" t="s">
        <v>1201</v>
      </c>
      <c r="R333" t="s">
        <v>339</v>
      </c>
      <c r="S333" t="s">
        <v>22</v>
      </c>
      <c r="T333" t="s">
        <v>347</v>
      </c>
      <c r="U333">
        <v>15</v>
      </c>
      <c r="V333">
        <v>160</v>
      </c>
      <c r="W333" t="s">
        <v>21</v>
      </c>
      <c r="X333">
        <v>160</v>
      </c>
      <c r="Y333">
        <v>4</v>
      </c>
      <c r="Z333" t="s">
        <v>20</v>
      </c>
      <c r="AA333" t="s">
        <v>18</v>
      </c>
      <c r="AB333" s="189" t="s">
        <v>18</v>
      </c>
      <c r="AC333" t="s">
        <v>21</v>
      </c>
      <c r="AD333" t="s">
        <v>1626</v>
      </c>
      <c r="AE333" t="s">
        <v>20</v>
      </c>
      <c r="AF333" s="92" t="s">
        <v>996</v>
      </c>
      <c r="AG333" t="s">
        <v>990</v>
      </c>
      <c r="AH333">
        <v>40</v>
      </c>
      <c r="AI333">
        <v>3</v>
      </c>
      <c r="AJ333" s="200">
        <f t="shared" si="55"/>
        <v>2400</v>
      </c>
      <c r="AL333" s="179">
        <f t="shared" si="56"/>
        <v>40</v>
      </c>
      <c r="AN333" s="183">
        <f t="shared" si="57"/>
        <v>2400000</v>
      </c>
    </row>
    <row r="334" spans="1:40" customFormat="1" ht="20.100000000000001" hidden="1" customHeight="1" x14ac:dyDescent="0.25">
      <c r="A334">
        <v>14387</v>
      </c>
      <c r="B334" t="s">
        <v>98</v>
      </c>
      <c r="C334" t="s">
        <v>41</v>
      </c>
      <c r="D334">
        <v>1</v>
      </c>
      <c r="E334">
        <v>2025</v>
      </c>
      <c r="F334">
        <v>2025</v>
      </c>
      <c r="G334" t="s">
        <v>23</v>
      </c>
      <c r="H334" t="s">
        <v>98</v>
      </c>
      <c r="I334" t="s">
        <v>1175</v>
      </c>
      <c r="J334" t="s">
        <v>1199</v>
      </c>
      <c r="K334" t="s">
        <v>1200</v>
      </c>
      <c r="L334" t="s">
        <v>21</v>
      </c>
      <c r="M334" t="s">
        <v>21</v>
      </c>
      <c r="O334" t="s">
        <v>382</v>
      </c>
      <c r="P334" t="s">
        <v>724</v>
      </c>
      <c r="Q334" t="s">
        <v>1201</v>
      </c>
      <c r="R334" t="s">
        <v>339</v>
      </c>
      <c r="S334" t="s">
        <v>22</v>
      </c>
      <c r="T334" t="s">
        <v>348</v>
      </c>
      <c r="U334">
        <v>14</v>
      </c>
      <c r="V334">
        <v>240</v>
      </c>
      <c r="W334" t="s">
        <v>21</v>
      </c>
      <c r="X334" s="205">
        <v>240</v>
      </c>
      <c r="Y334" s="205">
        <v>4</v>
      </c>
      <c r="Z334" t="s">
        <v>20</v>
      </c>
      <c r="AA334" t="s">
        <v>18</v>
      </c>
      <c r="AB334" s="189" t="s">
        <v>18</v>
      </c>
      <c r="AC334" t="s">
        <v>21</v>
      </c>
      <c r="AD334" t="s">
        <v>1202</v>
      </c>
      <c r="AE334" t="s">
        <v>20</v>
      </c>
      <c r="AF334" t="s">
        <v>2365</v>
      </c>
      <c r="AG334" t="s">
        <v>990</v>
      </c>
      <c r="AH334" s="205">
        <v>60</v>
      </c>
      <c r="AI334">
        <v>3</v>
      </c>
      <c r="AJ334" s="200">
        <f t="shared" si="55"/>
        <v>3360</v>
      </c>
      <c r="AL334" s="179">
        <f t="shared" si="56"/>
        <v>60</v>
      </c>
      <c r="AN334" s="183">
        <f t="shared" si="57"/>
        <v>3360000</v>
      </c>
    </row>
    <row r="335" spans="1:40" customFormat="1" ht="20.100000000000001" hidden="1" customHeight="1" x14ac:dyDescent="0.25">
      <c r="A335">
        <v>14483</v>
      </c>
      <c r="B335" t="s">
        <v>98</v>
      </c>
      <c r="C335" t="s">
        <v>41</v>
      </c>
      <c r="D335">
        <v>1</v>
      </c>
      <c r="E335">
        <v>2025</v>
      </c>
      <c r="F335">
        <v>2025</v>
      </c>
      <c r="G335" t="s">
        <v>23</v>
      </c>
      <c r="H335" t="s">
        <v>98</v>
      </c>
      <c r="I335" t="s">
        <v>1175</v>
      </c>
      <c r="J335" t="s">
        <v>1885</v>
      </c>
      <c r="K335" t="s">
        <v>1886</v>
      </c>
      <c r="L335" t="s">
        <v>21</v>
      </c>
      <c r="M335" t="s">
        <v>21</v>
      </c>
      <c r="O335" t="s">
        <v>382</v>
      </c>
      <c r="P335" t="s">
        <v>1887</v>
      </c>
      <c r="Q335" t="s">
        <v>841</v>
      </c>
      <c r="R335" t="s">
        <v>339</v>
      </c>
      <c r="S335" t="s">
        <v>19</v>
      </c>
      <c r="T335" t="s">
        <v>347</v>
      </c>
      <c r="U335">
        <v>15</v>
      </c>
      <c r="V335">
        <v>130</v>
      </c>
      <c r="W335" t="s">
        <v>21</v>
      </c>
      <c r="X335">
        <v>130</v>
      </c>
      <c r="Y335">
        <v>4</v>
      </c>
      <c r="Z335" t="s">
        <v>20</v>
      </c>
      <c r="AA335" t="s">
        <v>18</v>
      </c>
      <c r="AB335" s="189" t="s">
        <v>18</v>
      </c>
      <c r="AC335" t="s">
        <v>21</v>
      </c>
      <c r="AD335" t="s">
        <v>1888</v>
      </c>
      <c r="AG335" t="s">
        <v>990</v>
      </c>
      <c r="AH335">
        <v>33</v>
      </c>
      <c r="AI335">
        <v>2</v>
      </c>
      <c r="AJ335" s="200">
        <f t="shared" si="55"/>
        <v>1950</v>
      </c>
      <c r="AL335" s="179">
        <f t="shared" si="56"/>
        <v>32.5</v>
      </c>
      <c r="AN335" s="183">
        <f t="shared" si="57"/>
        <v>1980000</v>
      </c>
    </row>
    <row r="336" spans="1:40" customFormat="1" ht="20.100000000000001" hidden="1" customHeight="1" x14ac:dyDescent="0.25">
      <c r="A336">
        <v>14392</v>
      </c>
      <c r="B336" t="s">
        <v>98</v>
      </c>
      <c r="C336" t="s">
        <v>41</v>
      </c>
      <c r="D336">
        <v>1</v>
      </c>
      <c r="E336">
        <v>2025</v>
      </c>
      <c r="F336">
        <v>2025</v>
      </c>
      <c r="G336" t="s">
        <v>23</v>
      </c>
      <c r="H336" t="s">
        <v>98</v>
      </c>
      <c r="I336" t="s">
        <v>1175</v>
      </c>
      <c r="J336" t="s">
        <v>1889</v>
      </c>
      <c r="K336" t="s">
        <v>1890</v>
      </c>
      <c r="L336" t="s">
        <v>21</v>
      </c>
      <c r="M336" t="s">
        <v>21</v>
      </c>
      <c r="O336" t="s">
        <v>395</v>
      </c>
      <c r="P336" t="s">
        <v>1007</v>
      </c>
      <c r="Q336" t="s">
        <v>409</v>
      </c>
      <c r="R336" t="s">
        <v>339</v>
      </c>
      <c r="S336" t="s">
        <v>22</v>
      </c>
      <c r="T336" t="s">
        <v>713</v>
      </c>
      <c r="U336">
        <v>12</v>
      </c>
      <c r="V336">
        <v>136</v>
      </c>
      <c r="W336" t="s">
        <v>21</v>
      </c>
      <c r="X336">
        <v>136</v>
      </c>
      <c r="Y336">
        <v>5</v>
      </c>
      <c r="Z336" t="s">
        <v>20</v>
      </c>
      <c r="AA336" t="s">
        <v>18</v>
      </c>
      <c r="AB336" s="189" t="s">
        <v>18</v>
      </c>
      <c r="AC336" t="s">
        <v>21</v>
      </c>
      <c r="AD336" t="s">
        <v>1891</v>
      </c>
      <c r="AG336" t="s">
        <v>990</v>
      </c>
      <c r="AH336">
        <v>28</v>
      </c>
      <c r="AI336">
        <v>1</v>
      </c>
      <c r="AJ336" s="200">
        <f t="shared" si="55"/>
        <v>1632</v>
      </c>
      <c r="AL336" s="179">
        <f t="shared" si="56"/>
        <v>27.2</v>
      </c>
      <c r="AN336" s="183">
        <f t="shared" si="57"/>
        <v>1344000</v>
      </c>
    </row>
    <row r="337" spans="1:40" customFormat="1" ht="20.100000000000001" hidden="1" customHeight="1" x14ac:dyDescent="0.25">
      <c r="A337">
        <v>14388</v>
      </c>
      <c r="B337" t="s">
        <v>98</v>
      </c>
      <c r="C337" t="s">
        <v>41</v>
      </c>
      <c r="D337">
        <v>1</v>
      </c>
      <c r="E337">
        <v>2025</v>
      </c>
      <c r="F337">
        <v>2025</v>
      </c>
      <c r="G337" t="s">
        <v>23</v>
      </c>
      <c r="H337" t="s">
        <v>98</v>
      </c>
      <c r="I337" t="s">
        <v>1175</v>
      </c>
      <c r="J337" t="s">
        <v>1185</v>
      </c>
      <c r="K337" t="s">
        <v>1186</v>
      </c>
      <c r="L337" t="s">
        <v>21</v>
      </c>
      <c r="M337" t="s">
        <v>21</v>
      </c>
      <c r="O337" t="s">
        <v>382</v>
      </c>
      <c r="P337" t="s">
        <v>724</v>
      </c>
      <c r="Q337" t="s">
        <v>1178</v>
      </c>
      <c r="R337" t="s">
        <v>339</v>
      </c>
      <c r="S337" t="s">
        <v>22</v>
      </c>
      <c r="T337" t="s">
        <v>348</v>
      </c>
      <c r="U337">
        <v>16</v>
      </c>
      <c r="V337">
        <v>80</v>
      </c>
      <c r="W337" t="s">
        <v>21</v>
      </c>
      <c r="X337">
        <v>80</v>
      </c>
      <c r="Y337">
        <v>4</v>
      </c>
      <c r="Z337" t="s">
        <v>20</v>
      </c>
      <c r="AA337" t="s">
        <v>18</v>
      </c>
      <c r="AB337" s="189" t="s">
        <v>18</v>
      </c>
      <c r="AC337" t="s">
        <v>21</v>
      </c>
      <c r="AD337" t="s">
        <v>1179</v>
      </c>
      <c r="AG337" t="s">
        <v>990</v>
      </c>
      <c r="AH337">
        <v>20</v>
      </c>
      <c r="AI337">
        <v>3</v>
      </c>
      <c r="AJ337" s="200">
        <f t="shared" si="55"/>
        <v>1280</v>
      </c>
      <c r="AL337" s="179">
        <f t="shared" si="56"/>
        <v>20</v>
      </c>
      <c r="AN337" s="183">
        <f t="shared" si="57"/>
        <v>1280000</v>
      </c>
    </row>
    <row r="338" spans="1:40" customFormat="1" ht="20.100000000000001" hidden="1" customHeight="1" x14ac:dyDescent="0.25">
      <c r="A338">
        <v>14503</v>
      </c>
      <c r="B338" t="s">
        <v>98</v>
      </c>
      <c r="C338" t="s">
        <v>41</v>
      </c>
      <c r="D338">
        <v>1</v>
      </c>
      <c r="E338">
        <v>2025</v>
      </c>
      <c r="F338">
        <v>2025</v>
      </c>
      <c r="G338" t="s">
        <v>23</v>
      </c>
      <c r="H338" t="s">
        <v>98</v>
      </c>
      <c r="I338" t="s">
        <v>1175</v>
      </c>
      <c r="J338" t="s">
        <v>1892</v>
      </c>
      <c r="K338" t="s">
        <v>1893</v>
      </c>
      <c r="L338" t="s">
        <v>21</v>
      </c>
      <c r="M338" t="s">
        <v>21</v>
      </c>
      <c r="O338" t="s">
        <v>706</v>
      </c>
      <c r="P338" t="s">
        <v>1894</v>
      </c>
      <c r="Q338" t="s">
        <v>388</v>
      </c>
      <c r="R338" t="s">
        <v>339</v>
      </c>
      <c r="S338" t="s">
        <v>19</v>
      </c>
      <c r="T338" t="s">
        <v>347</v>
      </c>
      <c r="U338">
        <v>10</v>
      </c>
      <c r="V338">
        <v>72</v>
      </c>
      <c r="W338" t="s">
        <v>21</v>
      </c>
      <c r="X338">
        <v>72</v>
      </c>
      <c r="Y338">
        <v>5</v>
      </c>
      <c r="Z338" t="s">
        <v>20</v>
      </c>
      <c r="AA338" t="s">
        <v>18</v>
      </c>
      <c r="AB338" s="189" t="s">
        <v>18</v>
      </c>
      <c r="AC338" t="s">
        <v>21</v>
      </c>
      <c r="AD338" t="s">
        <v>1895</v>
      </c>
      <c r="AG338" t="s">
        <v>990</v>
      </c>
      <c r="AH338">
        <v>15</v>
      </c>
      <c r="AI338">
        <v>2</v>
      </c>
      <c r="AJ338" s="200">
        <f t="shared" si="55"/>
        <v>720</v>
      </c>
      <c r="AL338" s="179">
        <f t="shared" si="56"/>
        <v>14.4</v>
      </c>
      <c r="AN338" s="183">
        <f t="shared" si="57"/>
        <v>600000</v>
      </c>
    </row>
    <row r="339" spans="1:40" customFormat="1" ht="20.100000000000001" hidden="1" customHeight="1" x14ac:dyDescent="0.25">
      <c r="A339">
        <v>14449</v>
      </c>
      <c r="B339" t="s">
        <v>98</v>
      </c>
      <c r="C339" t="s">
        <v>41</v>
      </c>
      <c r="D339">
        <v>1</v>
      </c>
      <c r="E339">
        <v>2025</v>
      </c>
      <c r="F339">
        <v>2025</v>
      </c>
      <c r="G339" t="s">
        <v>23</v>
      </c>
      <c r="H339" t="s">
        <v>98</v>
      </c>
      <c r="I339" t="s">
        <v>1175</v>
      </c>
      <c r="J339" t="s">
        <v>741</v>
      </c>
      <c r="K339" t="s">
        <v>357</v>
      </c>
      <c r="L339" t="s">
        <v>21</v>
      </c>
      <c r="M339" t="s">
        <v>21</v>
      </c>
      <c r="O339" t="s">
        <v>709</v>
      </c>
      <c r="P339" t="s">
        <v>1539</v>
      </c>
      <c r="Q339" t="s">
        <v>1201</v>
      </c>
      <c r="R339" t="s">
        <v>339</v>
      </c>
      <c r="S339" t="s">
        <v>22</v>
      </c>
      <c r="T339" t="s">
        <v>337</v>
      </c>
      <c r="U339">
        <v>10</v>
      </c>
      <c r="V339">
        <v>90</v>
      </c>
      <c r="W339" t="s">
        <v>21</v>
      </c>
      <c r="X339">
        <v>90</v>
      </c>
      <c r="Y339">
        <v>4</v>
      </c>
      <c r="Z339" t="s">
        <v>20</v>
      </c>
      <c r="AA339" t="s">
        <v>18</v>
      </c>
      <c r="AB339" s="189" t="s">
        <v>18</v>
      </c>
      <c r="AC339" t="s">
        <v>21</v>
      </c>
      <c r="AD339" t="s">
        <v>1540</v>
      </c>
      <c r="AE339" t="s">
        <v>20</v>
      </c>
      <c r="AF339" s="92" t="s">
        <v>2366</v>
      </c>
      <c r="AG339" t="s">
        <v>990</v>
      </c>
      <c r="AH339">
        <v>23</v>
      </c>
      <c r="AI339">
        <v>3</v>
      </c>
      <c r="AJ339" s="200">
        <f t="shared" si="55"/>
        <v>900</v>
      </c>
      <c r="AL339" s="179">
        <f t="shared" si="56"/>
        <v>22.5</v>
      </c>
      <c r="AN339" s="183">
        <f t="shared" si="57"/>
        <v>920000</v>
      </c>
    </row>
    <row r="340" spans="1:40" customFormat="1" ht="20.100000000000001" hidden="1" customHeight="1" x14ac:dyDescent="0.25">
      <c r="A340">
        <v>14341</v>
      </c>
      <c r="B340" t="s">
        <v>98</v>
      </c>
      <c r="C340" t="s">
        <v>41</v>
      </c>
      <c r="D340">
        <v>1</v>
      </c>
      <c r="E340">
        <v>2025</v>
      </c>
      <c r="F340">
        <v>2025</v>
      </c>
      <c r="G340" t="s">
        <v>23</v>
      </c>
      <c r="H340" t="s">
        <v>98</v>
      </c>
      <c r="I340" t="s">
        <v>1175</v>
      </c>
      <c r="J340" t="s">
        <v>741</v>
      </c>
      <c r="K340" t="s">
        <v>357</v>
      </c>
      <c r="L340" t="s">
        <v>875</v>
      </c>
      <c r="M340" t="s">
        <v>874</v>
      </c>
      <c r="O340" t="s">
        <v>382</v>
      </c>
      <c r="P340" t="s">
        <v>416</v>
      </c>
      <c r="Q340" t="s">
        <v>1201</v>
      </c>
      <c r="R340" t="s">
        <v>339</v>
      </c>
      <c r="S340" t="s">
        <v>22</v>
      </c>
      <c r="T340" t="s">
        <v>347</v>
      </c>
      <c r="U340">
        <v>10</v>
      </c>
      <c r="V340">
        <v>90</v>
      </c>
      <c r="W340">
        <v>8</v>
      </c>
      <c r="X340">
        <v>98</v>
      </c>
      <c r="Y340">
        <v>3</v>
      </c>
      <c r="Z340" t="s">
        <v>20</v>
      </c>
      <c r="AA340" t="s">
        <v>18</v>
      </c>
      <c r="AB340" s="189" t="s">
        <v>18</v>
      </c>
      <c r="AC340" t="s">
        <v>21</v>
      </c>
      <c r="AD340" t="s">
        <v>1546</v>
      </c>
      <c r="AE340" t="s">
        <v>20</v>
      </c>
      <c r="AF340" s="92" t="s">
        <v>2366</v>
      </c>
      <c r="AG340" t="s">
        <v>990</v>
      </c>
      <c r="AH340">
        <v>33</v>
      </c>
      <c r="AI340">
        <v>3</v>
      </c>
      <c r="AJ340" s="200">
        <f t="shared" si="55"/>
        <v>980</v>
      </c>
      <c r="AL340" s="179">
        <f t="shared" si="56"/>
        <v>32.666666666666664</v>
      </c>
      <c r="AN340" s="183">
        <f t="shared" si="57"/>
        <v>1320000</v>
      </c>
    </row>
    <row r="341" spans="1:40" customFormat="1" ht="20.100000000000001" hidden="1" customHeight="1" x14ac:dyDescent="0.25">
      <c r="A341">
        <v>14585</v>
      </c>
      <c r="B341" t="s">
        <v>98</v>
      </c>
      <c r="C341" t="s">
        <v>41</v>
      </c>
      <c r="D341">
        <v>1</v>
      </c>
      <c r="E341">
        <v>2025</v>
      </c>
      <c r="F341">
        <v>2025</v>
      </c>
      <c r="G341" t="s">
        <v>23</v>
      </c>
      <c r="H341" t="s">
        <v>98</v>
      </c>
      <c r="I341" t="s">
        <v>1175</v>
      </c>
      <c r="J341" t="s">
        <v>993</v>
      </c>
      <c r="K341" t="s">
        <v>994</v>
      </c>
      <c r="L341" t="s">
        <v>21</v>
      </c>
      <c r="M341" t="s">
        <v>21</v>
      </c>
      <c r="O341" t="s">
        <v>395</v>
      </c>
      <c r="P341" t="s">
        <v>1916</v>
      </c>
      <c r="Q341" t="s">
        <v>1201</v>
      </c>
      <c r="R341" t="s">
        <v>339</v>
      </c>
      <c r="S341" t="s">
        <v>22</v>
      </c>
      <c r="T341" t="s">
        <v>337</v>
      </c>
      <c r="U341">
        <v>10</v>
      </c>
      <c r="V341">
        <v>108</v>
      </c>
      <c r="W341" t="s">
        <v>21</v>
      </c>
      <c r="X341">
        <v>108</v>
      </c>
      <c r="Y341">
        <v>4</v>
      </c>
      <c r="Z341" t="s">
        <v>20</v>
      </c>
      <c r="AA341" t="s">
        <v>18</v>
      </c>
      <c r="AB341" s="189" t="s">
        <v>18</v>
      </c>
      <c r="AC341" t="s">
        <v>21</v>
      </c>
      <c r="AD341" t="s">
        <v>1917</v>
      </c>
      <c r="AG341" t="s">
        <v>990</v>
      </c>
      <c r="AH341">
        <v>27</v>
      </c>
      <c r="AI341">
        <v>3</v>
      </c>
      <c r="AJ341" s="200">
        <f t="shared" si="55"/>
        <v>1080</v>
      </c>
      <c r="AL341" s="179">
        <f t="shared" si="56"/>
        <v>27</v>
      </c>
      <c r="AN341" s="183">
        <f t="shared" si="57"/>
        <v>1080000</v>
      </c>
    </row>
    <row r="342" spans="1:40" customFormat="1" ht="20.100000000000001" hidden="1" customHeight="1" x14ac:dyDescent="0.25">
      <c r="A342">
        <v>14223</v>
      </c>
      <c r="B342" t="s">
        <v>98</v>
      </c>
      <c r="C342" t="s">
        <v>41</v>
      </c>
      <c r="D342">
        <v>1</v>
      </c>
      <c r="E342">
        <v>2025</v>
      </c>
      <c r="F342">
        <v>2025</v>
      </c>
      <c r="G342" t="s">
        <v>23</v>
      </c>
      <c r="H342" t="s">
        <v>98</v>
      </c>
      <c r="I342" t="s">
        <v>1175</v>
      </c>
      <c r="J342" t="s">
        <v>869</v>
      </c>
      <c r="K342" t="s">
        <v>868</v>
      </c>
      <c r="L342" t="s">
        <v>21</v>
      </c>
      <c r="M342" t="s">
        <v>21</v>
      </c>
      <c r="O342" t="s">
        <v>709</v>
      </c>
      <c r="P342" t="s">
        <v>764</v>
      </c>
      <c r="Q342" t="s">
        <v>388</v>
      </c>
      <c r="R342" t="s">
        <v>339</v>
      </c>
      <c r="S342" t="s">
        <v>19</v>
      </c>
      <c r="T342" t="s">
        <v>337</v>
      </c>
      <c r="U342">
        <v>10</v>
      </c>
      <c r="V342">
        <v>176</v>
      </c>
      <c r="W342" t="s">
        <v>21</v>
      </c>
      <c r="X342">
        <v>176</v>
      </c>
      <c r="Y342">
        <v>4</v>
      </c>
      <c r="Z342" t="s">
        <v>20</v>
      </c>
      <c r="AA342" t="s">
        <v>18</v>
      </c>
      <c r="AB342" s="189" t="s">
        <v>18</v>
      </c>
      <c r="AC342" t="s">
        <v>21</v>
      </c>
      <c r="AD342" t="s">
        <v>1498</v>
      </c>
      <c r="AE342" t="s">
        <v>20</v>
      </c>
      <c r="AF342" s="92" t="s">
        <v>995</v>
      </c>
      <c r="AG342" t="s">
        <v>990</v>
      </c>
      <c r="AH342">
        <v>44</v>
      </c>
      <c r="AI342">
        <v>2</v>
      </c>
      <c r="AJ342" s="200">
        <f t="shared" si="55"/>
        <v>1760</v>
      </c>
      <c r="AL342" s="179">
        <f t="shared" si="56"/>
        <v>44</v>
      </c>
      <c r="AN342" s="183">
        <f t="shared" si="57"/>
        <v>1760000</v>
      </c>
    </row>
    <row r="343" spans="1:40" customFormat="1" ht="20.100000000000001" hidden="1" customHeight="1" x14ac:dyDescent="0.25">
      <c r="A343">
        <v>14476</v>
      </c>
      <c r="B343" t="s">
        <v>98</v>
      </c>
      <c r="C343" t="s">
        <v>41</v>
      </c>
      <c r="D343">
        <v>1</v>
      </c>
      <c r="E343">
        <v>2025</v>
      </c>
      <c r="F343">
        <v>2025</v>
      </c>
      <c r="G343" t="s">
        <v>23</v>
      </c>
      <c r="H343" t="s">
        <v>98</v>
      </c>
      <c r="I343" t="s">
        <v>1175</v>
      </c>
      <c r="J343" t="s">
        <v>1941</v>
      </c>
      <c r="K343" t="s">
        <v>992</v>
      </c>
      <c r="L343" t="s">
        <v>21</v>
      </c>
      <c r="M343" t="s">
        <v>21</v>
      </c>
      <c r="O343" t="s">
        <v>382</v>
      </c>
      <c r="P343" t="s">
        <v>724</v>
      </c>
      <c r="Q343" t="s">
        <v>388</v>
      </c>
      <c r="R343" t="s">
        <v>339</v>
      </c>
      <c r="S343" t="s">
        <v>22</v>
      </c>
      <c r="T343" t="s">
        <v>861</v>
      </c>
      <c r="U343">
        <v>15</v>
      </c>
      <c r="V343">
        <v>125</v>
      </c>
      <c r="W343" t="s">
        <v>21</v>
      </c>
      <c r="X343">
        <v>125</v>
      </c>
      <c r="Y343">
        <v>4</v>
      </c>
      <c r="Z343" t="s">
        <v>20</v>
      </c>
      <c r="AA343" t="s">
        <v>18</v>
      </c>
      <c r="AB343" s="189" t="s">
        <v>18</v>
      </c>
      <c r="AC343" t="s">
        <v>2367</v>
      </c>
      <c r="AD343" t="s">
        <v>1943</v>
      </c>
      <c r="AG343" t="s">
        <v>990</v>
      </c>
      <c r="AH343">
        <v>32</v>
      </c>
      <c r="AI343">
        <v>2</v>
      </c>
      <c r="AJ343" s="200">
        <f t="shared" si="55"/>
        <v>1875</v>
      </c>
      <c r="AL343" s="179">
        <f t="shared" si="56"/>
        <v>31.25</v>
      </c>
      <c r="AN343" s="183">
        <f t="shared" si="57"/>
        <v>1920000</v>
      </c>
    </row>
    <row r="344" spans="1:40" customFormat="1" ht="20.100000000000001" hidden="1" customHeight="1" x14ac:dyDescent="0.25">
      <c r="A344">
        <v>14477</v>
      </c>
      <c r="B344" t="s">
        <v>98</v>
      </c>
      <c r="C344" t="s">
        <v>41</v>
      </c>
      <c r="D344">
        <v>1</v>
      </c>
      <c r="E344">
        <v>2025</v>
      </c>
      <c r="F344">
        <v>2025</v>
      </c>
      <c r="G344" t="s">
        <v>23</v>
      </c>
      <c r="H344" t="s">
        <v>98</v>
      </c>
      <c r="I344" t="s">
        <v>1175</v>
      </c>
      <c r="J344" t="s">
        <v>1944</v>
      </c>
      <c r="K344" t="s">
        <v>992</v>
      </c>
      <c r="L344" t="s">
        <v>21</v>
      </c>
      <c r="M344" t="s">
        <v>21</v>
      </c>
      <c r="O344" t="s">
        <v>382</v>
      </c>
      <c r="P344" t="s">
        <v>724</v>
      </c>
      <c r="Q344" t="s">
        <v>409</v>
      </c>
      <c r="R344" t="s">
        <v>339</v>
      </c>
      <c r="S344" t="s">
        <v>22</v>
      </c>
      <c r="T344" t="s">
        <v>861</v>
      </c>
      <c r="U344">
        <v>15</v>
      </c>
      <c r="V344">
        <v>150</v>
      </c>
      <c r="W344" t="s">
        <v>21</v>
      </c>
      <c r="X344" s="205">
        <v>150</v>
      </c>
      <c r="Y344" s="205">
        <v>5</v>
      </c>
      <c r="Z344" t="s">
        <v>20</v>
      </c>
      <c r="AA344" t="s">
        <v>18</v>
      </c>
      <c r="AB344" s="189" t="s">
        <v>18</v>
      </c>
      <c r="AC344" t="s">
        <v>1945</v>
      </c>
      <c r="AD344" t="s">
        <v>2368</v>
      </c>
      <c r="AG344" t="s">
        <v>990</v>
      </c>
      <c r="AH344" s="205">
        <v>30</v>
      </c>
      <c r="AI344">
        <v>2</v>
      </c>
      <c r="AJ344" s="200">
        <f t="shared" si="55"/>
        <v>2250</v>
      </c>
      <c r="AL344" s="179">
        <f t="shared" si="56"/>
        <v>30</v>
      </c>
      <c r="AN344" s="183">
        <f t="shared" si="57"/>
        <v>1800000</v>
      </c>
    </row>
    <row r="345" spans="1:40" customFormat="1" ht="20.100000000000001" hidden="1" customHeight="1" x14ac:dyDescent="0.25">
      <c r="A345">
        <v>14296</v>
      </c>
      <c r="B345" t="s">
        <v>98</v>
      </c>
      <c r="C345" t="s">
        <v>41</v>
      </c>
      <c r="D345">
        <v>1</v>
      </c>
      <c r="E345">
        <v>2025</v>
      </c>
      <c r="F345">
        <v>2025</v>
      </c>
      <c r="G345" t="s">
        <v>23</v>
      </c>
      <c r="H345" t="s">
        <v>98</v>
      </c>
      <c r="I345" t="s">
        <v>1175</v>
      </c>
      <c r="J345" t="s">
        <v>1947</v>
      </c>
      <c r="K345" t="s">
        <v>992</v>
      </c>
      <c r="L345" t="s">
        <v>760</v>
      </c>
      <c r="M345" t="s">
        <v>759</v>
      </c>
      <c r="O345" t="s">
        <v>382</v>
      </c>
      <c r="P345" t="s">
        <v>404</v>
      </c>
      <c r="Q345" t="s">
        <v>817</v>
      </c>
      <c r="R345" t="s">
        <v>339</v>
      </c>
      <c r="S345" t="s">
        <v>22</v>
      </c>
      <c r="T345" t="s">
        <v>763</v>
      </c>
      <c r="U345">
        <v>10</v>
      </c>
      <c r="V345">
        <v>180</v>
      </c>
      <c r="W345">
        <v>8</v>
      </c>
      <c r="X345">
        <v>188</v>
      </c>
      <c r="Y345">
        <v>4</v>
      </c>
      <c r="Z345" t="s">
        <v>20</v>
      </c>
      <c r="AA345" t="s">
        <v>18</v>
      </c>
      <c r="AB345" s="189" t="s">
        <v>18</v>
      </c>
      <c r="AC345" t="s">
        <v>1948</v>
      </c>
      <c r="AD345" t="s">
        <v>1949</v>
      </c>
      <c r="AG345" t="s">
        <v>990</v>
      </c>
      <c r="AH345">
        <v>47</v>
      </c>
      <c r="AI345">
        <v>2</v>
      </c>
      <c r="AJ345" s="200">
        <f t="shared" si="55"/>
        <v>1880</v>
      </c>
      <c r="AL345" s="179">
        <f t="shared" si="56"/>
        <v>47</v>
      </c>
      <c r="AN345" s="183">
        <f t="shared" si="57"/>
        <v>1880000</v>
      </c>
    </row>
    <row r="346" spans="1:40" customFormat="1" ht="20.100000000000001" hidden="1" customHeight="1" x14ac:dyDescent="0.25">
      <c r="A346">
        <v>14298</v>
      </c>
      <c r="B346" t="s">
        <v>98</v>
      </c>
      <c r="C346" t="s">
        <v>41</v>
      </c>
      <c r="D346">
        <v>1</v>
      </c>
      <c r="E346">
        <v>2025</v>
      </c>
      <c r="F346">
        <v>2025</v>
      </c>
      <c r="G346" t="s">
        <v>23</v>
      </c>
      <c r="H346" t="s">
        <v>98</v>
      </c>
      <c r="I346" t="s">
        <v>1175</v>
      </c>
      <c r="J346" t="s">
        <v>1954</v>
      </c>
      <c r="K346" t="s">
        <v>992</v>
      </c>
      <c r="L346" t="s">
        <v>1955</v>
      </c>
      <c r="M346" t="s">
        <v>1956</v>
      </c>
      <c r="O346" t="s">
        <v>382</v>
      </c>
      <c r="P346" t="s">
        <v>404</v>
      </c>
      <c r="Q346" t="s">
        <v>702</v>
      </c>
      <c r="R346" t="s">
        <v>339</v>
      </c>
      <c r="S346" t="s">
        <v>22</v>
      </c>
      <c r="T346" t="s">
        <v>763</v>
      </c>
      <c r="U346">
        <v>15</v>
      </c>
      <c r="V346">
        <v>180</v>
      </c>
      <c r="W346">
        <v>12</v>
      </c>
      <c r="X346">
        <v>192</v>
      </c>
      <c r="Y346">
        <v>4</v>
      </c>
      <c r="Z346" t="s">
        <v>20</v>
      </c>
      <c r="AA346" t="s">
        <v>18</v>
      </c>
      <c r="AB346" s="189" t="s">
        <v>18</v>
      </c>
      <c r="AC346" t="s">
        <v>1957</v>
      </c>
      <c r="AD346" t="s">
        <v>1949</v>
      </c>
      <c r="AG346" t="s">
        <v>990</v>
      </c>
      <c r="AH346">
        <v>48</v>
      </c>
      <c r="AI346">
        <v>1</v>
      </c>
      <c r="AJ346" s="200">
        <f t="shared" si="55"/>
        <v>2880</v>
      </c>
      <c r="AL346" s="179">
        <f t="shared" si="56"/>
        <v>48</v>
      </c>
      <c r="AN346" s="183">
        <f t="shared" si="57"/>
        <v>2880000</v>
      </c>
    </row>
    <row r="347" spans="1:40" customFormat="1" ht="20.100000000000001" hidden="1" customHeight="1" x14ac:dyDescent="0.25">
      <c r="A347">
        <v>14262</v>
      </c>
      <c r="B347" t="s">
        <v>98</v>
      </c>
      <c r="C347" t="s">
        <v>41</v>
      </c>
      <c r="D347">
        <v>1</v>
      </c>
      <c r="E347">
        <v>2025</v>
      </c>
      <c r="F347">
        <v>2025</v>
      </c>
      <c r="G347" t="s">
        <v>23</v>
      </c>
      <c r="H347" t="s">
        <v>98</v>
      </c>
      <c r="I347" t="s">
        <v>1175</v>
      </c>
      <c r="J347" t="s">
        <v>1958</v>
      </c>
      <c r="K347" t="s">
        <v>992</v>
      </c>
      <c r="L347" t="s">
        <v>760</v>
      </c>
      <c r="M347" t="s">
        <v>759</v>
      </c>
      <c r="O347" t="s">
        <v>382</v>
      </c>
      <c r="P347" t="s">
        <v>404</v>
      </c>
      <c r="Q347" t="s">
        <v>702</v>
      </c>
      <c r="R347" t="s">
        <v>339</v>
      </c>
      <c r="S347" t="s">
        <v>22</v>
      </c>
      <c r="T347" t="s">
        <v>763</v>
      </c>
      <c r="U347">
        <v>15</v>
      </c>
      <c r="V347">
        <v>180</v>
      </c>
      <c r="W347">
        <v>8</v>
      </c>
      <c r="X347">
        <v>188</v>
      </c>
      <c r="Y347">
        <v>4</v>
      </c>
      <c r="Z347" t="s">
        <v>20</v>
      </c>
      <c r="AA347" t="s">
        <v>18</v>
      </c>
      <c r="AB347" s="189" t="s">
        <v>18</v>
      </c>
      <c r="AC347" t="s">
        <v>1959</v>
      </c>
      <c r="AD347" t="s">
        <v>1949</v>
      </c>
      <c r="AG347" t="s">
        <v>990</v>
      </c>
      <c r="AH347">
        <v>47</v>
      </c>
      <c r="AI347">
        <v>3</v>
      </c>
      <c r="AJ347" s="200">
        <f t="shared" si="55"/>
        <v>2820</v>
      </c>
      <c r="AL347" s="179">
        <f t="shared" si="56"/>
        <v>47</v>
      </c>
      <c r="AN347" s="183">
        <f t="shared" si="57"/>
        <v>2820000</v>
      </c>
    </row>
    <row r="348" spans="1:40" customFormat="1" ht="20.100000000000001" hidden="1" customHeight="1" x14ac:dyDescent="0.25">
      <c r="A348">
        <v>14336</v>
      </c>
      <c r="B348" t="s">
        <v>98</v>
      </c>
      <c r="C348" t="s">
        <v>41</v>
      </c>
      <c r="D348">
        <v>1</v>
      </c>
      <c r="E348">
        <v>2025</v>
      </c>
      <c r="F348">
        <v>2025</v>
      </c>
      <c r="G348" t="s">
        <v>23</v>
      </c>
      <c r="H348" t="s">
        <v>98</v>
      </c>
      <c r="I348" t="s">
        <v>1175</v>
      </c>
      <c r="J348" t="s">
        <v>1187</v>
      </c>
      <c r="K348" t="s">
        <v>992</v>
      </c>
      <c r="L348" t="s">
        <v>21</v>
      </c>
      <c r="M348" t="s">
        <v>21</v>
      </c>
      <c r="O348" t="s">
        <v>382</v>
      </c>
      <c r="P348" t="s">
        <v>416</v>
      </c>
      <c r="Q348" t="s">
        <v>1178</v>
      </c>
      <c r="R348" t="s">
        <v>339</v>
      </c>
      <c r="S348" t="s">
        <v>22</v>
      </c>
      <c r="T348" t="s">
        <v>347</v>
      </c>
      <c r="U348">
        <v>15</v>
      </c>
      <c r="V348">
        <v>160</v>
      </c>
      <c r="W348" t="s">
        <v>21</v>
      </c>
      <c r="X348">
        <v>160</v>
      </c>
      <c r="Y348">
        <v>5</v>
      </c>
      <c r="Z348" t="s">
        <v>20</v>
      </c>
      <c r="AA348" t="s">
        <v>18</v>
      </c>
      <c r="AB348" s="189" t="s">
        <v>18</v>
      </c>
      <c r="AC348" t="s">
        <v>1188</v>
      </c>
      <c r="AD348" t="s">
        <v>1189</v>
      </c>
      <c r="AG348" t="s">
        <v>990</v>
      </c>
      <c r="AH348">
        <v>32</v>
      </c>
      <c r="AI348">
        <v>3</v>
      </c>
      <c r="AJ348" s="200">
        <f t="shared" ref="AJ348:AJ396" si="58">+(U348*X348)</f>
        <v>2400</v>
      </c>
      <c r="AL348" s="179">
        <f t="shared" si="56"/>
        <v>32</v>
      </c>
      <c r="AN348" s="183">
        <f t="shared" si="57"/>
        <v>1920000</v>
      </c>
    </row>
    <row r="349" spans="1:40" customFormat="1" ht="20.100000000000001" hidden="1" customHeight="1" x14ac:dyDescent="0.25">
      <c r="A349">
        <v>14340</v>
      </c>
      <c r="B349" t="s">
        <v>98</v>
      </c>
      <c r="C349" t="s">
        <v>41</v>
      </c>
      <c r="D349">
        <v>1</v>
      </c>
      <c r="E349">
        <v>2025</v>
      </c>
      <c r="F349">
        <v>2025</v>
      </c>
      <c r="G349" t="s">
        <v>23</v>
      </c>
      <c r="H349" t="s">
        <v>98</v>
      </c>
      <c r="I349" t="s">
        <v>1175</v>
      </c>
      <c r="J349" t="s">
        <v>1961</v>
      </c>
      <c r="K349" t="s">
        <v>992</v>
      </c>
      <c r="L349" t="s">
        <v>21</v>
      </c>
      <c r="M349" t="s">
        <v>21</v>
      </c>
      <c r="O349" t="s">
        <v>798</v>
      </c>
      <c r="P349" t="s">
        <v>1962</v>
      </c>
      <c r="Q349" t="s">
        <v>1201</v>
      </c>
      <c r="R349" t="s">
        <v>339</v>
      </c>
      <c r="S349" t="s">
        <v>19</v>
      </c>
      <c r="T349" t="s">
        <v>347</v>
      </c>
      <c r="U349">
        <v>10</v>
      </c>
      <c r="V349">
        <v>110</v>
      </c>
      <c r="W349" t="s">
        <v>21</v>
      </c>
      <c r="X349">
        <v>110</v>
      </c>
      <c r="Y349">
        <v>4</v>
      </c>
      <c r="Z349" t="s">
        <v>20</v>
      </c>
      <c r="AA349" t="s">
        <v>18</v>
      </c>
      <c r="AB349" s="189" t="s">
        <v>18</v>
      </c>
      <c r="AC349" t="s">
        <v>2369</v>
      </c>
      <c r="AD349" t="s">
        <v>1964</v>
      </c>
      <c r="AE349" t="s">
        <v>20</v>
      </c>
      <c r="AF349" t="s">
        <v>2370</v>
      </c>
      <c r="AG349" t="s">
        <v>990</v>
      </c>
      <c r="AH349">
        <v>28</v>
      </c>
      <c r="AI349">
        <v>3</v>
      </c>
      <c r="AJ349" s="200">
        <f t="shared" si="58"/>
        <v>1100</v>
      </c>
      <c r="AL349" s="179">
        <f t="shared" si="56"/>
        <v>27.5</v>
      </c>
      <c r="AN349" s="183">
        <f t="shared" si="57"/>
        <v>1120000</v>
      </c>
    </row>
    <row r="350" spans="1:40" customFormat="1" ht="33.75" hidden="1" customHeight="1" x14ac:dyDescent="0.25">
      <c r="A350">
        <v>14465</v>
      </c>
      <c r="B350" t="s">
        <v>98</v>
      </c>
      <c r="C350" t="s">
        <v>41</v>
      </c>
      <c r="D350">
        <v>1</v>
      </c>
      <c r="E350">
        <v>2025</v>
      </c>
      <c r="F350">
        <v>2025</v>
      </c>
      <c r="G350" t="s">
        <v>23</v>
      </c>
      <c r="H350" t="s">
        <v>98</v>
      </c>
      <c r="I350" t="s">
        <v>1175</v>
      </c>
      <c r="J350" t="s">
        <v>1965</v>
      </c>
      <c r="K350" t="s">
        <v>992</v>
      </c>
      <c r="L350" t="s">
        <v>405</v>
      </c>
      <c r="M350" t="s">
        <v>406</v>
      </c>
      <c r="O350" t="s">
        <v>382</v>
      </c>
      <c r="P350" t="s">
        <v>717</v>
      </c>
      <c r="Q350" t="s">
        <v>388</v>
      </c>
      <c r="R350" t="s">
        <v>339</v>
      </c>
      <c r="S350" t="s">
        <v>22</v>
      </c>
      <c r="T350" t="s">
        <v>1966</v>
      </c>
      <c r="U350">
        <v>20</v>
      </c>
      <c r="V350">
        <v>42</v>
      </c>
      <c r="W350">
        <v>10</v>
      </c>
      <c r="X350">
        <v>52</v>
      </c>
      <c r="Y350">
        <v>3</v>
      </c>
      <c r="Z350" t="s">
        <v>20</v>
      </c>
      <c r="AA350" t="s">
        <v>18</v>
      </c>
      <c r="AB350" s="189" t="s">
        <v>18</v>
      </c>
      <c r="AC350" t="s">
        <v>2371</v>
      </c>
      <c r="AD350" t="s">
        <v>1968</v>
      </c>
      <c r="AG350" t="s">
        <v>990</v>
      </c>
      <c r="AH350">
        <v>18</v>
      </c>
      <c r="AI350">
        <v>1</v>
      </c>
      <c r="AJ350" s="200">
        <f t="shared" si="58"/>
        <v>1040</v>
      </c>
      <c r="AL350" s="179">
        <f t="shared" si="56"/>
        <v>17.333333333333332</v>
      </c>
      <c r="AN350" s="183">
        <f t="shared" si="57"/>
        <v>1440000</v>
      </c>
    </row>
    <row r="351" spans="1:40" customFormat="1" ht="20.100000000000001" hidden="1" customHeight="1" x14ac:dyDescent="0.25">
      <c r="A351">
        <v>14411</v>
      </c>
      <c r="B351" t="s">
        <v>98</v>
      </c>
      <c r="C351" t="s">
        <v>41</v>
      </c>
      <c r="D351">
        <v>1</v>
      </c>
      <c r="E351">
        <v>2025</v>
      </c>
      <c r="F351">
        <v>2025</v>
      </c>
      <c r="G351" t="s">
        <v>23</v>
      </c>
      <c r="H351" t="s">
        <v>98</v>
      </c>
      <c r="I351" t="s">
        <v>1175</v>
      </c>
      <c r="J351" t="s">
        <v>757</v>
      </c>
      <c r="K351" t="s">
        <v>992</v>
      </c>
      <c r="L351" t="s">
        <v>21</v>
      </c>
      <c r="M351" t="s">
        <v>21</v>
      </c>
      <c r="O351" t="s">
        <v>382</v>
      </c>
      <c r="P351" t="s">
        <v>776</v>
      </c>
      <c r="Q351" t="s">
        <v>1201</v>
      </c>
      <c r="R351" t="s">
        <v>339</v>
      </c>
      <c r="S351" t="s">
        <v>22</v>
      </c>
      <c r="T351" t="s">
        <v>337</v>
      </c>
      <c r="U351">
        <v>20</v>
      </c>
      <c r="V351">
        <v>200</v>
      </c>
      <c r="W351" t="s">
        <v>21</v>
      </c>
      <c r="X351">
        <v>200</v>
      </c>
      <c r="Y351">
        <v>4</v>
      </c>
      <c r="Z351" t="s">
        <v>20</v>
      </c>
      <c r="AA351" t="s">
        <v>18</v>
      </c>
      <c r="AB351" s="189" t="s">
        <v>18</v>
      </c>
      <c r="AC351" t="s">
        <v>1970</v>
      </c>
      <c r="AD351" t="s">
        <v>1794</v>
      </c>
      <c r="AG351" t="s">
        <v>990</v>
      </c>
      <c r="AH351">
        <v>50</v>
      </c>
      <c r="AI351">
        <v>2</v>
      </c>
      <c r="AJ351" s="200">
        <f t="shared" si="58"/>
        <v>4000</v>
      </c>
      <c r="AL351" s="179">
        <f t="shared" si="56"/>
        <v>50</v>
      </c>
      <c r="AN351" s="183">
        <f t="shared" si="57"/>
        <v>4000000</v>
      </c>
    </row>
    <row r="352" spans="1:40" customFormat="1" ht="20.100000000000001" hidden="1" customHeight="1" x14ac:dyDescent="0.25">
      <c r="A352">
        <v>14294</v>
      </c>
      <c r="B352" t="s">
        <v>98</v>
      </c>
      <c r="C352" t="s">
        <v>41</v>
      </c>
      <c r="D352">
        <v>1</v>
      </c>
      <c r="E352">
        <v>2025</v>
      </c>
      <c r="F352">
        <v>2025</v>
      </c>
      <c r="G352" t="s">
        <v>23</v>
      </c>
      <c r="H352" t="s">
        <v>98</v>
      </c>
      <c r="I352" t="s">
        <v>1175</v>
      </c>
      <c r="J352" t="s">
        <v>1976</v>
      </c>
      <c r="K352" t="s">
        <v>992</v>
      </c>
      <c r="L352" t="s">
        <v>1955</v>
      </c>
      <c r="M352" t="s">
        <v>1956</v>
      </c>
      <c r="O352" t="s">
        <v>382</v>
      </c>
      <c r="P352" t="s">
        <v>404</v>
      </c>
      <c r="Q352" t="s">
        <v>817</v>
      </c>
      <c r="R352" t="s">
        <v>339</v>
      </c>
      <c r="S352" t="s">
        <v>22</v>
      </c>
      <c r="T352" t="s">
        <v>763</v>
      </c>
      <c r="U352">
        <v>15</v>
      </c>
      <c r="V352">
        <v>180</v>
      </c>
      <c r="W352">
        <v>12</v>
      </c>
      <c r="X352">
        <v>192</v>
      </c>
      <c r="Y352">
        <v>4</v>
      </c>
      <c r="Z352" t="s">
        <v>20</v>
      </c>
      <c r="AA352" t="s">
        <v>18</v>
      </c>
      <c r="AB352" s="189" t="s">
        <v>18</v>
      </c>
      <c r="AC352" t="s">
        <v>1977</v>
      </c>
      <c r="AD352" t="s">
        <v>1949</v>
      </c>
      <c r="AG352" t="s">
        <v>990</v>
      </c>
      <c r="AH352">
        <v>48</v>
      </c>
      <c r="AI352">
        <v>2</v>
      </c>
      <c r="AJ352" s="200">
        <f t="shared" si="58"/>
        <v>2880</v>
      </c>
      <c r="AL352" s="179">
        <f t="shared" si="56"/>
        <v>48</v>
      </c>
      <c r="AN352" s="183">
        <f t="shared" si="57"/>
        <v>2880000</v>
      </c>
    </row>
    <row r="353" spans="1:40" customFormat="1" ht="20.100000000000001" hidden="1" customHeight="1" x14ac:dyDescent="0.25">
      <c r="A353">
        <v>14405</v>
      </c>
      <c r="B353" t="s">
        <v>98</v>
      </c>
      <c r="C353" t="s">
        <v>41</v>
      </c>
      <c r="D353">
        <v>1</v>
      </c>
      <c r="E353">
        <v>2025</v>
      </c>
      <c r="F353">
        <v>2025</v>
      </c>
      <c r="G353" t="s">
        <v>23</v>
      </c>
      <c r="H353" t="s">
        <v>98</v>
      </c>
      <c r="I353" t="s">
        <v>1175</v>
      </c>
      <c r="J353" t="s">
        <v>1978</v>
      </c>
      <c r="K353" t="s">
        <v>992</v>
      </c>
      <c r="L353" t="s">
        <v>21</v>
      </c>
      <c r="M353" t="s">
        <v>21</v>
      </c>
      <c r="O353" t="s">
        <v>382</v>
      </c>
      <c r="P353" t="s">
        <v>728</v>
      </c>
      <c r="Q353" t="s">
        <v>409</v>
      </c>
      <c r="R353" t="s">
        <v>339</v>
      </c>
      <c r="S353" t="s">
        <v>22</v>
      </c>
      <c r="T353" t="s">
        <v>1006</v>
      </c>
      <c r="U353">
        <v>20</v>
      </c>
      <c r="V353">
        <v>88</v>
      </c>
      <c r="W353" t="s">
        <v>21</v>
      </c>
      <c r="X353">
        <v>88</v>
      </c>
      <c r="Y353">
        <v>4</v>
      </c>
      <c r="Z353" t="s">
        <v>20</v>
      </c>
      <c r="AA353" t="s">
        <v>18</v>
      </c>
      <c r="AB353" s="189" t="s">
        <v>18</v>
      </c>
      <c r="AC353" t="s">
        <v>2372</v>
      </c>
      <c r="AD353" t="s">
        <v>1980</v>
      </c>
      <c r="AG353" t="s">
        <v>990</v>
      </c>
      <c r="AH353">
        <v>22</v>
      </c>
      <c r="AI353">
        <v>1</v>
      </c>
      <c r="AJ353" s="200">
        <f t="shared" si="58"/>
        <v>1760</v>
      </c>
      <c r="AL353" s="179">
        <f t="shared" si="56"/>
        <v>22</v>
      </c>
      <c r="AN353" s="183">
        <f t="shared" si="57"/>
        <v>1760000</v>
      </c>
    </row>
    <row r="354" spans="1:40" customFormat="1" ht="20.100000000000001" hidden="1" customHeight="1" x14ac:dyDescent="0.25">
      <c r="A354">
        <v>14401</v>
      </c>
      <c r="B354" t="s">
        <v>98</v>
      </c>
      <c r="C354" t="s">
        <v>41</v>
      </c>
      <c r="D354">
        <v>1</v>
      </c>
      <c r="E354">
        <v>2025</v>
      </c>
      <c r="F354">
        <v>2025</v>
      </c>
      <c r="G354" t="s">
        <v>23</v>
      </c>
      <c r="H354" t="s">
        <v>98</v>
      </c>
      <c r="I354" t="s">
        <v>1175</v>
      </c>
      <c r="J354" t="s">
        <v>1985</v>
      </c>
      <c r="K354" t="s">
        <v>992</v>
      </c>
      <c r="L354" t="s">
        <v>21</v>
      </c>
      <c r="M354" t="s">
        <v>21</v>
      </c>
      <c r="O354" t="s">
        <v>382</v>
      </c>
      <c r="P354" t="s">
        <v>728</v>
      </c>
      <c r="Q354" t="s">
        <v>409</v>
      </c>
      <c r="R354" t="s">
        <v>339</v>
      </c>
      <c r="S354" t="s">
        <v>22</v>
      </c>
      <c r="T354" t="s">
        <v>1006</v>
      </c>
      <c r="U354">
        <v>20</v>
      </c>
      <c r="V354">
        <v>45</v>
      </c>
      <c r="W354" t="s">
        <v>21</v>
      </c>
      <c r="X354">
        <v>45</v>
      </c>
      <c r="Y354">
        <v>4</v>
      </c>
      <c r="Z354" t="s">
        <v>20</v>
      </c>
      <c r="AA354" t="s">
        <v>18</v>
      </c>
      <c r="AB354" s="189" t="s">
        <v>18</v>
      </c>
      <c r="AC354" t="s">
        <v>1986</v>
      </c>
      <c r="AD354" t="s">
        <v>1987</v>
      </c>
      <c r="AG354" t="s">
        <v>990</v>
      </c>
      <c r="AH354">
        <v>12</v>
      </c>
      <c r="AI354">
        <v>1</v>
      </c>
      <c r="AJ354" s="200">
        <f t="shared" si="58"/>
        <v>900</v>
      </c>
      <c r="AL354" s="179">
        <f t="shared" si="56"/>
        <v>11.25</v>
      </c>
      <c r="AN354" s="183">
        <f t="shared" si="57"/>
        <v>960000</v>
      </c>
    </row>
    <row r="355" spans="1:40" customFormat="1" ht="20.100000000000001" hidden="1" customHeight="1" x14ac:dyDescent="0.25">
      <c r="A355">
        <v>14302</v>
      </c>
      <c r="B355" t="s">
        <v>98</v>
      </c>
      <c r="C355" t="s">
        <v>41</v>
      </c>
      <c r="D355">
        <v>1</v>
      </c>
      <c r="E355">
        <v>2025</v>
      </c>
      <c r="F355">
        <v>2025</v>
      </c>
      <c r="G355" t="s">
        <v>23</v>
      </c>
      <c r="H355" t="s">
        <v>98</v>
      </c>
      <c r="I355" t="s">
        <v>1175</v>
      </c>
      <c r="J355" t="s">
        <v>1988</v>
      </c>
      <c r="K355" t="s">
        <v>992</v>
      </c>
      <c r="L355" t="s">
        <v>760</v>
      </c>
      <c r="M355" t="s">
        <v>759</v>
      </c>
      <c r="O355" t="s">
        <v>382</v>
      </c>
      <c r="P355" t="s">
        <v>404</v>
      </c>
      <c r="Q355" t="s">
        <v>702</v>
      </c>
      <c r="R355" t="s">
        <v>339</v>
      </c>
      <c r="S355" t="s">
        <v>22</v>
      </c>
      <c r="T355" t="s">
        <v>837</v>
      </c>
      <c r="U355">
        <v>10</v>
      </c>
      <c r="V355">
        <v>180</v>
      </c>
      <c r="W355">
        <v>8</v>
      </c>
      <c r="X355">
        <v>188</v>
      </c>
      <c r="Y355">
        <v>4</v>
      </c>
      <c r="Z355" t="s">
        <v>20</v>
      </c>
      <c r="AA355" t="s">
        <v>18</v>
      </c>
      <c r="AB355" s="189" t="s">
        <v>18</v>
      </c>
      <c r="AC355" t="s">
        <v>1989</v>
      </c>
      <c r="AD355" t="s">
        <v>2373</v>
      </c>
      <c r="AG355" t="s">
        <v>990</v>
      </c>
      <c r="AH355">
        <v>47</v>
      </c>
      <c r="AI355">
        <v>1</v>
      </c>
      <c r="AJ355" s="200">
        <f t="shared" si="58"/>
        <v>1880</v>
      </c>
      <c r="AL355" s="179">
        <f t="shared" si="56"/>
        <v>47</v>
      </c>
      <c r="AN355" s="183">
        <f t="shared" si="57"/>
        <v>1880000</v>
      </c>
    </row>
    <row r="356" spans="1:40" customFormat="1" ht="20.100000000000001" hidden="1" customHeight="1" x14ac:dyDescent="0.25">
      <c r="A356">
        <v>14290</v>
      </c>
      <c r="B356" t="s">
        <v>98</v>
      </c>
      <c r="C356" t="s">
        <v>41</v>
      </c>
      <c r="D356">
        <v>1</v>
      </c>
      <c r="E356">
        <v>2025</v>
      </c>
      <c r="F356">
        <v>2025</v>
      </c>
      <c r="G356" t="s">
        <v>23</v>
      </c>
      <c r="H356" t="s">
        <v>98</v>
      </c>
      <c r="I356" t="s">
        <v>1175</v>
      </c>
      <c r="J356" t="s">
        <v>1991</v>
      </c>
      <c r="K356" t="s">
        <v>992</v>
      </c>
      <c r="L356" t="s">
        <v>1955</v>
      </c>
      <c r="M356" t="s">
        <v>1956</v>
      </c>
      <c r="O356" t="s">
        <v>382</v>
      </c>
      <c r="P356" t="s">
        <v>404</v>
      </c>
      <c r="Q356" t="s">
        <v>702</v>
      </c>
      <c r="R356" t="s">
        <v>339</v>
      </c>
      <c r="S356" t="s">
        <v>22</v>
      </c>
      <c r="T356" t="s">
        <v>763</v>
      </c>
      <c r="U356">
        <v>15</v>
      </c>
      <c r="V356">
        <v>180</v>
      </c>
      <c r="W356">
        <v>12</v>
      </c>
      <c r="X356">
        <v>192</v>
      </c>
      <c r="Y356">
        <v>4</v>
      </c>
      <c r="Z356" t="s">
        <v>20</v>
      </c>
      <c r="AA356" t="s">
        <v>18</v>
      </c>
      <c r="AB356" s="189" t="s">
        <v>18</v>
      </c>
      <c r="AC356" t="s">
        <v>1992</v>
      </c>
      <c r="AD356" t="s">
        <v>1993</v>
      </c>
      <c r="AG356" t="s">
        <v>990</v>
      </c>
      <c r="AH356">
        <v>48</v>
      </c>
      <c r="AI356">
        <v>2</v>
      </c>
      <c r="AJ356" s="200">
        <f t="shared" si="58"/>
        <v>2880</v>
      </c>
      <c r="AL356" s="179">
        <f t="shared" si="56"/>
        <v>48</v>
      </c>
      <c r="AN356" s="183">
        <f t="shared" si="57"/>
        <v>2880000</v>
      </c>
    </row>
    <row r="357" spans="1:40" customFormat="1" ht="20.100000000000001" hidden="1" customHeight="1" x14ac:dyDescent="0.25">
      <c r="A357">
        <v>14279</v>
      </c>
      <c r="B357" t="s">
        <v>98</v>
      </c>
      <c r="C357" t="s">
        <v>41</v>
      </c>
      <c r="D357">
        <v>1</v>
      </c>
      <c r="E357">
        <v>2025</v>
      </c>
      <c r="F357">
        <v>2025</v>
      </c>
      <c r="G357" t="s">
        <v>23</v>
      </c>
      <c r="H357" t="s">
        <v>98</v>
      </c>
      <c r="I357" t="s">
        <v>1175</v>
      </c>
      <c r="J357" t="s">
        <v>1190</v>
      </c>
      <c r="K357" t="s">
        <v>992</v>
      </c>
      <c r="L357" t="s">
        <v>407</v>
      </c>
      <c r="M357" t="s">
        <v>408</v>
      </c>
      <c r="O357" t="s">
        <v>706</v>
      </c>
      <c r="P357" t="s">
        <v>1191</v>
      </c>
      <c r="Q357" t="s">
        <v>1178</v>
      </c>
      <c r="R357" t="s">
        <v>339</v>
      </c>
      <c r="S357" t="s">
        <v>22</v>
      </c>
      <c r="T357" t="s">
        <v>1192</v>
      </c>
      <c r="U357">
        <v>20</v>
      </c>
      <c r="V357">
        <v>212</v>
      </c>
      <c r="W357">
        <v>12</v>
      </c>
      <c r="X357">
        <v>224</v>
      </c>
      <c r="Y357">
        <v>8</v>
      </c>
      <c r="Z357" t="s">
        <v>20</v>
      </c>
      <c r="AA357" t="s">
        <v>18</v>
      </c>
      <c r="AB357" s="189" t="s">
        <v>18</v>
      </c>
      <c r="AC357" t="s">
        <v>1193</v>
      </c>
      <c r="AD357" t="s">
        <v>2374</v>
      </c>
      <c r="AG357" t="s">
        <v>990</v>
      </c>
      <c r="AH357">
        <v>28</v>
      </c>
      <c r="AI357">
        <v>3</v>
      </c>
      <c r="AJ357" s="200">
        <f t="shared" si="58"/>
        <v>4480</v>
      </c>
      <c r="AL357" s="179">
        <f t="shared" si="56"/>
        <v>28</v>
      </c>
      <c r="AN357" s="183">
        <f t="shared" si="57"/>
        <v>2240000</v>
      </c>
    </row>
    <row r="358" spans="1:40" customFormat="1" ht="20.100000000000001" hidden="1" customHeight="1" x14ac:dyDescent="0.25">
      <c r="A358">
        <v>14280</v>
      </c>
      <c r="B358" t="s">
        <v>98</v>
      </c>
      <c r="C358" t="s">
        <v>41</v>
      </c>
      <c r="D358">
        <v>1</v>
      </c>
      <c r="E358">
        <v>2025</v>
      </c>
      <c r="F358">
        <v>2025</v>
      </c>
      <c r="G358" t="s">
        <v>23</v>
      </c>
      <c r="H358" t="s">
        <v>98</v>
      </c>
      <c r="I358" t="s">
        <v>1175</v>
      </c>
      <c r="J358" t="s">
        <v>1190</v>
      </c>
      <c r="K358" t="s">
        <v>992</v>
      </c>
      <c r="L358" t="s">
        <v>407</v>
      </c>
      <c r="M358" t="s">
        <v>408</v>
      </c>
      <c r="O358" t="s">
        <v>706</v>
      </c>
      <c r="P358" t="s">
        <v>1194</v>
      </c>
      <c r="Q358" t="s">
        <v>1178</v>
      </c>
      <c r="R358" t="s">
        <v>339</v>
      </c>
      <c r="S358" t="s">
        <v>22</v>
      </c>
      <c r="T358" t="s">
        <v>1195</v>
      </c>
      <c r="U358">
        <v>20</v>
      </c>
      <c r="V358">
        <v>212</v>
      </c>
      <c r="W358">
        <v>12</v>
      </c>
      <c r="X358">
        <v>224</v>
      </c>
      <c r="Y358">
        <v>8</v>
      </c>
      <c r="Z358" t="s">
        <v>20</v>
      </c>
      <c r="AA358" t="s">
        <v>18</v>
      </c>
      <c r="AB358" s="189" t="s">
        <v>18</v>
      </c>
      <c r="AC358" t="s">
        <v>1193</v>
      </c>
      <c r="AD358" t="s">
        <v>2375</v>
      </c>
      <c r="AG358" t="s">
        <v>990</v>
      </c>
      <c r="AH358">
        <v>28</v>
      </c>
      <c r="AI358">
        <v>3</v>
      </c>
      <c r="AJ358" s="200">
        <f t="shared" si="58"/>
        <v>4480</v>
      </c>
      <c r="AL358" s="179">
        <f t="shared" si="56"/>
        <v>28</v>
      </c>
      <c r="AN358" s="183">
        <f t="shared" si="57"/>
        <v>2240000</v>
      </c>
    </row>
    <row r="359" spans="1:40" customFormat="1" ht="20.100000000000001" hidden="1" customHeight="1" x14ac:dyDescent="0.25">
      <c r="A359">
        <v>14281</v>
      </c>
      <c r="B359" t="s">
        <v>98</v>
      </c>
      <c r="C359" t="s">
        <v>41</v>
      </c>
      <c r="D359">
        <v>1</v>
      </c>
      <c r="E359">
        <v>2025</v>
      </c>
      <c r="F359">
        <v>2025</v>
      </c>
      <c r="G359" t="s">
        <v>23</v>
      </c>
      <c r="H359" t="s">
        <v>98</v>
      </c>
      <c r="I359" t="s">
        <v>1175</v>
      </c>
      <c r="J359" t="s">
        <v>1190</v>
      </c>
      <c r="K359" t="s">
        <v>992</v>
      </c>
      <c r="L359" t="s">
        <v>407</v>
      </c>
      <c r="M359" t="s">
        <v>408</v>
      </c>
      <c r="O359" t="s">
        <v>706</v>
      </c>
      <c r="P359" t="s">
        <v>736</v>
      </c>
      <c r="Q359" t="s">
        <v>1178</v>
      </c>
      <c r="R359" t="s">
        <v>339</v>
      </c>
      <c r="S359" t="s">
        <v>22</v>
      </c>
      <c r="T359" t="s">
        <v>1196</v>
      </c>
      <c r="U359">
        <v>20</v>
      </c>
      <c r="V359">
        <v>212</v>
      </c>
      <c r="W359">
        <v>12</v>
      </c>
      <c r="X359">
        <v>224</v>
      </c>
      <c r="Y359">
        <v>8</v>
      </c>
      <c r="Z359" t="s">
        <v>20</v>
      </c>
      <c r="AA359" t="s">
        <v>18</v>
      </c>
      <c r="AB359" s="189" t="s">
        <v>18</v>
      </c>
      <c r="AC359" t="s">
        <v>1193</v>
      </c>
      <c r="AD359" t="s">
        <v>1197</v>
      </c>
      <c r="AG359" t="s">
        <v>990</v>
      </c>
      <c r="AH359">
        <v>28</v>
      </c>
      <c r="AI359">
        <v>3</v>
      </c>
      <c r="AJ359" s="200">
        <f t="shared" si="58"/>
        <v>4480</v>
      </c>
      <c r="AL359" s="179">
        <f t="shared" si="56"/>
        <v>28</v>
      </c>
      <c r="AN359" s="183">
        <f t="shared" si="57"/>
        <v>2240000</v>
      </c>
    </row>
    <row r="360" spans="1:40" customFormat="1" ht="20.100000000000001" hidden="1" customHeight="1" x14ac:dyDescent="0.25">
      <c r="A360">
        <v>14283</v>
      </c>
      <c r="B360" t="s">
        <v>98</v>
      </c>
      <c r="C360" t="s">
        <v>41</v>
      </c>
      <c r="D360">
        <v>1</v>
      </c>
      <c r="E360">
        <v>2025</v>
      </c>
      <c r="F360">
        <v>2025</v>
      </c>
      <c r="G360" t="s">
        <v>23</v>
      </c>
      <c r="H360" t="s">
        <v>98</v>
      </c>
      <c r="I360" t="s">
        <v>1175</v>
      </c>
      <c r="J360" t="s">
        <v>1190</v>
      </c>
      <c r="K360" t="s">
        <v>992</v>
      </c>
      <c r="L360" t="s">
        <v>407</v>
      </c>
      <c r="M360" t="s">
        <v>408</v>
      </c>
      <c r="O360" t="s">
        <v>706</v>
      </c>
      <c r="P360" t="s">
        <v>1014</v>
      </c>
      <c r="Q360" t="s">
        <v>1178</v>
      </c>
      <c r="R360" t="s">
        <v>339</v>
      </c>
      <c r="S360" t="s">
        <v>22</v>
      </c>
      <c r="T360" t="s">
        <v>1196</v>
      </c>
      <c r="U360">
        <v>20</v>
      </c>
      <c r="V360">
        <v>212</v>
      </c>
      <c r="W360">
        <v>12</v>
      </c>
      <c r="X360">
        <v>224</v>
      </c>
      <c r="Y360">
        <v>8</v>
      </c>
      <c r="Z360" t="s">
        <v>20</v>
      </c>
      <c r="AA360" t="s">
        <v>18</v>
      </c>
      <c r="AB360" s="189" t="s">
        <v>18</v>
      </c>
      <c r="AC360" t="s">
        <v>1193</v>
      </c>
      <c r="AD360" t="s">
        <v>2376</v>
      </c>
      <c r="AG360" t="s">
        <v>990</v>
      </c>
      <c r="AH360">
        <v>28</v>
      </c>
      <c r="AI360">
        <v>3</v>
      </c>
      <c r="AJ360" s="200">
        <f t="shared" si="58"/>
        <v>4480</v>
      </c>
      <c r="AL360" s="179">
        <f t="shared" si="56"/>
        <v>28</v>
      </c>
      <c r="AN360" s="183">
        <f t="shared" si="57"/>
        <v>2240000</v>
      </c>
    </row>
    <row r="361" spans="1:40" customFormat="1" ht="20.100000000000001" hidden="1" customHeight="1" x14ac:dyDescent="0.25">
      <c r="A361">
        <v>14406</v>
      </c>
      <c r="B361" t="s">
        <v>98</v>
      </c>
      <c r="C361" t="s">
        <v>41</v>
      </c>
      <c r="D361">
        <v>1</v>
      </c>
      <c r="E361">
        <v>2025</v>
      </c>
      <c r="F361">
        <v>2025</v>
      </c>
      <c r="G361" t="s">
        <v>23</v>
      </c>
      <c r="H361" t="s">
        <v>98</v>
      </c>
      <c r="I361" t="s">
        <v>1175</v>
      </c>
      <c r="J361" t="s">
        <v>758</v>
      </c>
      <c r="K361" t="s">
        <v>992</v>
      </c>
      <c r="L361" t="s">
        <v>21</v>
      </c>
      <c r="M361" t="s">
        <v>21</v>
      </c>
      <c r="O361" t="s">
        <v>382</v>
      </c>
      <c r="P361" t="s">
        <v>776</v>
      </c>
      <c r="Q361" t="s">
        <v>1201</v>
      </c>
      <c r="R361" t="s">
        <v>339</v>
      </c>
      <c r="S361" t="s">
        <v>22</v>
      </c>
      <c r="T361" t="s">
        <v>337</v>
      </c>
      <c r="U361">
        <v>20</v>
      </c>
      <c r="V361">
        <v>200</v>
      </c>
      <c r="W361" t="s">
        <v>21</v>
      </c>
      <c r="X361">
        <v>200</v>
      </c>
      <c r="Y361">
        <v>4</v>
      </c>
      <c r="Z361" t="s">
        <v>20</v>
      </c>
      <c r="AA361" t="s">
        <v>18</v>
      </c>
      <c r="AB361" s="189" t="s">
        <v>18</v>
      </c>
      <c r="AC361" t="s">
        <v>2004</v>
      </c>
      <c r="AD361" t="s">
        <v>1794</v>
      </c>
      <c r="AG361" t="s">
        <v>990</v>
      </c>
      <c r="AH361">
        <v>50</v>
      </c>
      <c r="AI361">
        <v>2</v>
      </c>
      <c r="AJ361" s="200">
        <f t="shared" si="58"/>
        <v>4000</v>
      </c>
      <c r="AL361" s="179">
        <f t="shared" si="56"/>
        <v>50</v>
      </c>
      <c r="AN361" s="183">
        <f t="shared" si="57"/>
        <v>4000000</v>
      </c>
    </row>
    <row r="362" spans="1:40" customFormat="1" ht="20.100000000000001" hidden="1" customHeight="1" x14ac:dyDescent="0.25">
      <c r="A362">
        <v>14407</v>
      </c>
      <c r="B362" t="s">
        <v>98</v>
      </c>
      <c r="C362" t="s">
        <v>41</v>
      </c>
      <c r="D362">
        <v>1</v>
      </c>
      <c r="E362">
        <v>2025</v>
      </c>
      <c r="F362">
        <v>2025</v>
      </c>
      <c r="G362" t="s">
        <v>23</v>
      </c>
      <c r="H362" t="s">
        <v>98</v>
      </c>
      <c r="I362" t="s">
        <v>1175</v>
      </c>
      <c r="J362" t="s">
        <v>758</v>
      </c>
      <c r="K362" t="s">
        <v>992</v>
      </c>
      <c r="L362" t="s">
        <v>21</v>
      </c>
      <c r="M362" t="s">
        <v>21</v>
      </c>
      <c r="O362" t="s">
        <v>382</v>
      </c>
      <c r="P362" t="s">
        <v>383</v>
      </c>
      <c r="Q362" t="s">
        <v>1201</v>
      </c>
      <c r="R362" t="s">
        <v>339</v>
      </c>
      <c r="S362" t="s">
        <v>22</v>
      </c>
      <c r="T362" t="s">
        <v>337</v>
      </c>
      <c r="U362">
        <v>20</v>
      </c>
      <c r="V362">
        <v>200</v>
      </c>
      <c r="W362" t="s">
        <v>21</v>
      </c>
      <c r="X362">
        <v>200</v>
      </c>
      <c r="Y362">
        <v>4</v>
      </c>
      <c r="Z362" t="s">
        <v>20</v>
      </c>
      <c r="AA362" t="s">
        <v>18</v>
      </c>
      <c r="AB362" s="189" t="s">
        <v>18</v>
      </c>
      <c r="AC362" t="s">
        <v>2004</v>
      </c>
      <c r="AD362" t="s">
        <v>2377</v>
      </c>
      <c r="AG362" t="s">
        <v>990</v>
      </c>
      <c r="AH362">
        <v>50</v>
      </c>
      <c r="AI362">
        <v>2</v>
      </c>
      <c r="AJ362" s="200">
        <f t="shared" si="58"/>
        <v>4000</v>
      </c>
      <c r="AL362" s="179">
        <f t="shared" si="56"/>
        <v>50</v>
      </c>
      <c r="AN362" s="183">
        <f t="shared" si="57"/>
        <v>4000000</v>
      </c>
    </row>
    <row r="363" spans="1:40" customFormat="1" ht="20.100000000000001" hidden="1" customHeight="1" x14ac:dyDescent="0.25">
      <c r="A363">
        <v>14292</v>
      </c>
      <c r="B363" t="s">
        <v>98</v>
      </c>
      <c r="C363" t="s">
        <v>41</v>
      </c>
      <c r="D363">
        <v>1</v>
      </c>
      <c r="E363">
        <v>2025</v>
      </c>
      <c r="F363">
        <v>2025</v>
      </c>
      <c r="G363" t="s">
        <v>23</v>
      </c>
      <c r="H363" t="s">
        <v>98</v>
      </c>
      <c r="I363" t="s">
        <v>1175</v>
      </c>
      <c r="J363" t="s">
        <v>2009</v>
      </c>
      <c r="K363" t="s">
        <v>992</v>
      </c>
      <c r="L363" t="s">
        <v>760</v>
      </c>
      <c r="M363" t="s">
        <v>759</v>
      </c>
      <c r="O363" t="s">
        <v>382</v>
      </c>
      <c r="P363" t="s">
        <v>404</v>
      </c>
      <c r="Q363" t="s">
        <v>702</v>
      </c>
      <c r="R363" t="s">
        <v>339</v>
      </c>
      <c r="S363" t="s">
        <v>22</v>
      </c>
      <c r="T363" t="s">
        <v>763</v>
      </c>
      <c r="U363">
        <v>20</v>
      </c>
      <c r="V363">
        <v>180</v>
      </c>
      <c r="W363">
        <v>8</v>
      </c>
      <c r="X363">
        <v>188</v>
      </c>
      <c r="Y363">
        <v>4</v>
      </c>
      <c r="Z363" t="s">
        <v>20</v>
      </c>
      <c r="AA363" t="s">
        <v>18</v>
      </c>
      <c r="AB363" s="189" t="s">
        <v>18</v>
      </c>
      <c r="AC363" t="s">
        <v>2010</v>
      </c>
      <c r="AD363" t="s">
        <v>1949</v>
      </c>
      <c r="AG363" t="s">
        <v>990</v>
      </c>
      <c r="AH363">
        <v>47</v>
      </c>
      <c r="AI363">
        <v>2</v>
      </c>
      <c r="AJ363" s="200">
        <f t="shared" si="58"/>
        <v>3760</v>
      </c>
      <c r="AL363" s="179">
        <f t="shared" si="56"/>
        <v>47</v>
      </c>
      <c r="AN363" s="183">
        <f t="shared" si="57"/>
        <v>3760000</v>
      </c>
    </row>
    <row r="364" spans="1:40" customFormat="1" ht="20.100000000000001" hidden="1" customHeight="1" x14ac:dyDescent="0.25">
      <c r="A364">
        <v>14412</v>
      </c>
      <c r="B364" t="s">
        <v>98</v>
      </c>
      <c r="C364" t="s">
        <v>41</v>
      </c>
      <c r="D364">
        <v>1</v>
      </c>
      <c r="E364">
        <v>2025</v>
      </c>
      <c r="F364">
        <v>2025</v>
      </c>
      <c r="G364" t="s">
        <v>23</v>
      </c>
      <c r="H364" t="s">
        <v>98</v>
      </c>
      <c r="I364" t="s">
        <v>1175</v>
      </c>
      <c r="J364" t="s">
        <v>2016</v>
      </c>
      <c r="K364" t="s">
        <v>992</v>
      </c>
      <c r="L364" t="s">
        <v>21</v>
      </c>
      <c r="M364" t="s">
        <v>21</v>
      </c>
      <c r="O364" t="s">
        <v>382</v>
      </c>
      <c r="P364" t="s">
        <v>776</v>
      </c>
      <c r="Q364" t="s">
        <v>1201</v>
      </c>
      <c r="R364" t="s">
        <v>339</v>
      </c>
      <c r="S364" t="s">
        <v>22</v>
      </c>
      <c r="T364" t="s">
        <v>337</v>
      </c>
      <c r="U364">
        <v>20</v>
      </c>
      <c r="V364">
        <v>100</v>
      </c>
      <c r="W364" t="s">
        <v>21</v>
      </c>
      <c r="X364">
        <v>100</v>
      </c>
      <c r="Y364">
        <v>4</v>
      </c>
      <c r="Z364" t="s">
        <v>20</v>
      </c>
      <c r="AA364" t="s">
        <v>18</v>
      </c>
      <c r="AB364" s="189" t="s">
        <v>18</v>
      </c>
      <c r="AC364" t="s">
        <v>2017</v>
      </c>
      <c r="AD364" t="s">
        <v>1794</v>
      </c>
      <c r="AG364" t="s">
        <v>990</v>
      </c>
      <c r="AH364">
        <v>25</v>
      </c>
      <c r="AI364">
        <v>2</v>
      </c>
      <c r="AJ364" s="200">
        <f t="shared" si="58"/>
        <v>2000</v>
      </c>
      <c r="AL364" s="179">
        <f t="shared" si="56"/>
        <v>25</v>
      </c>
      <c r="AN364" s="183">
        <f t="shared" si="57"/>
        <v>2000000</v>
      </c>
    </row>
    <row r="365" spans="1:40" customFormat="1" ht="20.100000000000001" hidden="1" customHeight="1" x14ac:dyDescent="0.25">
      <c r="A365">
        <v>14413</v>
      </c>
      <c r="B365" t="s">
        <v>98</v>
      </c>
      <c r="C365" t="s">
        <v>41</v>
      </c>
      <c r="D365">
        <v>1</v>
      </c>
      <c r="E365">
        <v>2025</v>
      </c>
      <c r="F365">
        <v>2025</v>
      </c>
      <c r="G365" t="s">
        <v>23</v>
      </c>
      <c r="H365" t="s">
        <v>98</v>
      </c>
      <c r="I365" t="s">
        <v>1175</v>
      </c>
      <c r="J365" t="s">
        <v>2016</v>
      </c>
      <c r="K365" t="s">
        <v>992</v>
      </c>
      <c r="L365" t="s">
        <v>21</v>
      </c>
      <c r="M365" t="s">
        <v>21</v>
      </c>
      <c r="O365" t="s">
        <v>382</v>
      </c>
      <c r="P365" t="s">
        <v>383</v>
      </c>
      <c r="Q365" t="s">
        <v>1201</v>
      </c>
      <c r="R365" t="s">
        <v>339</v>
      </c>
      <c r="S365" t="s">
        <v>22</v>
      </c>
      <c r="T365" t="s">
        <v>337</v>
      </c>
      <c r="U365">
        <v>20</v>
      </c>
      <c r="V365">
        <v>100</v>
      </c>
      <c r="W365" t="s">
        <v>21</v>
      </c>
      <c r="X365">
        <v>100</v>
      </c>
      <c r="Y365">
        <v>4</v>
      </c>
      <c r="Z365" t="s">
        <v>20</v>
      </c>
      <c r="AA365" t="s">
        <v>18</v>
      </c>
      <c r="AB365" s="189" t="s">
        <v>18</v>
      </c>
      <c r="AC365" t="s">
        <v>2018</v>
      </c>
      <c r="AD365" t="s">
        <v>1794</v>
      </c>
      <c r="AG365" t="s">
        <v>990</v>
      </c>
      <c r="AH365">
        <v>25</v>
      </c>
      <c r="AI365">
        <v>2</v>
      </c>
      <c r="AJ365" s="200">
        <f t="shared" si="58"/>
        <v>2000</v>
      </c>
      <c r="AL365" s="179">
        <f t="shared" si="56"/>
        <v>25</v>
      </c>
      <c r="AN365" s="183">
        <f t="shared" si="57"/>
        <v>2000000</v>
      </c>
    </row>
    <row r="366" spans="1:40" customFormat="1" ht="20.100000000000001" hidden="1" customHeight="1" x14ac:dyDescent="0.25">
      <c r="A366">
        <v>14304</v>
      </c>
      <c r="B366" t="s">
        <v>98</v>
      </c>
      <c r="C366" t="s">
        <v>41</v>
      </c>
      <c r="D366">
        <v>1</v>
      </c>
      <c r="E366">
        <v>2025</v>
      </c>
      <c r="F366">
        <v>2025</v>
      </c>
      <c r="G366" t="s">
        <v>23</v>
      </c>
      <c r="H366" t="s">
        <v>98</v>
      </c>
      <c r="I366" t="s">
        <v>1175</v>
      </c>
      <c r="J366" t="s">
        <v>2023</v>
      </c>
      <c r="K366" t="s">
        <v>992</v>
      </c>
      <c r="L366" t="s">
        <v>21</v>
      </c>
      <c r="M366" t="s">
        <v>21</v>
      </c>
      <c r="O366" t="s">
        <v>1722</v>
      </c>
      <c r="P366" t="s">
        <v>731</v>
      </c>
      <c r="Q366" t="s">
        <v>1201</v>
      </c>
      <c r="R366" t="s">
        <v>339</v>
      </c>
      <c r="S366" t="s">
        <v>22</v>
      </c>
      <c r="T366" t="s">
        <v>713</v>
      </c>
      <c r="U366">
        <v>20</v>
      </c>
      <c r="V366">
        <v>40</v>
      </c>
      <c r="W366" t="s">
        <v>21</v>
      </c>
      <c r="X366">
        <v>40</v>
      </c>
      <c r="Y366">
        <v>3</v>
      </c>
      <c r="Z366" t="s">
        <v>20</v>
      </c>
      <c r="AA366" t="s">
        <v>18</v>
      </c>
      <c r="AB366" s="189" t="s">
        <v>18</v>
      </c>
      <c r="AC366" t="s">
        <v>2024</v>
      </c>
      <c r="AD366" t="s">
        <v>2025</v>
      </c>
      <c r="AG366" t="s">
        <v>990</v>
      </c>
      <c r="AH366">
        <v>14</v>
      </c>
      <c r="AI366">
        <v>1</v>
      </c>
      <c r="AJ366" s="200">
        <f t="shared" si="58"/>
        <v>800</v>
      </c>
      <c r="AL366" s="179">
        <f t="shared" si="56"/>
        <v>13.333333333333334</v>
      </c>
      <c r="AN366" s="183">
        <f t="shared" si="57"/>
        <v>1120000</v>
      </c>
    </row>
    <row r="367" spans="1:40" customFormat="1" ht="20.100000000000001" hidden="1" customHeight="1" x14ac:dyDescent="0.25">
      <c r="A367">
        <v>14306</v>
      </c>
      <c r="B367" t="s">
        <v>98</v>
      </c>
      <c r="C367" t="s">
        <v>41</v>
      </c>
      <c r="D367">
        <v>1</v>
      </c>
      <c r="E367">
        <v>2025</v>
      </c>
      <c r="F367">
        <v>2025</v>
      </c>
      <c r="G367" t="s">
        <v>23</v>
      </c>
      <c r="H367" t="s">
        <v>98</v>
      </c>
      <c r="I367" t="s">
        <v>1175</v>
      </c>
      <c r="J367" t="s">
        <v>2023</v>
      </c>
      <c r="K367" t="s">
        <v>992</v>
      </c>
      <c r="L367" t="s">
        <v>21</v>
      </c>
      <c r="M367" t="s">
        <v>21</v>
      </c>
      <c r="O367" t="s">
        <v>1722</v>
      </c>
      <c r="P367" t="s">
        <v>731</v>
      </c>
      <c r="Q367" t="s">
        <v>1201</v>
      </c>
      <c r="R367" t="s">
        <v>339</v>
      </c>
      <c r="S367" t="s">
        <v>22</v>
      </c>
      <c r="T367" t="s">
        <v>713</v>
      </c>
      <c r="U367">
        <v>20</v>
      </c>
      <c r="V367">
        <v>40</v>
      </c>
      <c r="W367" t="s">
        <v>21</v>
      </c>
      <c r="X367">
        <v>40</v>
      </c>
      <c r="Y367">
        <v>3</v>
      </c>
      <c r="Z367" t="s">
        <v>20</v>
      </c>
      <c r="AA367" t="s">
        <v>18</v>
      </c>
      <c r="AB367" s="189" t="s">
        <v>18</v>
      </c>
      <c r="AC367" t="s">
        <v>2024</v>
      </c>
      <c r="AD367" t="s">
        <v>2378</v>
      </c>
      <c r="AG367" t="s">
        <v>990</v>
      </c>
      <c r="AH367">
        <v>14</v>
      </c>
      <c r="AI367">
        <v>1</v>
      </c>
      <c r="AJ367" s="200">
        <f t="shared" si="58"/>
        <v>800</v>
      </c>
      <c r="AL367" s="179">
        <f t="shared" si="56"/>
        <v>13.333333333333334</v>
      </c>
      <c r="AN367" s="183">
        <f t="shared" si="57"/>
        <v>1120000</v>
      </c>
    </row>
    <row r="368" spans="1:40" customFormat="1" ht="20.100000000000001" hidden="1" customHeight="1" x14ac:dyDescent="0.25">
      <c r="A368">
        <v>14446</v>
      </c>
      <c r="B368" t="s">
        <v>98</v>
      </c>
      <c r="C368" t="s">
        <v>41</v>
      </c>
      <c r="D368">
        <v>1</v>
      </c>
      <c r="E368">
        <v>2025</v>
      </c>
      <c r="F368">
        <v>2025</v>
      </c>
      <c r="G368" t="s">
        <v>23</v>
      </c>
      <c r="H368" t="s">
        <v>98</v>
      </c>
      <c r="I368" t="s">
        <v>1175</v>
      </c>
      <c r="J368" t="s">
        <v>2047</v>
      </c>
      <c r="K368" t="s">
        <v>2048</v>
      </c>
      <c r="L368" t="s">
        <v>345</v>
      </c>
      <c r="M368" t="s">
        <v>346</v>
      </c>
      <c r="O368" t="s">
        <v>706</v>
      </c>
      <c r="P368" t="s">
        <v>754</v>
      </c>
      <c r="Q368" t="s">
        <v>1201</v>
      </c>
      <c r="R368" t="s">
        <v>339</v>
      </c>
      <c r="S368" t="s">
        <v>19</v>
      </c>
      <c r="T368" t="s">
        <v>337</v>
      </c>
      <c r="U368">
        <v>10</v>
      </c>
      <c r="V368">
        <v>120</v>
      </c>
      <c r="W368">
        <v>12</v>
      </c>
      <c r="X368">
        <v>132</v>
      </c>
      <c r="Y368">
        <v>4</v>
      </c>
      <c r="Z368" t="s">
        <v>20</v>
      </c>
      <c r="AA368" t="s">
        <v>18</v>
      </c>
      <c r="AB368" t="s">
        <v>20</v>
      </c>
      <c r="AC368" t="s">
        <v>21</v>
      </c>
      <c r="AD368" t="s">
        <v>2049</v>
      </c>
      <c r="AG368" t="s">
        <v>990</v>
      </c>
      <c r="AH368">
        <v>33</v>
      </c>
      <c r="AI368">
        <v>3</v>
      </c>
      <c r="AJ368" s="200">
        <f t="shared" si="58"/>
        <v>1320</v>
      </c>
      <c r="AL368" s="179">
        <f t="shared" si="56"/>
        <v>33</v>
      </c>
      <c r="AN368" s="183">
        <f t="shared" si="57"/>
        <v>1320000</v>
      </c>
    </row>
    <row r="369" spans="1:40" customFormat="1" ht="20.100000000000001" hidden="1" customHeight="1" x14ac:dyDescent="0.25">
      <c r="A369">
        <v>14421</v>
      </c>
      <c r="B369" t="s">
        <v>98</v>
      </c>
      <c r="C369" t="s">
        <v>41</v>
      </c>
      <c r="D369">
        <v>1</v>
      </c>
      <c r="E369">
        <v>2025</v>
      </c>
      <c r="F369">
        <v>2025</v>
      </c>
      <c r="G369" t="s">
        <v>23</v>
      </c>
      <c r="H369" t="s">
        <v>98</v>
      </c>
      <c r="I369" t="s">
        <v>1175</v>
      </c>
      <c r="J369" t="s">
        <v>999</v>
      </c>
      <c r="K369" t="s">
        <v>1000</v>
      </c>
      <c r="L369" t="s">
        <v>345</v>
      </c>
      <c r="M369" t="s">
        <v>346</v>
      </c>
      <c r="O369" t="s">
        <v>382</v>
      </c>
      <c r="P369" t="s">
        <v>748</v>
      </c>
      <c r="Q369" t="s">
        <v>1201</v>
      </c>
      <c r="R369" t="s">
        <v>339</v>
      </c>
      <c r="S369" t="s">
        <v>19</v>
      </c>
      <c r="T369" t="s">
        <v>2053</v>
      </c>
      <c r="U369">
        <v>13</v>
      </c>
      <c r="V369">
        <v>80</v>
      </c>
      <c r="W369">
        <v>12</v>
      </c>
      <c r="X369">
        <v>92</v>
      </c>
      <c r="Y369">
        <v>4</v>
      </c>
      <c r="Z369" t="s">
        <v>20</v>
      </c>
      <c r="AA369" t="s">
        <v>18</v>
      </c>
      <c r="AB369" t="s">
        <v>20</v>
      </c>
      <c r="AC369" t="s">
        <v>21</v>
      </c>
      <c r="AD369" t="s">
        <v>2054</v>
      </c>
      <c r="AG369" t="s">
        <v>990</v>
      </c>
      <c r="AH369">
        <v>23</v>
      </c>
      <c r="AI369">
        <v>3</v>
      </c>
      <c r="AJ369" s="200">
        <f t="shared" si="58"/>
        <v>1196</v>
      </c>
      <c r="AL369" s="179">
        <f t="shared" si="56"/>
        <v>23</v>
      </c>
      <c r="AN369" s="183">
        <f t="shared" si="57"/>
        <v>1196000</v>
      </c>
    </row>
    <row r="370" spans="1:40" customFormat="1" ht="20.100000000000001" hidden="1" customHeight="1" x14ac:dyDescent="0.25">
      <c r="A370">
        <v>14444</v>
      </c>
      <c r="B370" t="s">
        <v>98</v>
      </c>
      <c r="C370" t="s">
        <v>41</v>
      </c>
      <c r="D370">
        <v>1</v>
      </c>
      <c r="E370">
        <v>2025</v>
      </c>
      <c r="F370">
        <v>2025</v>
      </c>
      <c r="G370" t="s">
        <v>23</v>
      </c>
      <c r="H370" t="s">
        <v>98</v>
      </c>
      <c r="I370" t="s">
        <v>1175</v>
      </c>
      <c r="J370" t="s">
        <v>786</v>
      </c>
      <c r="K370" t="s">
        <v>785</v>
      </c>
      <c r="L370" t="s">
        <v>345</v>
      </c>
      <c r="M370" t="s">
        <v>346</v>
      </c>
      <c r="O370" t="s">
        <v>709</v>
      </c>
      <c r="P370" t="s">
        <v>721</v>
      </c>
      <c r="Q370" t="s">
        <v>1201</v>
      </c>
      <c r="R370" t="s">
        <v>339</v>
      </c>
      <c r="S370" t="s">
        <v>19</v>
      </c>
      <c r="T370" t="s">
        <v>337</v>
      </c>
      <c r="U370">
        <v>10</v>
      </c>
      <c r="V370">
        <v>120</v>
      </c>
      <c r="W370">
        <v>12</v>
      </c>
      <c r="X370">
        <v>132</v>
      </c>
      <c r="Y370">
        <v>4</v>
      </c>
      <c r="Z370" t="s">
        <v>20</v>
      </c>
      <c r="AA370" t="s">
        <v>18</v>
      </c>
      <c r="AB370" t="s">
        <v>20</v>
      </c>
      <c r="AC370" t="s">
        <v>21</v>
      </c>
      <c r="AD370" t="s">
        <v>2066</v>
      </c>
      <c r="AG370" t="s">
        <v>990</v>
      </c>
      <c r="AH370">
        <v>33</v>
      </c>
      <c r="AI370">
        <v>3</v>
      </c>
      <c r="AJ370" s="200">
        <f t="shared" si="58"/>
        <v>1320</v>
      </c>
      <c r="AL370" s="179">
        <f t="shared" si="56"/>
        <v>33</v>
      </c>
      <c r="AN370" s="183">
        <f t="shared" si="57"/>
        <v>1320000</v>
      </c>
    </row>
    <row r="371" spans="1:40" customFormat="1" ht="20.100000000000001" hidden="1" customHeight="1" x14ac:dyDescent="0.25">
      <c r="A371">
        <v>14325</v>
      </c>
      <c r="B371" t="s">
        <v>98</v>
      </c>
      <c r="C371" t="s">
        <v>41</v>
      </c>
      <c r="D371">
        <v>1</v>
      </c>
      <c r="E371">
        <v>2025</v>
      </c>
      <c r="F371">
        <v>2025</v>
      </c>
      <c r="G371" t="s">
        <v>23</v>
      </c>
      <c r="H371" t="s">
        <v>98</v>
      </c>
      <c r="I371" t="s">
        <v>1175</v>
      </c>
      <c r="J371" t="s">
        <v>747</v>
      </c>
      <c r="K371" t="s">
        <v>746</v>
      </c>
      <c r="L371" t="s">
        <v>345</v>
      </c>
      <c r="M371" t="s">
        <v>346</v>
      </c>
      <c r="O371" t="s">
        <v>382</v>
      </c>
      <c r="P371" t="s">
        <v>416</v>
      </c>
      <c r="Q371" t="s">
        <v>702</v>
      </c>
      <c r="R371" t="s">
        <v>339</v>
      </c>
      <c r="S371" t="s">
        <v>19</v>
      </c>
      <c r="T371" t="s">
        <v>337</v>
      </c>
      <c r="U371">
        <v>10</v>
      </c>
      <c r="V371">
        <v>240</v>
      </c>
      <c r="W371">
        <v>12</v>
      </c>
      <c r="X371">
        <v>252</v>
      </c>
      <c r="Y371">
        <v>4</v>
      </c>
      <c r="Z371" t="s">
        <v>20</v>
      </c>
      <c r="AA371" t="s">
        <v>18</v>
      </c>
      <c r="AB371" t="s">
        <v>20</v>
      </c>
      <c r="AC371" t="s">
        <v>21</v>
      </c>
      <c r="AD371" t="s">
        <v>2068</v>
      </c>
      <c r="AG371" t="s">
        <v>990</v>
      </c>
      <c r="AH371">
        <v>63</v>
      </c>
      <c r="AI371">
        <v>3</v>
      </c>
      <c r="AJ371" s="200">
        <f t="shared" si="58"/>
        <v>2520</v>
      </c>
      <c r="AL371" s="179">
        <f t="shared" si="56"/>
        <v>63</v>
      </c>
      <c r="AN371" s="183">
        <f t="shared" si="57"/>
        <v>2520000</v>
      </c>
    </row>
    <row r="372" spans="1:40" customFormat="1" ht="20.100000000000001" hidden="1" customHeight="1" x14ac:dyDescent="0.25">
      <c r="A372">
        <v>14435</v>
      </c>
      <c r="B372" t="s">
        <v>98</v>
      </c>
      <c r="C372" t="s">
        <v>41</v>
      </c>
      <c r="D372">
        <v>1</v>
      </c>
      <c r="E372">
        <v>2025</v>
      </c>
      <c r="F372">
        <v>2025</v>
      </c>
      <c r="G372" t="s">
        <v>23</v>
      </c>
      <c r="H372" t="s">
        <v>98</v>
      </c>
      <c r="I372" t="s">
        <v>1175</v>
      </c>
      <c r="J372" t="s">
        <v>711</v>
      </c>
      <c r="K372" t="s">
        <v>712</v>
      </c>
      <c r="L372" t="s">
        <v>345</v>
      </c>
      <c r="M372" t="s">
        <v>346</v>
      </c>
      <c r="O372" t="s">
        <v>706</v>
      </c>
      <c r="P372" t="s">
        <v>707</v>
      </c>
      <c r="Q372" t="s">
        <v>1201</v>
      </c>
      <c r="R372" t="s">
        <v>339</v>
      </c>
      <c r="S372" t="s">
        <v>19</v>
      </c>
      <c r="T372" t="s">
        <v>337</v>
      </c>
      <c r="U372">
        <v>10</v>
      </c>
      <c r="V372">
        <v>160</v>
      </c>
      <c r="W372">
        <v>12</v>
      </c>
      <c r="X372">
        <v>172</v>
      </c>
      <c r="Y372">
        <v>4</v>
      </c>
      <c r="Z372" t="s">
        <v>20</v>
      </c>
      <c r="AA372" t="s">
        <v>18</v>
      </c>
      <c r="AB372" t="s">
        <v>20</v>
      </c>
      <c r="AC372" t="s">
        <v>21</v>
      </c>
      <c r="AD372" t="s">
        <v>2092</v>
      </c>
      <c r="AG372" t="s">
        <v>990</v>
      </c>
      <c r="AH372">
        <v>43</v>
      </c>
      <c r="AI372">
        <v>3</v>
      </c>
      <c r="AJ372" s="200">
        <f t="shared" si="58"/>
        <v>1720</v>
      </c>
      <c r="AL372" s="179">
        <f t="shared" si="56"/>
        <v>43</v>
      </c>
      <c r="AN372" s="183">
        <f t="shared" si="57"/>
        <v>1720000</v>
      </c>
    </row>
    <row r="373" spans="1:40" customFormat="1" ht="20.100000000000001" hidden="1" customHeight="1" x14ac:dyDescent="0.25">
      <c r="A373">
        <v>14393</v>
      </c>
      <c r="B373" t="s">
        <v>98</v>
      </c>
      <c r="C373" t="s">
        <v>41</v>
      </c>
      <c r="D373">
        <v>1</v>
      </c>
      <c r="E373">
        <v>2025</v>
      </c>
      <c r="F373">
        <v>2025</v>
      </c>
      <c r="G373" t="s">
        <v>23</v>
      </c>
      <c r="H373" t="s">
        <v>98</v>
      </c>
      <c r="I373" t="s">
        <v>1175</v>
      </c>
      <c r="J373" t="s">
        <v>2095</v>
      </c>
      <c r="K373" t="s">
        <v>2096</v>
      </c>
      <c r="L373" t="s">
        <v>345</v>
      </c>
      <c r="M373" t="s">
        <v>346</v>
      </c>
      <c r="O373" t="s">
        <v>424</v>
      </c>
      <c r="P373" t="s">
        <v>842</v>
      </c>
      <c r="Q373" t="s">
        <v>1201</v>
      </c>
      <c r="R373" t="s">
        <v>339</v>
      </c>
      <c r="S373" t="s">
        <v>19</v>
      </c>
      <c r="T373" t="s">
        <v>337</v>
      </c>
      <c r="U373">
        <v>15</v>
      </c>
      <c r="V373">
        <v>160</v>
      </c>
      <c r="W373">
        <v>12</v>
      </c>
      <c r="X373">
        <v>172</v>
      </c>
      <c r="Y373">
        <v>4</v>
      </c>
      <c r="Z373" t="s">
        <v>20</v>
      </c>
      <c r="AA373" t="s">
        <v>18</v>
      </c>
      <c r="AB373" t="s">
        <v>20</v>
      </c>
      <c r="AC373" t="s">
        <v>21</v>
      </c>
      <c r="AD373" t="s">
        <v>1570</v>
      </c>
      <c r="AG373" t="s">
        <v>990</v>
      </c>
      <c r="AH373">
        <v>43</v>
      </c>
      <c r="AI373">
        <v>1</v>
      </c>
      <c r="AJ373" s="200">
        <f t="shared" si="58"/>
        <v>2580</v>
      </c>
      <c r="AL373" s="179">
        <f t="shared" si="56"/>
        <v>43</v>
      </c>
      <c r="AN373" s="183">
        <f t="shared" si="57"/>
        <v>2580000</v>
      </c>
    </row>
    <row r="374" spans="1:40" customFormat="1" ht="20.100000000000001" hidden="1" customHeight="1" x14ac:dyDescent="0.25">
      <c r="A374">
        <v>14438</v>
      </c>
      <c r="B374" t="s">
        <v>98</v>
      </c>
      <c r="C374" t="s">
        <v>41</v>
      </c>
      <c r="D374">
        <v>1</v>
      </c>
      <c r="E374">
        <v>2025</v>
      </c>
      <c r="F374">
        <v>2025</v>
      </c>
      <c r="G374" t="s">
        <v>23</v>
      </c>
      <c r="H374" t="s">
        <v>98</v>
      </c>
      <c r="I374" t="s">
        <v>1175</v>
      </c>
      <c r="J374" t="s">
        <v>780</v>
      </c>
      <c r="K374" t="s">
        <v>779</v>
      </c>
      <c r="L374" t="s">
        <v>345</v>
      </c>
      <c r="M374" t="s">
        <v>346</v>
      </c>
      <c r="O374" t="s">
        <v>706</v>
      </c>
      <c r="P374" t="s">
        <v>707</v>
      </c>
      <c r="Q374" t="s">
        <v>1201</v>
      </c>
      <c r="R374" t="s">
        <v>339</v>
      </c>
      <c r="S374" t="s">
        <v>19</v>
      </c>
      <c r="T374" t="s">
        <v>337</v>
      </c>
      <c r="U374">
        <v>10</v>
      </c>
      <c r="V374">
        <v>180</v>
      </c>
      <c r="W374">
        <v>12</v>
      </c>
      <c r="X374">
        <v>192</v>
      </c>
      <c r="Y374">
        <v>4</v>
      </c>
      <c r="Z374" t="s">
        <v>20</v>
      </c>
      <c r="AA374" t="s">
        <v>18</v>
      </c>
      <c r="AB374" t="s">
        <v>20</v>
      </c>
      <c r="AC374" t="s">
        <v>21</v>
      </c>
      <c r="AD374" t="s">
        <v>2100</v>
      </c>
      <c r="AG374" t="s">
        <v>990</v>
      </c>
      <c r="AH374">
        <v>48</v>
      </c>
      <c r="AI374">
        <v>2</v>
      </c>
      <c r="AJ374" s="200">
        <f t="shared" si="58"/>
        <v>1920</v>
      </c>
      <c r="AL374" s="179">
        <f t="shared" si="56"/>
        <v>48</v>
      </c>
      <c r="AN374" s="183">
        <f t="shared" si="57"/>
        <v>1920000</v>
      </c>
    </row>
    <row r="375" spans="1:40" customFormat="1" ht="20.100000000000001" hidden="1" customHeight="1" x14ac:dyDescent="0.25">
      <c r="A375">
        <v>14273</v>
      </c>
      <c r="B375" t="s">
        <v>98</v>
      </c>
      <c r="C375" t="s">
        <v>41</v>
      </c>
      <c r="D375">
        <v>1</v>
      </c>
      <c r="E375">
        <v>2025</v>
      </c>
      <c r="F375">
        <v>2025</v>
      </c>
      <c r="G375" t="s">
        <v>23</v>
      </c>
      <c r="H375" t="s">
        <v>98</v>
      </c>
      <c r="I375" t="s">
        <v>1175</v>
      </c>
      <c r="J375" t="s">
        <v>772</v>
      </c>
      <c r="K375" t="s">
        <v>771</v>
      </c>
      <c r="L375" t="s">
        <v>345</v>
      </c>
      <c r="M375" t="s">
        <v>346</v>
      </c>
      <c r="O375" t="s">
        <v>382</v>
      </c>
      <c r="P375" t="s">
        <v>416</v>
      </c>
      <c r="Q375" t="s">
        <v>702</v>
      </c>
      <c r="R375" t="s">
        <v>339</v>
      </c>
      <c r="S375" t="s">
        <v>19</v>
      </c>
      <c r="T375" t="s">
        <v>347</v>
      </c>
      <c r="U375">
        <v>11</v>
      </c>
      <c r="V375">
        <v>100</v>
      </c>
      <c r="W375">
        <v>12</v>
      </c>
      <c r="X375">
        <v>112</v>
      </c>
      <c r="Y375">
        <v>3</v>
      </c>
      <c r="Z375" t="s">
        <v>20</v>
      </c>
      <c r="AA375" t="s">
        <v>18</v>
      </c>
      <c r="AB375" t="s">
        <v>20</v>
      </c>
      <c r="AC375" t="s">
        <v>21</v>
      </c>
      <c r="AD375" t="s">
        <v>2111</v>
      </c>
      <c r="AG375" t="s">
        <v>990</v>
      </c>
      <c r="AH375">
        <v>38</v>
      </c>
      <c r="AI375">
        <v>2</v>
      </c>
      <c r="AJ375" s="200">
        <f t="shared" si="58"/>
        <v>1232</v>
      </c>
      <c r="AL375" s="179">
        <f t="shared" si="56"/>
        <v>37.333333333333336</v>
      </c>
      <c r="AN375" s="183">
        <f t="shared" si="57"/>
        <v>1672000</v>
      </c>
    </row>
    <row r="376" spans="1:40" customFormat="1" ht="20.100000000000001" hidden="1" customHeight="1" x14ac:dyDescent="0.25">
      <c r="A376">
        <v>14394</v>
      </c>
      <c r="B376" t="s">
        <v>98</v>
      </c>
      <c r="C376" t="s">
        <v>41</v>
      </c>
      <c r="D376">
        <v>1</v>
      </c>
      <c r="E376">
        <v>2025</v>
      </c>
      <c r="F376">
        <v>2025</v>
      </c>
      <c r="G376" t="s">
        <v>23</v>
      </c>
      <c r="H376" t="s">
        <v>98</v>
      </c>
      <c r="I376" t="s">
        <v>1175</v>
      </c>
      <c r="J376" t="s">
        <v>400</v>
      </c>
      <c r="K376" t="s">
        <v>401</v>
      </c>
      <c r="L376" t="s">
        <v>345</v>
      </c>
      <c r="M376" t="s">
        <v>346</v>
      </c>
      <c r="O376" t="s">
        <v>424</v>
      </c>
      <c r="P376" t="s">
        <v>842</v>
      </c>
      <c r="Q376" t="s">
        <v>1201</v>
      </c>
      <c r="R376" t="s">
        <v>339</v>
      </c>
      <c r="S376" t="s">
        <v>19</v>
      </c>
      <c r="T376" t="s">
        <v>337</v>
      </c>
      <c r="U376">
        <v>15</v>
      </c>
      <c r="V376">
        <v>195</v>
      </c>
      <c r="W376">
        <v>12</v>
      </c>
      <c r="X376">
        <v>207</v>
      </c>
      <c r="Y376">
        <v>4</v>
      </c>
      <c r="Z376" t="s">
        <v>20</v>
      </c>
      <c r="AA376" t="s">
        <v>18</v>
      </c>
      <c r="AB376" t="s">
        <v>20</v>
      </c>
      <c r="AC376" t="s">
        <v>21</v>
      </c>
      <c r="AD376" t="s">
        <v>1570</v>
      </c>
      <c r="AG376" t="s">
        <v>990</v>
      </c>
      <c r="AH376">
        <v>52</v>
      </c>
      <c r="AI376">
        <v>2</v>
      </c>
      <c r="AJ376" s="200">
        <f t="shared" si="58"/>
        <v>3105</v>
      </c>
      <c r="AL376" s="179">
        <f t="shared" si="56"/>
        <v>51.75</v>
      </c>
      <c r="AN376" s="183">
        <f t="shared" si="57"/>
        <v>3120000</v>
      </c>
    </row>
    <row r="377" spans="1:40" customFormat="1" ht="20.100000000000001" hidden="1" customHeight="1" x14ac:dyDescent="0.25">
      <c r="A377">
        <v>14429</v>
      </c>
      <c r="B377" t="s">
        <v>98</v>
      </c>
      <c r="C377" t="s">
        <v>41</v>
      </c>
      <c r="D377">
        <v>1</v>
      </c>
      <c r="E377">
        <v>2025</v>
      </c>
      <c r="F377">
        <v>2025</v>
      </c>
      <c r="G377" t="s">
        <v>23</v>
      </c>
      <c r="H377" t="s">
        <v>98</v>
      </c>
      <c r="I377" t="s">
        <v>1175</v>
      </c>
      <c r="J377" t="s">
        <v>888</v>
      </c>
      <c r="K377" t="s">
        <v>887</v>
      </c>
      <c r="L377" t="s">
        <v>345</v>
      </c>
      <c r="M377" t="s">
        <v>346</v>
      </c>
      <c r="O377" t="s">
        <v>796</v>
      </c>
      <c r="P377" t="s">
        <v>2127</v>
      </c>
      <c r="Q377" t="s">
        <v>1201</v>
      </c>
      <c r="R377" t="s">
        <v>339</v>
      </c>
      <c r="S377" t="s">
        <v>19</v>
      </c>
      <c r="T377" t="s">
        <v>337</v>
      </c>
      <c r="U377">
        <v>10</v>
      </c>
      <c r="V377">
        <v>120</v>
      </c>
      <c r="W377">
        <v>12</v>
      </c>
      <c r="X377">
        <v>132</v>
      </c>
      <c r="Y377">
        <v>4</v>
      </c>
      <c r="Z377" t="s">
        <v>20</v>
      </c>
      <c r="AA377" t="s">
        <v>18</v>
      </c>
      <c r="AB377" t="s">
        <v>20</v>
      </c>
      <c r="AC377" t="s">
        <v>21</v>
      </c>
      <c r="AD377" t="s">
        <v>2128</v>
      </c>
      <c r="AG377" t="s">
        <v>990</v>
      </c>
      <c r="AH377">
        <v>33</v>
      </c>
      <c r="AI377">
        <v>1</v>
      </c>
      <c r="AJ377" s="200">
        <f t="shared" si="58"/>
        <v>1320</v>
      </c>
      <c r="AL377" s="179">
        <f t="shared" si="56"/>
        <v>33</v>
      </c>
      <c r="AN377" s="183">
        <f t="shared" si="57"/>
        <v>1320000</v>
      </c>
    </row>
    <row r="378" spans="1:40" customFormat="1" ht="20.100000000000001" hidden="1" customHeight="1" x14ac:dyDescent="0.25">
      <c r="A378">
        <v>14450</v>
      </c>
      <c r="B378" t="s">
        <v>98</v>
      </c>
      <c r="C378" t="s">
        <v>41</v>
      </c>
      <c r="D378">
        <v>1</v>
      </c>
      <c r="E378">
        <v>2025</v>
      </c>
      <c r="F378">
        <v>2025</v>
      </c>
      <c r="G378" t="s">
        <v>23</v>
      </c>
      <c r="H378" t="s">
        <v>98</v>
      </c>
      <c r="I378" t="s">
        <v>1175</v>
      </c>
      <c r="J378" t="s">
        <v>410</v>
      </c>
      <c r="K378" t="s">
        <v>411</v>
      </c>
      <c r="L378" t="s">
        <v>345</v>
      </c>
      <c r="M378" t="s">
        <v>346</v>
      </c>
      <c r="O378" t="s">
        <v>709</v>
      </c>
      <c r="P378" t="s">
        <v>1539</v>
      </c>
      <c r="Q378" t="s">
        <v>1201</v>
      </c>
      <c r="R378" t="s">
        <v>339</v>
      </c>
      <c r="S378" t="s">
        <v>19</v>
      </c>
      <c r="T378" t="s">
        <v>337</v>
      </c>
      <c r="U378">
        <v>10</v>
      </c>
      <c r="V378">
        <v>260</v>
      </c>
      <c r="W378">
        <v>12</v>
      </c>
      <c r="X378">
        <v>272</v>
      </c>
      <c r="Y378">
        <v>4</v>
      </c>
      <c r="Z378" t="s">
        <v>20</v>
      </c>
      <c r="AA378" t="s">
        <v>18</v>
      </c>
      <c r="AB378" t="s">
        <v>20</v>
      </c>
      <c r="AC378" t="s">
        <v>21</v>
      </c>
      <c r="AD378" t="s">
        <v>2133</v>
      </c>
      <c r="AE378" t="s">
        <v>20</v>
      </c>
      <c r="AF378" s="92" t="s">
        <v>2379</v>
      </c>
      <c r="AG378" t="s">
        <v>990</v>
      </c>
      <c r="AH378">
        <v>68</v>
      </c>
      <c r="AI378">
        <v>2</v>
      </c>
      <c r="AJ378" s="200">
        <f t="shared" si="58"/>
        <v>2720</v>
      </c>
      <c r="AL378" s="179">
        <f t="shared" si="56"/>
        <v>68</v>
      </c>
      <c r="AN378" s="183">
        <f t="shared" si="57"/>
        <v>2720000</v>
      </c>
    </row>
    <row r="379" spans="1:40" customFormat="1" ht="20.100000000000001" hidden="1" customHeight="1" x14ac:dyDescent="0.25">
      <c r="A379">
        <v>14418</v>
      </c>
      <c r="B379" t="s">
        <v>98</v>
      </c>
      <c r="C379" t="s">
        <v>41</v>
      </c>
      <c r="D379">
        <v>1</v>
      </c>
      <c r="E379">
        <v>2025</v>
      </c>
      <c r="F379">
        <v>2025</v>
      </c>
      <c r="G379" t="s">
        <v>23</v>
      </c>
      <c r="H379" t="s">
        <v>98</v>
      </c>
      <c r="I379" t="s">
        <v>1175</v>
      </c>
      <c r="J379" t="s">
        <v>1853</v>
      </c>
      <c r="K379" t="s">
        <v>1854</v>
      </c>
      <c r="L379" t="s">
        <v>345</v>
      </c>
      <c r="M379" t="s">
        <v>346</v>
      </c>
      <c r="O379" t="s">
        <v>382</v>
      </c>
      <c r="P379" t="s">
        <v>748</v>
      </c>
      <c r="Q379" t="s">
        <v>1201</v>
      </c>
      <c r="R379" t="s">
        <v>339</v>
      </c>
      <c r="S379" t="s">
        <v>19</v>
      </c>
      <c r="T379" t="s">
        <v>2053</v>
      </c>
      <c r="U379">
        <v>20</v>
      </c>
      <c r="V379">
        <v>40</v>
      </c>
      <c r="W379">
        <v>12</v>
      </c>
      <c r="X379">
        <v>52</v>
      </c>
      <c r="Y379">
        <v>4</v>
      </c>
      <c r="Z379" t="s">
        <v>20</v>
      </c>
      <c r="AA379" t="s">
        <v>18</v>
      </c>
      <c r="AB379" s="189" t="s">
        <v>18</v>
      </c>
      <c r="AC379" t="s">
        <v>21</v>
      </c>
      <c r="AD379" t="s">
        <v>2136</v>
      </c>
      <c r="AG379" t="s">
        <v>990</v>
      </c>
      <c r="AH379">
        <v>13</v>
      </c>
      <c r="AI379">
        <v>3</v>
      </c>
      <c r="AJ379" s="200">
        <f t="shared" si="58"/>
        <v>1040</v>
      </c>
      <c r="AL379" s="179">
        <f t="shared" si="56"/>
        <v>13</v>
      </c>
      <c r="AN379" s="183">
        <f t="shared" si="57"/>
        <v>1040000</v>
      </c>
    </row>
    <row r="380" spans="1:40" customFormat="1" ht="20.100000000000001" hidden="1" customHeight="1" x14ac:dyDescent="0.25">
      <c r="A380">
        <v>14334</v>
      </c>
      <c r="B380" t="s">
        <v>98</v>
      </c>
      <c r="C380" t="s">
        <v>41</v>
      </c>
      <c r="D380">
        <v>1</v>
      </c>
      <c r="E380">
        <v>2025</v>
      </c>
      <c r="F380">
        <v>2025</v>
      </c>
      <c r="G380" t="s">
        <v>23</v>
      </c>
      <c r="H380" t="s">
        <v>98</v>
      </c>
      <c r="I380" t="s">
        <v>1175</v>
      </c>
      <c r="J380" t="s">
        <v>352</v>
      </c>
      <c r="K380" t="s">
        <v>351</v>
      </c>
      <c r="L380" t="s">
        <v>345</v>
      </c>
      <c r="M380" t="s">
        <v>346</v>
      </c>
      <c r="O380" t="s">
        <v>395</v>
      </c>
      <c r="P380" t="s">
        <v>1030</v>
      </c>
      <c r="Q380" t="s">
        <v>1201</v>
      </c>
      <c r="R380" t="s">
        <v>339</v>
      </c>
      <c r="S380" t="s">
        <v>19</v>
      </c>
      <c r="T380" t="s">
        <v>337</v>
      </c>
      <c r="U380">
        <v>10</v>
      </c>
      <c r="V380">
        <v>95</v>
      </c>
      <c r="W380">
        <v>12</v>
      </c>
      <c r="X380">
        <v>107</v>
      </c>
      <c r="Y380">
        <v>4</v>
      </c>
      <c r="Z380" t="s">
        <v>20</v>
      </c>
      <c r="AA380" t="s">
        <v>18</v>
      </c>
      <c r="AB380" t="s">
        <v>20</v>
      </c>
      <c r="AC380" t="s">
        <v>21</v>
      </c>
      <c r="AD380" t="s">
        <v>2147</v>
      </c>
      <c r="AG380" t="s">
        <v>990</v>
      </c>
      <c r="AH380">
        <v>27</v>
      </c>
      <c r="AI380">
        <v>2</v>
      </c>
      <c r="AJ380" s="200">
        <f t="shared" si="58"/>
        <v>1070</v>
      </c>
      <c r="AL380" s="179">
        <f t="shared" si="56"/>
        <v>26.75</v>
      </c>
      <c r="AN380" s="183">
        <f t="shared" si="57"/>
        <v>1080000</v>
      </c>
    </row>
    <row r="381" spans="1:40" customFormat="1" ht="20.100000000000001" hidden="1" customHeight="1" x14ac:dyDescent="0.25">
      <c r="A381">
        <v>14266</v>
      </c>
      <c r="B381" t="s">
        <v>98</v>
      </c>
      <c r="C381" t="s">
        <v>41</v>
      </c>
      <c r="D381">
        <v>1</v>
      </c>
      <c r="E381">
        <v>2025</v>
      </c>
      <c r="F381">
        <v>2025</v>
      </c>
      <c r="G381" t="s">
        <v>23</v>
      </c>
      <c r="H381" t="s">
        <v>98</v>
      </c>
      <c r="I381" t="s">
        <v>1175</v>
      </c>
      <c r="J381" t="s">
        <v>350</v>
      </c>
      <c r="K381" t="s">
        <v>349</v>
      </c>
      <c r="L381" t="s">
        <v>345</v>
      </c>
      <c r="M381" t="s">
        <v>346</v>
      </c>
      <c r="O381" t="s">
        <v>382</v>
      </c>
      <c r="P381" t="s">
        <v>416</v>
      </c>
      <c r="Q381" t="s">
        <v>1201</v>
      </c>
      <c r="R381" t="s">
        <v>339</v>
      </c>
      <c r="S381" t="s">
        <v>19</v>
      </c>
      <c r="T381" t="s">
        <v>337</v>
      </c>
      <c r="U381">
        <v>11</v>
      </c>
      <c r="V381">
        <v>110</v>
      </c>
      <c r="W381">
        <v>12</v>
      </c>
      <c r="X381">
        <v>122</v>
      </c>
      <c r="Y381">
        <v>3</v>
      </c>
      <c r="Z381" t="s">
        <v>20</v>
      </c>
      <c r="AA381" t="s">
        <v>18</v>
      </c>
      <c r="AB381" t="s">
        <v>20</v>
      </c>
      <c r="AC381" t="s">
        <v>21</v>
      </c>
      <c r="AD381" t="s">
        <v>2154</v>
      </c>
      <c r="AG381" t="s">
        <v>990</v>
      </c>
      <c r="AH381">
        <v>41</v>
      </c>
      <c r="AI381">
        <v>2</v>
      </c>
      <c r="AJ381" s="200">
        <f t="shared" si="58"/>
        <v>1342</v>
      </c>
      <c r="AL381" s="179">
        <f t="shared" si="56"/>
        <v>40.666666666666664</v>
      </c>
      <c r="AN381" s="183">
        <f t="shared" si="57"/>
        <v>1804000</v>
      </c>
    </row>
    <row r="382" spans="1:40" customFormat="1" ht="20.100000000000001" hidden="1" customHeight="1" x14ac:dyDescent="0.25">
      <c r="A382">
        <v>14329</v>
      </c>
      <c r="B382" t="s">
        <v>98</v>
      </c>
      <c r="C382" t="s">
        <v>41</v>
      </c>
      <c r="D382">
        <v>1</v>
      </c>
      <c r="E382">
        <v>2025</v>
      </c>
      <c r="F382">
        <v>2025</v>
      </c>
      <c r="G382" t="s">
        <v>23</v>
      </c>
      <c r="H382" t="s">
        <v>98</v>
      </c>
      <c r="I382" t="s">
        <v>1175</v>
      </c>
      <c r="J382" t="s">
        <v>350</v>
      </c>
      <c r="K382" t="s">
        <v>349</v>
      </c>
      <c r="L382" t="s">
        <v>345</v>
      </c>
      <c r="M382" t="s">
        <v>346</v>
      </c>
      <c r="O382" t="s">
        <v>395</v>
      </c>
      <c r="P382" t="s">
        <v>1030</v>
      </c>
      <c r="Q382" t="s">
        <v>1201</v>
      </c>
      <c r="R382" t="s">
        <v>339</v>
      </c>
      <c r="S382" t="s">
        <v>19</v>
      </c>
      <c r="T382" t="s">
        <v>337</v>
      </c>
      <c r="U382">
        <v>10</v>
      </c>
      <c r="V382">
        <v>110</v>
      </c>
      <c r="W382">
        <v>12</v>
      </c>
      <c r="X382">
        <v>122</v>
      </c>
      <c r="Y382">
        <v>4</v>
      </c>
      <c r="Z382" t="s">
        <v>20</v>
      </c>
      <c r="AA382" t="s">
        <v>18</v>
      </c>
      <c r="AB382" t="s">
        <v>20</v>
      </c>
      <c r="AC382" t="s">
        <v>21</v>
      </c>
      <c r="AD382" t="s">
        <v>2160</v>
      </c>
      <c r="AG382" t="s">
        <v>990</v>
      </c>
      <c r="AH382">
        <v>31</v>
      </c>
      <c r="AI382">
        <v>2</v>
      </c>
      <c r="AJ382" s="200">
        <f t="shared" si="58"/>
        <v>1220</v>
      </c>
      <c r="AL382" s="179">
        <f t="shared" si="56"/>
        <v>30.5</v>
      </c>
      <c r="AN382" s="183">
        <f t="shared" si="57"/>
        <v>1240000</v>
      </c>
    </row>
    <row r="383" spans="1:40" customFormat="1" ht="20.100000000000001" hidden="1" customHeight="1" x14ac:dyDescent="0.25">
      <c r="A383">
        <v>14330</v>
      </c>
      <c r="B383" t="s">
        <v>98</v>
      </c>
      <c r="C383" t="s">
        <v>41</v>
      </c>
      <c r="D383">
        <v>1</v>
      </c>
      <c r="E383">
        <v>2025</v>
      </c>
      <c r="F383">
        <v>2025</v>
      </c>
      <c r="G383" t="s">
        <v>23</v>
      </c>
      <c r="H383" t="s">
        <v>98</v>
      </c>
      <c r="I383" t="s">
        <v>1175</v>
      </c>
      <c r="J383" t="s">
        <v>350</v>
      </c>
      <c r="K383" t="s">
        <v>349</v>
      </c>
      <c r="L383" t="s">
        <v>345</v>
      </c>
      <c r="M383" t="s">
        <v>346</v>
      </c>
      <c r="O383" t="s">
        <v>798</v>
      </c>
      <c r="P383" t="s">
        <v>1564</v>
      </c>
      <c r="Q383" t="s">
        <v>1201</v>
      </c>
      <c r="R383" t="s">
        <v>339</v>
      </c>
      <c r="S383" t="s">
        <v>19</v>
      </c>
      <c r="T383" t="s">
        <v>337</v>
      </c>
      <c r="U383">
        <v>10</v>
      </c>
      <c r="V383">
        <v>110</v>
      </c>
      <c r="W383">
        <v>12</v>
      </c>
      <c r="X383">
        <v>122</v>
      </c>
      <c r="Y383">
        <v>4</v>
      </c>
      <c r="Z383" t="s">
        <v>20</v>
      </c>
      <c r="AA383" t="s">
        <v>18</v>
      </c>
      <c r="AB383" t="s">
        <v>20</v>
      </c>
      <c r="AC383" t="s">
        <v>21</v>
      </c>
      <c r="AD383" t="s">
        <v>2163</v>
      </c>
      <c r="AG383" t="s">
        <v>990</v>
      </c>
      <c r="AH383">
        <v>31</v>
      </c>
      <c r="AI383">
        <v>2</v>
      </c>
      <c r="AJ383" s="200">
        <f t="shared" si="58"/>
        <v>1220</v>
      </c>
      <c r="AL383" s="179">
        <f t="shared" si="56"/>
        <v>30.5</v>
      </c>
      <c r="AN383" s="183">
        <f t="shared" si="57"/>
        <v>1240000</v>
      </c>
    </row>
    <row r="384" spans="1:40" customFormat="1" ht="20.100000000000001" hidden="1" customHeight="1" x14ac:dyDescent="0.25">
      <c r="A384">
        <v>14434</v>
      </c>
      <c r="B384" t="s">
        <v>98</v>
      </c>
      <c r="C384" t="s">
        <v>41</v>
      </c>
      <c r="D384">
        <v>1</v>
      </c>
      <c r="E384">
        <v>2025</v>
      </c>
      <c r="F384">
        <v>2025</v>
      </c>
      <c r="G384" t="s">
        <v>23</v>
      </c>
      <c r="H384" t="s">
        <v>98</v>
      </c>
      <c r="I384" t="s">
        <v>1175</v>
      </c>
      <c r="J384" t="s">
        <v>993</v>
      </c>
      <c r="K384" t="s">
        <v>994</v>
      </c>
      <c r="L384" t="s">
        <v>345</v>
      </c>
      <c r="M384" t="s">
        <v>346</v>
      </c>
      <c r="O384" t="s">
        <v>751</v>
      </c>
      <c r="P384" t="s">
        <v>750</v>
      </c>
      <c r="Q384" t="s">
        <v>1201</v>
      </c>
      <c r="R384" t="s">
        <v>339</v>
      </c>
      <c r="S384" t="s">
        <v>19</v>
      </c>
      <c r="T384" t="s">
        <v>337</v>
      </c>
      <c r="U384">
        <v>10</v>
      </c>
      <c r="V384">
        <v>108</v>
      </c>
      <c r="W384">
        <v>12</v>
      </c>
      <c r="X384">
        <v>120</v>
      </c>
      <c r="Y384">
        <v>4</v>
      </c>
      <c r="Z384" t="s">
        <v>20</v>
      </c>
      <c r="AA384" t="s">
        <v>18</v>
      </c>
      <c r="AB384" t="s">
        <v>20</v>
      </c>
      <c r="AC384" t="s">
        <v>21</v>
      </c>
      <c r="AD384" t="s">
        <v>2167</v>
      </c>
      <c r="AG384" t="s">
        <v>990</v>
      </c>
      <c r="AH384">
        <v>30</v>
      </c>
      <c r="AI384">
        <v>3</v>
      </c>
      <c r="AJ384" s="200">
        <f t="shared" si="58"/>
        <v>1200</v>
      </c>
      <c r="AL384" s="179">
        <f t="shared" si="56"/>
        <v>30</v>
      </c>
      <c r="AN384" s="183">
        <f t="shared" si="57"/>
        <v>1200000</v>
      </c>
    </row>
    <row r="385" spans="1:40" customFormat="1" ht="20.100000000000001" hidden="1" customHeight="1" x14ac:dyDescent="0.25">
      <c r="A385">
        <v>14448</v>
      </c>
      <c r="B385" t="s">
        <v>98</v>
      </c>
      <c r="C385" t="s">
        <v>41</v>
      </c>
      <c r="D385">
        <v>1</v>
      </c>
      <c r="E385">
        <v>2025</v>
      </c>
      <c r="F385">
        <v>2025</v>
      </c>
      <c r="G385" t="s">
        <v>23</v>
      </c>
      <c r="H385" t="s">
        <v>98</v>
      </c>
      <c r="I385" t="s">
        <v>1175</v>
      </c>
      <c r="J385" t="s">
        <v>993</v>
      </c>
      <c r="K385" t="s">
        <v>994</v>
      </c>
      <c r="L385" t="s">
        <v>345</v>
      </c>
      <c r="M385" t="s">
        <v>346</v>
      </c>
      <c r="O385" t="s">
        <v>395</v>
      </c>
      <c r="P385" t="s">
        <v>753</v>
      </c>
      <c r="Q385" t="s">
        <v>1201</v>
      </c>
      <c r="R385" t="s">
        <v>339</v>
      </c>
      <c r="S385" t="s">
        <v>19</v>
      </c>
      <c r="T385" t="s">
        <v>337</v>
      </c>
      <c r="U385">
        <v>10</v>
      </c>
      <c r="V385">
        <v>108</v>
      </c>
      <c r="W385">
        <v>12</v>
      </c>
      <c r="X385">
        <v>120</v>
      </c>
      <c r="Y385">
        <v>4</v>
      </c>
      <c r="Z385" t="s">
        <v>20</v>
      </c>
      <c r="AA385" t="s">
        <v>18</v>
      </c>
      <c r="AB385" t="s">
        <v>20</v>
      </c>
      <c r="AC385" t="s">
        <v>21</v>
      </c>
      <c r="AD385" t="s">
        <v>2169</v>
      </c>
      <c r="AG385" t="s">
        <v>990</v>
      </c>
      <c r="AH385">
        <v>30</v>
      </c>
      <c r="AI385">
        <v>3</v>
      </c>
      <c r="AJ385" s="200">
        <f t="shared" si="58"/>
        <v>1200</v>
      </c>
      <c r="AL385" s="179">
        <f t="shared" si="56"/>
        <v>30</v>
      </c>
      <c r="AN385" s="183">
        <f t="shared" si="57"/>
        <v>1200000</v>
      </c>
    </row>
    <row r="386" spans="1:40" customFormat="1" ht="20.100000000000001" hidden="1" customHeight="1" x14ac:dyDescent="0.25">
      <c r="A386">
        <v>14315</v>
      </c>
      <c r="B386" t="s">
        <v>98</v>
      </c>
      <c r="C386" t="s">
        <v>41</v>
      </c>
      <c r="D386">
        <v>1</v>
      </c>
      <c r="E386">
        <v>2025</v>
      </c>
      <c r="F386">
        <v>2025</v>
      </c>
      <c r="G386" t="s">
        <v>23</v>
      </c>
      <c r="H386" t="s">
        <v>98</v>
      </c>
      <c r="I386" t="s">
        <v>1175</v>
      </c>
      <c r="J386" t="s">
        <v>869</v>
      </c>
      <c r="K386" t="s">
        <v>868</v>
      </c>
      <c r="L386" t="s">
        <v>345</v>
      </c>
      <c r="M386" t="s">
        <v>346</v>
      </c>
      <c r="O386" t="s">
        <v>382</v>
      </c>
      <c r="P386" t="s">
        <v>730</v>
      </c>
      <c r="Q386" t="s">
        <v>1201</v>
      </c>
      <c r="R386" t="s">
        <v>339</v>
      </c>
      <c r="S386" t="s">
        <v>19</v>
      </c>
      <c r="T386" t="s">
        <v>337</v>
      </c>
      <c r="U386">
        <v>19</v>
      </c>
      <c r="V386">
        <v>176</v>
      </c>
      <c r="W386">
        <v>12</v>
      </c>
      <c r="X386">
        <v>188</v>
      </c>
      <c r="Y386">
        <v>4</v>
      </c>
      <c r="Z386" t="s">
        <v>20</v>
      </c>
      <c r="AA386" t="s">
        <v>18</v>
      </c>
      <c r="AB386" t="s">
        <v>18</v>
      </c>
      <c r="AC386" t="s">
        <v>21</v>
      </c>
      <c r="AD386" t="s">
        <v>1510</v>
      </c>
      <c r="AE386" t="s">
        <v>20</v>
      </c>
      <c r="AF386" s="92" t="s">
        <v>995</v>
      </c>
      <c r="AG386" t="s">
        <v>990</v>
      </c>
      <c r="AH386">
        <v>47</v>
      </c>
      <c r="AI386">
        <v>2</v>
      </c>
      <c r="AJ386" s="200">
        <f t="shared" si="58"/>
        <v>3572</v>
      </c>
      <c r="AL386" s="179">
        <f t="shared" si="56"/>
        <v>47</v>
      </c>
      <c r="AN386" s="183">
        <f t="shared" si="57"/>
        <v>3572000</v>
      </c>
    </row>
    <row r="387" spans="1:40" customFormat="1" ht="20.100000000000001" hidden="1" customHeight="1" x14ac:dyDescent="0.25">
      <c r="A387">
        <v>14389</v>
      </c>
      <c r="B387" t="s">
        <v>98</v>
      </c>
      <c r="C387" t="s">
        <v>41</v>
      </c>
      <c r="D387">
        <v>1</v>
      </c>
      <c r="E387">
        <v>2025</v>
      </c>
      <c r="F387">
        <v>2025</v>
      </c>
      <c r="G387" t="s">
        <v>23</v>
      </c>
      <c r="H387" t="s">
        <v>98</v>
      </c>
      <c r="I387" t="s">
        <v>1175</v>
      </c>
      <c r="J387" t="s">
        <v>745</v>
      </c>
      <c r="K387" t="s">
        <v>744</v>
      </c>
      <c r="L387" t="s">
        <v>345</v>
      </c>
      <c r="M387" t="s">
        <v>346</v>
      </c>
      <c r="O387" t="s">
        <v>382</v>
      </c>
      <c r="P387" t="s">
        <v>724</v>
      </c>
      <c r="Q387" t="s">
        <v>1178</v>
      </c>
      <c r="R387" t="s">
        <v>339</v>
      </c>
      <c r="S387" t="s">
        <v>19</v>
      </c>
      <c r="T387" t="s">
        <v>348</v>
      </c>
      <c r="U387">
        <v>14</v>
      </c>
      <c r="V387">
        <v>260</v>
      </c>
      <c r="W387">
        <v>12</v>
      </c>
      <c r="X387">
        <v>272</v>
      </c>
      <c r="Y387">
        <v>4</v>
      </c>
      <c r="Z387" t="s">
        <v>20</v>
      </c>
      <c r="AA387" t="s">
        <v>18</v>
      </c>
      <c r="AB387" t="s">
        <v>20</v>
      </c>
      <c r="AC387" t="s">
        <v>21</v>
      </c>
      <c r="AD387" t="s">
        <v>1198</v>
      </c>
      <c r="AE387" t="s">
        <v>20</v>
      </c>
      <c r="AF387" s="206" t="s">
        <v>995</v>
      </c>
      <c r="AG387" t="s">
        <v>990</v>
      </c>
      <c r="AH387">
        <v>68</v>
      </c>
      <c r="AI387">
        <v>2</v>
      </c>
      <c r="AJ387" s="200">
        <f t="shared" si="58"/>
        <v>3808</v>
      </c>
      <c r="AL387" s="179">
        <f t="shared" ref="AL387:AL396" si="59">+(X387/Y387)</f>
        <v>68</v>
      </c>
      <c r="AN387" s="183">
        <f t="shared" ref="AN387:AN396" si="60">IF(Z387="SI",4000*U387*AH387,0)</f>
        <v>3808000</v>
      </c>
    </row>
    <row r="388" spans="1:40" customFormat="1" ht="20.100000000000001" hidden="1" customHeight="1" x14ac:dyDescent="0.25">
      <c r="A388">
        <v>14288</v>
      </c>
      <c r="B388" t="s">
        <v>98</v>
      </c>
      <c r="C388" t="s">
        <v>41</v>
      </c>
      <c r="D388">
        <v>1</v>
      </c>
      <c r="E388">
        <v>2025</v>
      </c>
      <c r="F388">
        <v>2025</v>
      </c>
      <c r="G388" t="s">
        <v>23</v>
      </c>
      <c r="H388" t="s">
        <v>98</v>
      </c>
      <c r="I388" t="s">
        <v>1175</v>
      </c>
      <c r="J388" t="s">
        <v>745</v>
      </c>
      <c r="K388" t="s">
        <v>744</v>
      </c>
      <c r="L388" t="s">
        <v>345</v>
      </c>
      <c r="M388" t="s">
        <v>346</v>
      </c>
      <c r="O388" t="s">
        <v>798</v>
      </c>
      <c r="P388" t="s">
        <v>1517</v>
      </c>
      <c r="Q388" t="s">
        <v>1201</v>
      </c>
      <c r="R388" t="s">
        <v>339</v>
      </c>
      <c r="S388" t="s">
        <v>19</v>
      </c>
      <c r="T388" t="s">
        <v>337</v>
      </c>
      <c r="U388">
        <v>10</v>
      </c>
      <c r="V388">
        <v>260</v>
      </c>
      <c r="W388">
        <v>12</v>
      </c>
      <c r="X388">
        <v>272</v>
      </c>
      <c r="Y388">
        <v>4</v>
      </c>
      <c r="Z388" t="s">
        <v>20</v>
      </c>
      <c r="AA388" t="s">
        <v>18</v>
      </c>
      <c r="AB388" t="s">
        <v>20</v>
      </c>
      <c r="AC388" t="s">
        <v>21</v>
      </c>
      <c r="AD388" t="s">
        <v>2380</v>
      </c>
      <c r="AE388" t="s">
        <v>20</v>
      </c>
      <c r="AF388" s="206" t="s">
        <v>995</v>
      </c>
      <c r="AG388" t="s">
        <v>990</v>
      </c>
      <c r="AH388">
        <v>68</v>
      </c>
      <c r="AI388">
        <v>2</v>
      </c>
      <c r="AJ388" s="200">
        <f t="shared" si="58"/>
        <v>2720</v>
      </c>
      <c r="AL388" s="179">
        <f t="shared" si="59"/>
        <v>68</v>
      </c>
      <c r="AN388" s="183">
        <f t="shared" si="60"/>
        <v>2720000</v>
      </c>
    </row>
    <row r="389" spans="1:40" customFormat="1" ht="20.100000000000001" hidden="1" customHeight="1" x14ac:dyDescent="0.25">
      <c r="A389">
        <v>14422</v>
      </c>
      <c r="B389" t="s">
        <v>98</v>
      </c>
      <c r="C389" t="s">
        <v>41</v>
      </c>
      <c r="D389">
        <v>1</v>
      </c>
      <c r="E389">
        <v>2025</v>
      </c>
      <c r="F389">
        <v>2025</v>
      </c>
      <c r="G389" t="s">
        <v>23</v>
      </c>
      <c r="H389" t="s">
        <v>98</v>
      </c>
      <c r="I389" t="s">
        <v>1175</v>
      </c>
      <c r="J389" t="s">
        <v>745</v>
      </c>
      <c r="K389" t="s">
        <v>744</v>
      </c>
      <c r="L389" t="s">
        <v>345</v>
      </c>
      <c r="M389" t="s">
        <v>346</v>
      </c>
      <c r="O389" t="s">
        <v>709</v>
      </c>
      <c r="P389" t="s">
        <v>764</v>
      </c>
      <c r="Q389" t="s">
        <v>1201</v>
      </c>
      <c r="R389" t="s">
        <v>339</v>
      </c>
      <c r="S389" t="s">
        <v>19</v>
      </c>
      <c r="T389" t="s">
        <v>337</v>
      </c>
      <c r="U389">
        <v>10</v>
      </c>
      <c r="V389">
        <v>260</v>
      </c>
      <c r="W389">
        <v>12</v>
      </c>
      <c r="X389">
        <v>272</v>
      </c>
      <c r="Y389">
        <v>4</v>
      </c>
      <c r="Z389" t="s">
        <v>20</v>
      </c>
      <c r="AA389" t="s">
        <v>18</v>
      </c>
      <c r="AB389" t="s">
        <v>20</v>
      </c>
      <c r="AC389" t="s">
        <v>21</v>
      </c>
      <c r="AD389" t="s">
        <v>1523</v>
      </c>
      <c r="AE389" t="s">
        <v>20</v>
      </c>
      <c r="AF389" s="206" t="s">
        <v>995</v>
      </c>
      <c r="AG389" t="s">
        <v>990</v>
      </c>
      <c r="AH389">
        <v>68</v>
      </c>
      <c r="AI389">
        <v>2</v>
      </c>
      <c r="AJ389" s="200">
        <f t="shared" si="58"/>
        <v>2720</v>
      </c>
      <c r="AL389" s="179">
        <f t="shared" si="59"/>
        <v>68</v>
      </c>
      <c r="AN389" s="183">
        <f t="shared" si="60"/>
        <v>2720000</v>
      </c>
    </row>
    <row r="390" spans="1:40" customFormat="1" ht="20.100000000000001" hidden="1" customHeight="1" x14ac:dyDescent="0.25">
      <c r="A390">
        <v>14430</v>
      </c>
      <c r="B390" t="s">
        <v>98</v>
      </c>
      <c r="C390" t="s">
        <v>41</v>
      </c>
      <c r="D390">
        <v>1</v>
      </c>
      <c r="E390">
        <v>2025</v>
      </c>
      <c r="F390">
        <v>2025</v>
      </c>
      <c r="G390" t="s">
        <v>23</v>
      </c>
      <c r="H390" t="s">
        <v>98</v>
      </c>
      <c r="I390" t="s">
        <v>1175</v>
      </c>
      <c r="J390" t="s">
        <v>745</v>
      </c>
      <c r="K390" t="s">
        <v>744</v>
      </c>
      <c r="L390" t="s">
        <v>345</v>
      </c>
      <c r="M390" t="s">
        <v>346</v>
      </c>
      <c r="O390" t="s">
        <v>428</v>
      </c>
      <c r="P390" t="s">
        <v>430</v>
      </c>
      <c r="Q390" t="s">
        <v>1201</v>
      </c>
      <c r="R390" t="s">
        <v>339</v>
      </c>
      <c r="S390" t="s">
        <v>19</v>
      </c>
      <c r="T390" t="s">
        <v>337</v>
      </c>
      <c r="U390">
        <v>10</v>
      </c>
      <c r="V390">
        <v>260</v>
      </c>
      <c r="W390">
        <v>12</v>
      </c>
      <c r="X390">
        <v>272</v>
      </c>
      <c r="Y390">
        <v>4</v>
      </c>
      <c r="Z390" t="s">
        <v>20</v>
      </c>
      <c r="AA390" t="s">
        <v>18</v>
      </c>
      <c r="AB390" t="s">
        <v>20</v>
      </c>
      <c r="AC390" t="s">
        <v>21</v>
      </c>
      <c r="AD390" t="s">
        <v>1527</v>
      </c>
      <c r="AE390" t="s">
        <v>20</v>
      </c>
      <c r="AF390" s="206" t="s">
        <v>995</v>
      </c>
      <c r="AG390" t="s">
        <v>990</v>
      </c>
      <c r="AH390">
        <v>68</v>
      </c>
      <c r="AI390">
        <v>2</v>
      </c>
      <c r="AJ390" s="200">
        <f t="shared" si="58"/>
        <v>2720</v>
      </c>
      <c r="AL390" s="179">
        <f t="shared" si="59"/>
        <v>68</v>
      </c>
      <c r="AN390" s="183">
        <f t="shared" si="60"/>
        <v>2720000</v>
      </c>
    </row>
    <row r="391" spans="1:40" customFormat="1" ht="20.100000000000001" hidden="1" customHeight="1" x14ac:dyDescent="0.25">
      <c r="A391">
        <v>14328</v>
      </c>
      <c r="B391" t="s">
        <v>98</v>
      </c>
      <c r="C391" t="s">
        <v>41</v>
      </c>
      <c r="D391">
        <v>1</v>
      </c>
      <c r="E391">
        <v>2025</v>
      </c>
      <c r="F391">
        <v>2025</v>
      </c>
      <c r="G391" t="s">
        <v>23</v>
      </c>
      <c r="H391" t="s">
        <v>98</v>
      </c>
      <c r="I391" t="s">
        <v>1175</v>
      </c>
      <c r="J391" t="s">
        <v>2175</v>
      </c>
      <c r="K391" t="s">
        <v>992</v>
      </c>
      <c r="L391" t="s">
        <v>345</v>
      </c>
      <c r="M391" t="s">
        <v>346</v>
      </c>
      <c r="O391" t="s">
        <v>382</v>
      </c>
      <c r="P391" t="s">
        <v>717</v>
      </c>
      <c r="Q391" t="s">
        <v>1201</v>
      </c>
      <c r="R391" t="s">
        <v>339</v>
      </c>
      <c r="S391" t="s">
        <v>19</v>
      </c>
      <c r="T391" t="s">
        <v>393</v>
      </c>
      <c r="U391">
        <v>15</v>
      </c>
      <c r="V391">
        <v>148</v>
      </c>
      <c r="W391">
        <v>12</v>
      </c>
      <c r="X391">
        <v>160</v>
      </c>
      <c r="Y391">
        <v>4</v>
      </c>
      <c r="Z391" t="s">
        <v>20</v>
      </c>
      <c r="AA391" t="s">
        <v>18</v>
      </c>
      <c r="AB391" t="s">
        <v>18</v>
      </c>
      <c r="AC391" t="s">
        <v>2176</v>
      </c>
      <c r="AD391" t="s">
        <v>2177</v>
      </c>
      <c r="AG391" t="s">
        <v>990</v>
      </c>
      <c r="AH391">
        <v>40</v>
      </c>
      <c r="AI391">
        <v>1</v>
      </c>
      <c r="AJ391" s="200">
        <f t="shared" si="58"/>
        <v>2400</v>
      </c>
      <c r="AL391" s="179">
        <f t="shared" si="59"/>
        <v>40</v>
      </c>
      <c r="AN391" s="183">
        <f t="shared" si="60"/>
        <v>2400000</v>
      </c>
    </row>
    <row r="392" spans="1:40" customFormat="1" ht="20.100000000000001" hidden="1" customHeight="1" x14ac:dyDescent="0.25">
      <c r="A392">
        <v>14274</v>
      </c>
      <c r="B392" t="s">
        <v>98</v>
      </c>
      <c r="C392" t="s">
        <v>41</v>
      </c>
      <c r="D392">
        <v>1</v>
      </c>
      <c r="E392">
        <v>2025</v>
      </c>
      <c r="F392">
        <v>2025</v>
      </c>
      <c r="G392" t="s">
        <v>23</v>
      </c>
      <c r="H392" t="s">
        <v>98</v>
      </c>
      <c r="I392" t="s">
        <v>1175</v>
      </c>
      <c r="J392" t="s">
        <v>2218</v>
      </c>
      <c r="K392" t="s">
        <v>992</v>
      </c>
      <c r="L392" t="s">
        <v>345</v>
      </c>
      <c r="M392" t="s">
        <v>346</v>
      </c>
      <c r="O392" t="s">
        <v>798</v>
      </c>
      <c r="P392" t="s">
        <v>1517</v>
      </c>
      <c r="Q392" t="s">
        <v>1201</v>
      </c>
      <c r="R392" t="s">
        <v>339</v>
      </c>
      <c r="S392" t="s">
        <v>19</v>
      </c>
      <c r="T392" t="s">
        <v>337</v>
      </c>
      <c r="U392">
        <v>20</v>
      </c>
      <c r="V392">
        <v>200</v>
      </c>
      <c r="W392">
        <v>12</v>
      </c>
      <c r="X392">
        <v>212</v>
      </c>
      <c r="Y392">
        <v>3</v>
      </c>
      <c r="Z392" t="s">
        <v>20</v>
      </c>
      <c r="AA392" t="s">
        <v>18</v>
      </c>
      <c r="AB392" t="s">
        <v>20</v>
      </c>
      <c r="AC392" t="s">
        <v>2219</v>
      </c>
      <c r="AD392" t="s">
        <v>2381</v>
      </c>
      <c r="AG392" t="s">
        <v>990</v>
      </c>
      <c r="AH392">
        <v>71</v>
      </c>
      <c r="AI392">
        <v>3</v>
      </c>
      <c r="AJ392" s="200">
        <f t="shared" si="58"/>
        <v>4240</v>
      </c>
      <c r="AL392" s="179">
        <f t="shared" si="59"/>
        <v>70.666666666666671</v>
      </c>
      <c r="AN392" s="183">
        <f t="shared" si="60"/>
        <v>5680000</v>
      </c>
    </row>
    <row r="393" spans="1:40" customFormat="1" ht="20.100000000000001" hidden="1" customHeight="1" x14ac:dyDescent="0.25">
      <c r="A393">
        <v>14287</v>
      </c>
      <c r="B393" t="s">
        <v>98</v>
      </c>
      <c r="C393" t="s">
        <v>41</v>
      </c>
      <c r="D393">
        <v>1</v>
      </c>
      <c r="E393">
        <v>2025</v>
      </c>
      <c r="F393">
        <v>2025</v>
      </c>
      <c r="G393" t="s">
        <v>23</v>
      </c>
      <c r="H393" t="s">
        <v>98</v>
      </c>
      <c r="I393" t="s">
        <v>1175</v>
      </c>
      <c r="J393" t="s">
        <v>2222</v>
      </c>
      <c r="K393" t="s">
        <v>992</v>
      </c>
      <c r="L393" t="s">
        <v>345</v>
      </c>
      <c r="M393" t="s">
        <v>346</v>
      </c>
      <c r="O393" t="s">
        <v>798</v>
      </c>
      <c r="P393" t="s">
        <v>2223</v>
      </c>
      <c r="Q393" t="s">
        <v>1201</v>
      </c>
      <c r="R393" t="s">
        <v>339</v>
      </c>
      <c r="S393" t="s">
        <v>19</v>
      </c>
      <c r="T393" t="s">
        <v>337</v>
      </c>
      <c r="U393">
        <v>20</v>
      </c>
      <c r="V393">
        <v>200</v>
      </c>
      <c r="W393">
        <v>12</v>
      </c>
      <c r="X393">
        <v>212</v>
      </c>
      <c r="Y393">
        <v>3</v>
      </c>
      <c r="Z393" t="s">
        <v>20</v>
      </c>
      <c r="AA393" t="s">
        <v>18</v>
      </c>
      <c r="AB393" t="s">
        <v>20</v>
      </c>
      <c r="AC393" t="s">
        <v>2224</v>
      </c>
      <c r="AD393" t="s">
        <v>2382</v>
      </c>
      <c r="AG393" t="s">
        <v>990</v>
      </c>
      <c r="AH393">
        <v>71</v>
      </c>
      <c r="AI393">
        <v>3</v>
      </c>
      <c r="AJ393" s="200">
        <f t="shared" si="58"/>
        <v>4240</v>
      </c>
      <c r="AL393" s="179">
        <f t="shared" si="59"/>
        <v>70.666666666666671</v>
      </c>
      <c r="AN393" s="183">
        <f t="shared" si="60"/>
        <v>5680000</v>
      </c>
    </row>
    <row r="394" spans="1:40" customFormat="1" ht="20.100000000000001" hidden="1" customHeight="1" x14ac:dyDescent="0.25">
      <c r="A394">
        <v>14416</v>
      </c>
      <c r="B394" t="s">
        <v>98</v>
      </c>
      <c r="C394" t="s">
        <v>41</v>
      </c>
      <c r="D394">
        <v>1</v>
      </c>
      <c r="E394">
        <v>2025</v>
      </c>
      <c r="F394">
        <v>2025</v>
      </c>
      <c r="G394" t="s">
        <v>23</v>
      </c>
      <c r="H394" t="s">
        <v>98</v>
      </c>
      <c r="I394" t="s">
        <v>1175</v>
      </c>
      <c r="J394" t="s">
        <v>2231</v>
      </c>
      <c r="K394" t="s">
        <v>992</v>
      </c>
      <c r="L394" t="s">
        <v>345</v>
      </c>
      <c r="M394" t="s">
        <v>346</v>
      </c>
      <c r="O394" t="s">
        <v>1722</v>
      </c>
      <c r="P394" t="s">
        <v>731</v>
      </c>
      <c r="Q394" t="s">
        <v>409</v>
      </c>
      <c r="R394" t="s">
        <v>339</v>
      </c>
      <c r="S394" t="s">
        <v>19</v>
      </c>
      <c r="T394" t="s">
        <v>2232</v>
      </c>
      <c r="U394">
        <v>20</v>
      </c>
      <c r="V394">
        <v>116</v>
      </c>
      <c r="W394">
        <v>12</v>
      </c>
      <c r="X394">
        <v>128</v>
      </c>
      <c r="Y394">
        <v>7</v>
      </c>
      <c r="Z394" t="s">
        <v>20</v>
      </c>
      <c r="AA394" t="s">
        <v>18</v>
      </c>
      <c r="AB394" t="s">
        <v>20</v>
      </c>
      <c r="AC394" t="s">
        <v>2233</v>
      </c>
      <c r="AD394" t="s">
        <v>2234</v>
      </c>
      <c r="AG394" t="s">
        <v>990</v>
      </c>
      <c r="AH394">
        <v>19</v>
      </c>
      <c r="AI394">
        <v>3</v>
      </c>
      <c r="AJ394" s="200">
        <f t="shared" si="58"/>
        <v>2560</v>
      </c>
      <c r="AL394" s="179">
        <f t="shared" si="59"/>
        <v>18.285714285714285</v>
      </c>
      <c r="AN394" s="183">
        <f t="shared" si="60"/>
        <v>1520000</v>
      </c>
    </row>
    <row r="395" spans="1:40" customFormat="1" ht="20.100000000000001" hidden="1" customHeight="1" x14ac:dyDescent="0.25">
      <c r="A395">
        <v>14466</v>
      </c>
      <c r="B395" t="s">
        <v>98</v>
      </c>
      <c r="C395" t="s">
        <v>41</v>
      </c>
      <c r="D395">
        <v>1</v>
      </c>
      <c r="E395">
        <v>2025</v>
      </c>
      <c r="F395">
        <v>2025</v>
      </c>
      <c r="G395" t="s">
        <v>23</v>
      </c>
      <c r="H395" t="s">
        <v>98</v>
      </c>
      <c r="I395" t="s">
        <v>1175</v>
      </c>
      <c r="J395" t="s">
        <v>1965</v>
      </c>
      <c r="K395" t="s">
        <v>992</v>
      </c>
      <c r="L395" t="s">
        <v>760</v>
      </c>
      <c r="M395" t="s">
        <v>759</v>
      </c>
      <c r="O395" t="s">
        <v>382</v>
      </c>
      <c r="P395" t="s">
        <v>1887</v>
      </c>
      <c r="Q395" t="s">
        <v>1201</v>
      </c>
      <c r="R395" t="s">
        <v>339</v>
      </c>
      <c r="S395" t="s">
        <v>19</v>
      </c>
      <c r="T395" t="s">
        <v>1966</v>
      </c>
      <c r="U395">
        <v>20</v>
      </c>
      <c r="V395">
        <v>42</v>
      </c>
      <c r="W395">
        <v>8</v>
      </c>
      <c r="X395">
        <v>50</v>
      </c>
      <c r="Y395">
        <v>3</v>
      </c>
      <c r="Z395" t="s">
        <v>20</v>
      </c>
      <c r="AA395" t="s">
        <v>18</v>
      </c>
      <c r="AB395" s="189" t="s">
        <v>18</v>
      </c>
      <c r="AC395" t="s">
        <v>2371</v>
      </c>
      <c r="AD395" t="s">
        <v>2275</v>
      </c>
      <c r="AG395" t="s">
        <v>990</v>
      </c>
      <c r="AH395">
        <v>17</v>
      </c>
      <c r="AI395">
        <v>1</v>
      </c>
      <c r="AJ395" s="200">
        <f t="shared" si="58"/>
        <v>1000</v>
      </c>
      <c r="AL395" s="179">
        <f t="shared" si="59"/>
        <v>16.666666666666668</v>
      </c>
      <c r="AN395" s="183">
        <f t="shared" si="60"/>
        <v>1360000</v>
      </c>
    </row>
    <row r="396" spans="1:40" customFormat="1" ht="20.100000000000001" customHeight="1" x14ac:dyDescent="0.25">
      <c r="A396">
        <v>14626</v>
      </c>
      <c r="B396" t="s">
        <v>2383</v>
      </c>
      <c r="C396" t="s">
        <v>41</v>
      </c>
      <c r="D396">
        <v>1</v>
      </c>
      <c r="E396">
        <v>2025</v>
      </c>
      <c r="F396">
        <v>2025</v>
      </c>
      <c r="G396" t="s">
        <v>23</v>
      </c>
      <c r="H396" t="s">
        <v>2383</v>
      </c>
      <c r="I396" s="204" t="s">
        <v>1175</v>
      </c>
      <c r="J396" s="204" t="s">
        <v>2343</v>
      </c>
      <c r="K396" t="s">
        <v>2344</v>
      </c>
      <c r="N396">
        <v>13</v>
      </c>
      <c r="O396" t="s">
        <v>382</v>
      </c>
      <c r="P396" t="s">
        <v>416</v>
      </c>
      <c r="Q396" s="204" t="s">
        <v>1201</v>
      </c>
      <c r="R396" t="s">
        <v>339</v>
      </c>
      <c r="S396" t="s">
        <v>22</v>
      </c>
      <c r="T396" s="204" t="s">
        <v>337</v>
      </c>
      <c r="U396">
        <v>15</v>
      </c>
      <c r="V396">
        <v>225</v>
      </c>
      <c r="X396">
        <v>225</v>
      </c>
      <c r="Y396">
        <v>4</v>
      </c>
      <c r="Z396" t="s">
        <v>20</v>
      </c>
      <c r="AA396" t="s">
        <v>18</v>
      </c>
      <c r="AB396" s="189" t="s">
        <v>18</v>
      </c>
      <c r="AD396" s="204" t="s">
        <v>2345</v>
      </c>
      <c r="AE396" t="s">
        <v>20</v>
      </c>
      <c r="AF396" s="203" t="s">
        <v>2346</v>
      </c>
      <c r="AG396" t="s">
        <v>990</v>
      </c>
      <c r="AH396">
        <v>68</v>
      </c>
      <c r="AI396">
        <v>3</v>
      </c>
      <c r="AJ396" s="200">
        <f t="shared" si="58"/>
        <v>3375</v>
      </c>
      <c r="AL396" s="179">
        <f t="shared" si="59"/>
        <v>56.25</v>
      </c>
      <c r="AN396" s="183">
        <f t="shared" si="60"/>
        <v>4080000</v>
      </c>
    </row>
  </sheetData>
  <autoFilter ref="A1:AX396" xr:uid="{ADD423D6-ECE2-4D76-95CD-CF67A3594BF1}">
    <filterColumn colId="0">
      <filters>
        <filter val="14626"/>
      </filters>
    </filterColumn>
  </autoFilter>
  <sortState xmlns:xlrd2="http://schemas.microsoft.com/office/spreadsheetml/2017/richdata2" ref="A2:AX394">
    <sortCondition ref="C2:C394"/>
  </sortState>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37B4E-1EF7-4FEF-A94F-89C81B308A85}">
  <dimension ref="A1:W19"/>
  <sheetViews>
    <sheetView topLeftCell="F4" zoomScaleNormal="100" workbookViewId="0">
      <selection activeCell="H5" sqref="H5"/>
    </sheetView>
  </sheetViews>
  <sheetFormatPr baseColWidth="10" defaultColWidth="10.7109375" defaultRowHeight="15" x14ac:dyDescent="0.25"/>
  <cols>
    <col min="1" max="1" width="72.28515625" bestFit="1" customWidth="1"/>
    <col min="2" max="2" width="15.7109375" bestFit="1" customWidth="1"/>
    <col min="4" max="4" width="72.28515625" bestFit="1" customWidth="1"/>
    <col min="5" max="5" width="9.5703125" style="25" bestFit="1" customWidth="1"/>
    <col min="7" max="7" width="72.28515625" bestFit="1" customWidth="1"/>
    <col min="8" max="8" width="13.7109375" style="14" bestFit="1" customWidth="1"/>
    <col min="10" max="10" width="72.28515625" bestFit="1" customWidth="1"/>
    <col min="11" max="11" width="9.140625" bestFit="1" customWidth="1"/>
    <col min="13" max="13" width="72.28515625" bestFit="1" customWidth="1"/>
    <col min="14" max="14" width="9.42578125" bestFit="1" customWidth="1"/>
    <col min="16" max="16" width="72.28515625" bestFit="1" customWidth="1"/>
    <col min="17" max="17" width="9.85546875" style="142" bestFit="1" customWidth="1"/>
    <col min="18" max="18" width="15" customWidth="1"/>
    <col min="19" max="19" width="72.28515625" bestFit="1" customWidth="1"/>
    <col min="20" max="20" width="5.7109375" style="56" bestFit="1" customWidth="1"/>
    <col min="22" max="22" width="72.28515625" bestFit="1" customWidth="1"/>
    <col min="23" max="23" width="14.85546875" style="56" bestFit="1" customWidth="1"/>
  </cols>
  <sheetData>
    <row r="1" spans="1:23" x14ac:dyDescent="0.25">
      <c r="A1" s="39" t="s">
        <v>939</v>
      </c>
      <c r="B1" t="s">
        <v>20</v>
      </c>
      <c r="D1" s="39" t="s">
        <v>939</v>
      </c>
      <c r="E1" t="s">
        <v>20</v>
      </c>
      <c r="G1" s="39" t="s">
        <v>939</v>
      </c>
      <c r="H1" t="s">
        <v>20</v>
      </c>
      <c r="J1" s="39" t="s">
        <v>939</v>
      </c>
      <c r="K1" t="s">
        <v>20</v>
      </c>
      <c r="M1" s="39" t="s">
        <v>939</v>
      </c>
      <c r="N1" t="s">
        <v>20</v>
      </c>
      <c r="P1" s="39" t="s">
        <v>939</v>
      </c>
      <c r="Q1" t="s">
        <v>979</v>
      </c>
      <c r="S1" s="39" t="s">
        <v>939</v>
      </c>
      <c r="T1" t="s">
        <v>20</v>
      </c>
      <c r="V1" s="39" t="s">
        <v>939</v>
      </c>
      <c r="W1" t="s">
        <v>20</v>
      </c>
    </row>
    <row r="2" spans="1:23" x14ac:dyDescent="0.25">
      <c r="G2" s="39" t="s">
        <v>496</v>
      </c>
      <c r="H2" t="s">
        <v>20</v>
      </c>
      <c r="V2" s="39" t="s">
        <v>498</v>
      </c>
      <c r="W2" t="s">
        <v>20</v>
      </c>
    </row>
    <row r="3" spans="1:23" s="26" customFormat="1" ht="120" x14ac:dyDescent="0.25">
      <c r="A3" s="39" t="s">
        <v>43</v>
      </c>
      <c r="B3" s="26" t="s">
        <v>913</v>
      </c>
      <c r="D3" s="39" t="s">
        <v>43</v>
      </c>
      <c r="E3" s="38" t="s">
        <v>1106</v>
      </c>
      <c r="F3"/>
      <c r="G3"/>
      <c r="H3"/>
      <c r="J3" s="39" t="s">
        <v>43</v>
      </c>
      <c r="K3" s="27" t="s">
        <v>980</v>
      </c>
      <c r="L3"/>
      <c r="M3" s="39" t="s">
        <v>43</v>
      </c>
      <c r="N3" s="27" t="s">
        <v>981</v>
      </c>
      <c r="O3"/>
      <c r="P3" s="39" t="s">
        <v>43</v>
      </c>
      <c r="Q3" s="143" t="s">
        <v>1136</v>
      </c>
      <c r="R3"/>
      <c r="S3" s="39" t="s">
        <v>43</v>
      </c>
      <c r="T3" s="84" t="s">
        <v>902</v>
      </c>
      <c r="U3"/>
      <c r="V3"/>
      <c r="W3"/>
    </row>
    <row r="4" spans="1:23" ht="59.45" customHeight="1" x14ac:dyDescent="0.25">
      <c r="A4" s="37">
        <v>14385</v>
      </c>
      <c r="B4">
        <v>5075</v>
      </c>
      <c r="D4" s="37">
        <v>14385</v>
      </c>
      <c r="E4" s="25">
        <v>6.6</v>
      </c>
      <c r="G4" s="39" t="s">
        <v>43</v>
      </c>
      <c r="H4" s="27" t="s">
        <v>463</v>
      </c>
      <c r="J4" s="37">
        <v>14385</v>
      </c>
      <c r="K4" s="14">
        <v>7</v>
      </c>
      <c r="M4" s="37">
        <v>14385</v>
      </c>
      <c r="N4" s="14">
        <v>3</v>
      </c>
      <c r="P4" s="37" t="s">
        <v>905</v>
      </c>
      <c r="S4" s="37">
        <v>14385</v>
      </c>
      <c r="T4" s="56">
        <v>43</v>
      </c>
      <c r="V4" s="39" t="s">
        <v>43</v>
      </c>
      <c r="W4" s="84" t="s">
        <v>1457</v>
      </c>
    </row>
    <row r="5" spans="1:23" x14ac:dyDescent="0.25">
      <c r="A5" s="37">
        <v>14386</v>
      </c>
      <c r="B5">
        <v>6373</v>
      </c>
      <c r="D5" s="37">
        <v>14386</v>
      </c>
      <c r="E5" s="25">
        <v>6.4</v>
      </c>
      <c r="G5" s="37">
        <v>14385</v>
      </c>
      <c r="H5" s="14">
        <v>7.0000000000000009</v>
      </c>
      <c r="J5" s="37">
        <v>14386</v>
      </c>
      <c r="K5" s="14">
        <v>7</v>
      </c>
      <c r="M5" s="37">
        <v>14386</v>
      </c>
      <c r="N5" s="14">
        <v>1</v>
      </c>
      <c r="P5" s="37">
        <v>14385</v>
      </c>
      <c r="Q5" s="142">
        <v>0</v>
      </c>
      <c r="S5" s="37">
        <v>14386</v>
      </c>
      <c r="T5" s="56">
        <v>2</v>
      </c>
      <c r="V5" s="37">
        <v>14385</v>
      </c>
      <c r="W5" s="56">
        <v>5075</v>
      </c>
    </row>
    <row r="6" spans="1:23" x14ac:dyDescent="0.25">
      <c r="A6" s="37">
        <v>14387</v>
      </c>
      <c r="B6">
        <v>6373</v>
      </c>
      <c r="D6" s="37">
        <v>14387</v>
      </c>
      <c r="E6" s="25">
        <v>7</v>
      </c>
      <c r="G6" s="37">
        <v>14386</v>
      </c>
      <c r="H6" s="14">
        <v>7.0000000000000009</v>
      </c>
      <c r="J6" s="37">
        <v>14387</v>
      </c>
      <c r="K6" s="14">
        <v>7</v>
      </c>
      <c r="M6" s="37">
        <v>14387</v>
      </c>
      <c r="N6" s="14">
        <v>7</v>
      </c>
      <c r="P6" s="37">
        <v>14386</v>
      </c>
      <c r="Q6" s="142">
        <v>0</v>
      </c>
      <c r="S6" s="37">
        <v>14387</v>
      </c>
      <c r="T6" s="56">
        <v>67</v>
      </c>
      <c r="V6" s="37">
        <v>14386</v>
      </c>
      <c r="W6" s="56">
        <v>6373</v>
      </c>
    </row>
    <row r="7" spans="1:23" x14ac:dyDescent="0.25">
      <c r="A7" s="37">
        <v>14388</v>
      </c>
      <c r="B7">
        <v>6373</v>
      </c>
      <c r="D7" s="37">
        <v>14388</v>
      </c>
      <c r="E7" s="25">
        <v>7</v>
      </c>
      <c r="G7" s="37">
        <v>14387</v>
      </c>
      <c r="H7" s="14">
        <v>7.0000000000000009</v>
      </c>
      <c r="J7" s="37">
        <v>14388</v>
      </c>
      <c r="K7" s="14">
        <v>7</v>
      </c>
      <c r="M7" s="37">
        <v>14388</v>
      </c>
      <c r="N7" s="14">
        <v>7</v>
      </c>
      <c r="P7" s="37">
        <v>14387</v>
      </c>
      <c r="Q7" s="142">
        <v>0.67164179104477606</v>
      </c>
      <c r="S7" s="37">
        <v>14388</v>
      </c>
      <c r="T7" s="56">
        <v>125</v>
      </c>
      <c r="V7" s="37">
        <v>14387</v>
      </c>
      <c r="W7" s="56">
        <v>6373</v>
      </c>
    </row>
    <row r="8" spans="1:23" x14ac:dyDescent="0.25">
      <c r="A8" s="37">
        <v>14389</v>
      </c>
      <c r="B8">
        <v>5000</v>
      </c>
      <c r="D8" s="37">
        <v>14389</v>
      </c>
      <c r="E8" s="25">
        <v>7</v>
      </c>
      <c r="G8" s="37">
        <v>14388</v>
      </c>
      <c r="H8" s="14">
        <v>7.0000000000000009</v>
      </c>
      <c r="J8" s="37">
        <v>14389</v>
      </c>
      <c r="K8" s="14">
        <v>7</v>
      </c>
      <c r="M8" s="37">
        <v>14389</v>
      </c>
      <c r="N8" s="14">
        <v>7</v>
      </c>
      <c r="P8" s="37">
        <v>14388</v>
      </c>
      <c r="Q8" s="142">
        <v>0</v>
      </c>
      <c r="S8" s="37">
        <v>14389</v>
      </c>
      <c r="T8" s="56">
        <v>125</v>
      </c>
      <c r="V8" s="37">
        <v>14388</v>
      </c>
      <c r="W8" s="56">
        <v>6373</v>
      </c>
    </row>
    <row r="9" spans="1:23" x14ac:dyDescent="0.25">
      <c r="A9" s="37">
        <v>14337</v>
      </c>
      <c r="B9">
        <v>6373</v>
      </c>
      <c r="D9" s="37">
        <v>14337</v>
      </c>
      <c r="E9" s="25">
        <v>7</v>
      </c>
      <c r="G9" s="37">
        <v>14389</v>
      </c>
      <c r="H9" s="14">
        <v>7.0000000000000009</v>
      </c>
      <c r="J9" s="37">
        <v>14337</v>
      </c>
      <c r="K9" s="14">
        <v>7</v>
      </c>
      <c r="M9" s="37">
        <v>14337</v>
      </c>
      <c r="N9" s="14">
        <v>7</v>
      </c>
      <c r="P9" s="37">
        <v>14389</v>
      </c>
      <c r="Q9" s="142">
        <v>0</v>
      </c>
      <c r="S9" s="37">
        <v>14337</v>
      </c>
      <c r="T9" s="56">
        <v>89</v>
      </c>
      <c r="V9" s="37">
        <v>14389</v>
      </c>
      <c r="W9" s="56">
        <v>5075</v>
      </c>
    </row>
    <row r="10" spans="1:23" x14ac:dyDescent="0.25">
      <c r="A10" s="37">
        <v>14339</v>
      </c>
      <c r="B10">
        <v>6373</v>
      </c>
      <c r="D10" s="37">
        <v>14339</v>
      </c>
      <c r="E10" s="25">
        <v>7</v>
      </c>
      <c r="G10" s="37">
        <v>14339</v>
      </c>
      <c r="H10" s="14">
        <v>7.0000000000000009</v>
      </c>
      <c r="J10" s="37">
        <v>14339</v>
      </c>
      <c r="K10" s="14">
        <v>7</v>
      </c>
      <c r="M10" s="37">
        <v>14339</v>
      </c>
      <c r="N10" s="14">
        <v>7</v>
      </c>
      <c r="P10" s="37">
        <v>14337</v>
      </c>
      <c r="Q10" s="142">
        <v>0</v>
      </c>
      <c r="S10" s="37">
        <v>14339</v>
      </c>
      <c r="T10" s="56">
        <v>89</v>
      </c>
      <c r="V10" s="37">
        <v>14339</v>
      </c>
      <c r="W10" s="56">
        <v>6373</v>
      </c>
    </row>
    <row r="11" spans="1:23" x14ac:dyDescent="0.25">
      <c r="A11" s="37">
        <v>14626</v>
      </c>
      <c r="B11">
        <v>7200</v>
      </c>
      <c r="D11" s="37">
        <v>14626</v>
      </c>
      <c r="E11" s="25">
        <v>7</v>
      </c>
      <c r="G11" s="37">
        <v>14626</v>
      </c>
      <c r="H11" s="14">
        <v>7.0000000000000009</v>
      </c>
      <c r="J11" s="37">
        <v>14626</v>
      </c>
      <c r="K11" s="14">
        <v>7</v>
      </c>
      <c r="M11" s="37">
        <v>14626</v>
      </c>
      <c r="N11" s="14">
        <v>7</v>
      </c>
      <c r="P11" s="37">
        <v>14339</v>
      </c>
      <c r="Q11" s="142">
        <v>0</v>
      </c>
      <c r="S11" s="37">
        <v>14626</v>
      </c>
      <c r="T11" s="56">
        <v>89</v>
      </c>
      <c r="V11" s="37">
        <v>14626</v>
      </c>
      <c r="W11" s="56">
        <v>7200</v>
      </c>
    </row>
    <row r="12" spans="1:23" x14ac:dyDescent="0.25">
      <c r="A12" s="37">
        <v>14336</v>
      </c>
      <c r="B12">
        <v>6373</v>
      </c>
      <c r="D12" s="37">
        <v>14336</v>
      </c>
      <c r="E12" s="25">
        <v>7</v>
      </c>
      <c r="G12" s="37">
        <v>14336</v>
      </c>
      <c r="H12" s="14">
        <v>7.0000000000000009</v>
      </c>
      <c r="J12" s="37">
        <v>14336</v>
      </c>
      <c r="K12" s="14">
        <v>7</v>
      </c>
      <c r="M12" s="37">
        <v>14336</v>
      </c>
      <c r="N12" s="14">
        <v>7</v>
      </c>
      <c r="P12" s="37">
        <v>14626</v>
      </c>
      <c r="Q12" s="142">
        <v>0</v>
      </c>
      <c r="S12" s="37">
        <v>14336</v>
      </c>
      <c r="T12" s="56">
        <v>125</v>
      </c>
      <c r="V12" s="37">
        <v>14336</v>
      </c>
      <c r="W12" s="56">
        <v>6373</v>
      </c>
    </row>
    <row r="13" spans="1:23" x14ac:dyDescent="0.25">
      <c r="A13" s="37">
        <v>14280</v>
      </c>
      <c r="B13">
        <v>7434</v>
      </c>
      <c r="D13" s="37">
        <v>14280</v>
      </c>
      <c r="E13" s="25">
        <v>6.4</v>
      </c>
      <c r="G13" s="37">
        <v>14280</v>
      </c>
      <c r="H13" s="14">
        <v>7.0000000000000009</v>
      </c>
      <c r="J13" s="37">
        <v>14280</v>
      </c>
      <c r="K13" s="14">
        <v>7</v>
      </c>
      <c r="M13" s="37">
        <v>14280</v>
      </c>
      <c r="N13" s="14">
        <v>1</v>
      </c>
      <c r="P13" s="37">
        <v>14336</v>
      </c>
      <c r="Q13" s="142">
        <v>0</v>
      </c>
      <c r="S13" s="37">
        <v>14280</v>
      </c>
      <c r="T13" s="56">
        <v>0</v>
      </c>
      <c r="V13" s="37">
        <v>14280</v>
      </c>
      <c r="W13" s="56">
        <v>7434</v>
      </c>
    </row>
    <row r="14" spans="1:23" x14ac:dyDescent="0.25">
      <c r="A14" s="37">
        <v>14283</v>
      </c>
      <c r="B14">
        <v>7434</v>
      </c>
      <c r="D14" s="37">
        <v>14283</v>
      </c>
      <c r="E14" s="25">
        <v>6.4</v>
      </c>
      <c r="G14" s="37">
        <v>14283</v>
      </c>
      <c r="H14" s="14">
        <v>7.0000000000000009</v>
      </c>
      <c r="J14" s="37">
        <v>14283</v>
      </c>
      <c r="K14" s="14">
        <v>7</v>
      </c>
      <c r="M14" s="37">
        <v>14283</v>
      </c>
      <c r="N14" s="14">
        <v>1</v>
      </c>
      <c r="P14" s="37">
        <v>14280</v>
      </c>
      <c r="Q14" s="142">
        <v>0</v>
      </c>
      <c r="S14" s="37">
        <v>14283</v>
      </c>
      <c r="T14" s="56">
        <v>0</v>
      </c>
      <c r="V14" s="37">
        <v>14283</v>
      </c>
      <c r="W14" s="56">
        <v>7434</v>
      </c>
    </row>
    <row r="15" spans="1:23" x14ac:dyDescent="0.25">
      <c r="A15" s="37">
        <v>14281</v>
      </c>
      <c r="B15">
        <v>7434</v>
      </c>
      <c r="D15" s="37">
        <v>14281</v>
      </c>
      <c r="E15" s="25">
        <v>6.4</v>
      </c>
      <c r="G15" s="37">
        <v>14281</v>
      </c>
      <c r="H15" s="14">
        <v>7.0000000000000009</v>
      </c>
      <c r="J15" s="37">
        <v>14281</v>
      </c>
      <c r="K15" s="14">
        <v>7</v>
      </c>
      <c r="M15" s="37">
        <v>14281</v>
      </c>
      <c r="N15" s="14">
        <v>1</v>
      </c>
      <c r="P15" s="37">
        <v>14283</v>
      </c>
      <c r="Q15" s="142">
        <v>0</v>
      </c>
      <c r="S15" s="37">
        <v>14281</v>
      </c>
      <c r="T15" s="56">
        <v>0</v>
      </c>
      <c r="V15" s="37">
        <v>14281</v>
      </c>
      <c r="W15" s="56">
        <v>7434</v>
      </c>
    </row>
    <row r="16" spans="1:23" x14ac:dyDescent="0.25">
      <c r="A16" s="37">
        <v>14279</v>
      </c>
      <c r="B16">
        <v>7434</v>
      </c>
      <c r="D16" s="37">
        <v>14279</v>
      </c>
      <c r="E16" s="25">
        <v>6.4</v>
      </c>
      <c r="G16" s="37">
        <v>14279</v>
      </c>
      <c r="H16" s="14">
        <v>7.0000000000000009</v>
      </c>
      <c r="J16" s="37">
        <v>14279</v>
      </c>
      <c r="K16" s="14">
        <v>7</v>
      </c>
      <c r="M16" s="37">
        <v>14279</v>
      </c>
      <c r="N16" s="14">
        <v>1</v>
      </c>
      <c r="P16" s="37">
        <v>14281</v>
      </c>
      <c r="Q16" s="142">
        <v>0</v>
      </c>
      <c r="S16" s="37">
        <v>14279</v>
      </c>
      <c r="T16" s="56">
        <v>0</v>
      </c>
      <c r="V16" s="37">
        <v>14279</v>
      </c>
      <c r="W16" s="56">
        <v>7434</v>
      </c>
    </row>
    <row r="17" spans="1:23" x14ac:dyDescent="0.25">
      <c r="A17" s="37">
        <v>14384</v>
      </c>
      <c r="B17">
        <v>5075</v>
      </c>
      <c r="D17" s="37">
        <v>14384</v>
      </c>
      <c r="E17" s="25">
        <v>6.6</v>
      </c>
      <c r="G17" s="37">
        <v>14384</v>
      </c>
      <c r="H17" s="14">
        <v>7.0000000000000009</v>
      </c>
      <c r="J17" s="37">
        <v>14384</v>
      </c>
      <c r="K17" s="14">
        <v>7</v>
      </c>
      <c r="M17" s="37">
        <v>14384</v>
      </c>
      <c r="N17" s="14">
        <v>3</v>
      </c>
      <c r="P17" s="37">
        <v>14279</v>
      </c>
      <c r="Q17" s="142">
        <v>0</v>
      </c>
      <c r="S17" s="37">
        <v>14384</v>
      </c>
      <c r="T17" s="56">
        <v>33</v>
      </c>
      <c r="V17" s="37">
        <v>14384</v>
      </c>
      <c r="W17" s="56">
        <v>5075</v>
      </c>
    </row>
    <row r="18" spans="1:23" x14ac:dyDescent="0.25">
      <c r="A18" s="37" t="s">
        <v>44</v>
      </c>
      <c r="B18">
        <v>5000</v>
      </c>
      <c r="D18" s="37" t="s">
        <v>44</v>
      </c>
      <c r="E18" s="25">
        <v>7</v>
      </c>
      <c r="G18" s="37" t="s">
        <v>44</v>
      </c>
      <c r="H18" s="14">
        <v>7.0000000000000009</v>
      </c>
      <c r="J18" s="37" t="s">
        <v>44</v>
      </c>
      <c r="K18" s="14">
        <v>7</v>
      </c>
      <c r="M18" s="37" t="s">
        <v>44</v>
      </c>
      <c r="N18" s="14">
        <v>7</v>
      </c>
      <c r="P18" s="37">
        <v>14384</v>
      </c>
      <c r="Q18" s="142">
        <v>0</v>
      </c>
      <c r="S18" s="37" t="s">
        <v>44</v>
      </c>
      <c r="T18" s="56">
        <v>125</v>
      </c>
      <c r="V18" s="37" t="s">
        <v>44</v>
      </c>
      <c r="W18" s="56">
        <v>5075</v>
      </c>
    </row>
    <row r="19" spans="1:23" x14ac:dyDescent="0.25">
      <c r="E19"/>
      <c r="H19"/>
      <c r="P19" s="37" t="s">
        <v>44</v>
      </c>
      <c r="Q19" s="142">
        <v>0</v>
      </c>
      <c r="T19"/>
      <c r="W19"/>
    </row>
  </sheetData>
  <pageMargins left="0.7" right="0.7" top="0.75" bottom="0.75" header="0.3" footer="0.3"/>
  <pageSetup orientation="portrait"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3410050E059094DA74A5E07FAB8E458" ma:contentTypeVersion="0" ma:contentTypeDescription="Crear nuevo documento." ma:contentTypeScope="" ma:versionID="a9dbbf08c2d4e3647785526a3ad08e65">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094412-A0AC-484B-BBED-E474FE79F448}">
  <ds:schemaRefs>
    <ds:schemaRef ds:uri="http://purl.org/dc/elements/1.1/"/>
    <ds:schemaRef ds:uri="http://www.w3.org/XML/1998/namespace"/>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5F4A04CD-AF17-4A68-9CBD-9D010C50C6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E4A075C-6811-4E32-AB46-A4FC153A76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BD OFICIAL (2)</vt:lpstr>
      <vt:lpstr>1 Apertura de Cursos</vt:lpstr>
      <vt:lpstr>2 Admisibilidad</vt:lpstr>
      <vt:lpstr>3 Planilla Preadjudicación OTIC</vt:lpstr>
      <vt:lpstr>4 Planilla de revisión</vt:lpstr>
      <vt:lpstr>OTIC RUT</vt:lpstr>
      <vt:lpstr>EXPERIENCIA</vt:lpstr>
      <vt:lpstr>BD OFICIAL</vt:lpstr>
      <vt:lpstr>5 TD</vt:lpstr>
      <vt:lpstr>COMPORTAMIENTO</vt:lpstr>
      <vt:lpstr>ADJUDICA</vt:lpstr>
      <vt:lpstr>DINAMICA</vt:lpstr>
      <vt:lpstr>MONTO MAXIMO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Edgardo Seymour Suazo</dc:creator>
  <cp:lastModifiedBy>Felipe Planas E.</cp:lastModifiedBy>
  <cp:lastPrinted>2023-09-04T10:26:22Z</cp:lastPrinted>
  <dcterms:created xsi:type="dcterms:W3CDTF">2018-06-12T14:02:52Z</dcterms:created>
  <dcterms:modified xsi:type="dcterms:W3CDTF">2025-08-13T20:35:54Z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ccd7d1-f479-407c-869d-4a4f9fabacdd_Enabled">
    <vt:lpwstr>true</vt:lpwstr>
  </property>
  <property fmtid="{D5CDD505-2E9C-101B-9397-08002B2CF9AE}" pid="3" name="MSIP_Label_c6ccd7d1-f479-407c-869d-4a4f9fabacdd_SetDate">
    <vt:lpwstr>2023-04-24T12:36:00Z</vt:lpwstr>
  </property>
  <property fmtid="{D5CDD505-2E9C-101B-9397-08002B2CF9AE}" pid="4" name="MSIP_Label_c6ccd7d1-f479-407c-869d-4a4f9fabacdd_Method">
    <vt:lpwstr>Standard</vt:lpwstr>
  </property>
  <property fmtid="{D5CDD505-2E9C-101B-9397-08002B2CF9AE}" pid="5" name="MSIP_Label_c6ccd7d1-f479-407c-869d-4a4f9fabacdd_Name">
    <vt:lpwstr>Datos Personales</vt:lpwstr>
  </property>
  <property fmtid="{D5CDD505-2E9C-101B-9397-08002B2CF9AE}" pid="6" name="MSIP_Label_c6ccd7d1-f479-407c-869d-4a4f9fabacdd_SiteId">
    <vt:lpwstr>2e44483d-07e1-4c2a-b3b9-5b99d019f80d</vt:lpwstr>
  </property>
  <property fmtid="{D5CDD505-2E9C-101B-9397-08002B2CF9AE}" pid="7" name="MSIP_Label_c6ccd7d1-f479-407c-869d-4a4f9fabacdd_ActionId">
    <vt:lpwstr>717bfde4-e4bb-49ef-ab6f-5aab8bd7add5</vt:lpwstr>
  </property>
  <property fmtid="{D5CDD505-2E9C-101B-9397-08002B2CF9AE}" pid="8" name="MSIP_Label_c6ccd7d1-f479-407c-869d-4a4f9fabacdd_ContentBits">
    <vt:lpwstr>0</vt:lpwstr>
  </property>
  <property fmtid="{D5CDD505-2E9C-101B-9397-08002B2CF9AE}" pid="9" name="ContentTypeId">
    <vt:lpwstr>0x01010053410050E059094DA74A5E07FAB8E458</vt:lpwstr>
  </property>
</Properties>
</file>