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xandra.vinco\Desktop\"/>
    </mc:Choice>
  </mc:AlternateContent>
  <bookViews>
    <workbookView xWindow="0" yWindow="0" windowWidth="28800" windowHeight="12315"/>
  </bookViews>
  <sheets>
    <sheet name="ORIENTAÇÕES" sheetId="3" r:id="rId1"/>
    <sheet name="PROPOSTA" sheetId="1" r:id="rId2"/>
    <sheet name="CRONOGRMA FF EMPRESA" sheetId="2" r:id="rId3"/>
  </sheets>
  <externalReferences>
    <externalReference r:id="rId4"/>
    <externalReference r:id="rId5"/>
  </externalReferences>
  <definedNames>
    <definedName name="_xlnm.Print_Area" localSheetId="2">'CRONOGRMA FF EMPRESA'!$B$1:$R$68</definedName>
    <definedName name="_xlnm.Print_Area" localSheetId="1">PROPOSTA!$B$2:$M$233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9" i="1" l="1"/>
  <c r="L68" i="1"/>
  <c r="L28" i="1"/>
  <c r="L92" i="1"/>
  <c r="M92" i="1" s="1"/>
  <c r="M69" i="1"/>
  <c r="L114" i="1"/>
  <c r="M114" i="1" s="1"/>
  <c r="L131" i="1"/>
  <c r="M131" i="1" s="1"/>
  <c r="L129" i="1"/>
  <c r="M129" i="1" s="1"/>
  <c r="L112" i="1"/>
  <c r="M112" i="1" s="1"/>
  <c r="L91" i="1"/>
  <c r="M91" i="1" s="1"/>
  <c r="L88" i="1"/>
  <c r="M88" i="1" s="1"/>
  <c r="L65" i="1"/>
  <c r="M65" i="1" s="1"/>
  <c r="L86" i="1"/>
  <c r="M86" i="1" s="1"/>
  <c r="L63" i="1"/>
  <c r="M63" i="1" s="1"/>
  <c r="L130" i="1"/>
  <c r="M130" i="1" s="1"/>
  <c r="L113" i="1"/>
  <c r="L87" i="1"/>
  <c r="L64" i="1"/>
  <c r="L85" i="1"/>
  <c r="L62" i="1"/>
  <c r="M28" i="1"/>
  <c r="J14" i="3"/>
  <c r="B65" i="2"/>
  <c r="M204" i="1"/>
  <c r="M205" i="1"/>
  <c r="M206" i="1"/>
  <c r="M207" i="1"/>
  <c r="M209" i="1"/>
  <c r="M210" i="1"/>
  <c r="M211" i="1"/>
  <c r="M212" i="1"/>
  <c r="M202" i="1"/>
  <c r="M191" i="1"/>
  <c r="M190" i="1"/>
  <c r="M192" i="1" s="1"/>
  <c r="F55" i="2" s="1"/>
  <c r="M185" i="1"/>
  <c r="M186" i="1"/>
  <c r="M187" i="1"/>
  <c r="M184" i="1"/>
  <c r="M175" i="1"/>
  <c r="M176" i="1"/>
  <c r="M177" i="1"/>
  <c r="M178" i="1"/>
  <c r="M179" i="1"/>
  <c r="M180" i="1"/>
  <c r="M181" i="1"/>
  <c r="M174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46" i="1"/>
  <c r="M137" i="1"/>
  <c r="M138" i="1"/>
  <c r="M139" i="1"/>
  <c r="M140" i="1"/>
  <c r="M141" i="1"/>
  <c r="M142" i="1"/>
  <c r="M143" i="1"/>
  <c r="M136" i="1"/>
  <c r="M132" i="1"/>
  <c r="M133" i="1"/>
  <c r="M118" i="1"/>
  <c r="M117" i="1"/>
  <c r="M113" i="1"/>
  <c r="M98" i="1"/>
  <c r="M99" i="1"/>
  <c r="M100" i="1"/>
  <c r="M101" i="1"/>
  <c r="M97" i="1"/>
  <c r="M93" i="1"/>
  <c r="M94" i="1"/>
  <c r="M87" i="1"/>
  <c r="M85" i="1"/>
  <c r="M74" i="1"/>
  <c r="M75" i="1" s="1"/>
  <c r="F30" i="2" s="1"/>
  <c r="R31" i="2" s="1"/>
  <c r="M70" i="1"/>
  <c r="M71" i="1"/>
  <c r="M68" i="1"/>
  <c r="M64" i="1"/>
  <c r="M62" i="1"/>
  <c r="M51" i="1"/>
  <c r="M52" i="1" s="1"/>
  <c r="F23" i="2" s="1"/>
  <c r="M48" i="1"/>
  <c r="M47" i="1"/>
  <c r="M44" i="1"/>
  <c r="M43" i="1"/>
  <c r="M40" i="1"/>
  <c r="M39" i="1"/>
  <c r="M33" i="1"/>
  <c r="M34" i="1"/>
  <c r="M35" i="1"/>
  <c r="M36" i="1"/>
  <c r="M32" i="1"/>
  <c r="M24" i="1"/>
  <c r="M25" i="1"/>
  <c r="M26" i="1"/>
  <c r="M27" i="1"/>
  <c r="M29" i="1"/>
  <c r="M23" i="1"/>
  <c r="M18" i="1"/>
  <c r="M19" i="1"/>
  <c r="M20" i="1"/>
  <c r="M17" i="1"/>
  <c r="S58" i="2"/>
  <c r="C58" i="2"/>
  <c r="S55" i="2"/>
  <c r="C55" i="2"/>
  <c r="S53" i="2"/>
  <c r="C53" i="2"/>
  <c r="S51" i="2"/>
  <c r="C51" i="2"/>
  <c r="S49" i="2"/>
  <c r="C49" i="2"/>
  <c r="S47" i="2"/>
  <c r="C47" i="2"/>
  <c r="S45" i="2"/>
  <c r="C45" i="2"/>
  <c r="S42" i="2"/>
  <c r="C42" i="2"/>
  <c r="S40" i="2"/>
  <c r="C40" i="2"/>
  <c r="S37" i="2"/>
  <c r="C37" i="2"/>
  <c r="S35" i="2"/>
  <c r="C35" i="2"/>
  <c r="S33" i="2"/>
  <c r="C33" i="2"/>
  <c r="S30" i="2"/>
  <c r="C30" i="2"/>
  <c r="S28" i="2"/>
  <c r="C28" i="2"/>
  <c r="S26" i="2"/>
  <c r="C26" i="2"/>
  <c r="S23" i="2"/>
  <c r="C23" i="2"/>
  <c r="S21" i="2"/>
  <c r="C21" i="2"/>
  <c r="S19" i="2"/>
  <c r="C19" i="2"/>
  <c r="S17" i="2"/>
  <c r="C17" i="2"/>
  <c r="S15" i="2"/>
  <c r="C15" i="2"/>
  <c r="S13" i="2"/>
  <c r="C13" i="2"/>
  <c r="S11" i="2"/>
  <c r="C11" i="2"/>
  <c r="B6" i="2"/>
  <c r="B5" i="2"/>
  <c r="B4" i="2"/>
  <c r="B3" i="2"/>
  <c r="B2" i="2"/>
  <c r="D225" i="1"/>
  <c r="C225" i="1"/>
  <c r="B225" i="1"/>
  <c r="D224" i="1"/>
  <c r="C224" i="1"/>
  <c r="B224" i="1"/>
  <c r="D223" i="1"/>
  <c r="C223" i="1"/>
  <c r="B223" i="1"/>
  <c r="D222" i="1"/>
  <c r="C222" i="1"/>
  <c r="B222" i="1"/>
  <c r="D221" i="1"/>
  <c r="C221" i="1"/>
  <c r="B221" i="1"/>
  <c r="B220" i="1"/>
  <c r="K213" i="1"/>
  <c r="K215" i="1" s="1"/>
  <c r="J225" i="1" s="1"/>
  <c r="E212" i="1"/>
  <c r="G203" i="1"/>
  <c r="M203" i="1" s="1"/>
  <c r="K192" i="1"/>
  <c r="K188" i="1"/>
  <c r="K182" i="1"/>
  <c r="K172" i="1"/>
  <c r="K144" i="1"/>
  <c r="K134" i="1"/>
  <c r="K119" i="1"/>
  <c r="K115" i="1"/>
  <c r="K102" i="1"/>
  <c r="K95" i="1"/>
  <c r="K89" i="1"/>
  <c r="K75" i="1"/>
  <c r="K72" i="1"/>
  <c r="K66" i="1"/>
  <c r="K52" i="1"/>
  <c r="K49" i="1"/>
  <c r="K45" i="1"/>
  <c r="K41" i="1"/>
  <c r="K37" i="1"/>
  <c r="K30" i="1"/>
  <c r="K21" i="1"/>
  <c r="K54" i="1" l="1"/>
  <c r="J220" i="1" s="1"/>
  <c r="K77" i="1"/>
  <c r="J221" i="1" s="1"/>
  <c r="K121" i="1"/>
  <c r="J223" i="1" s="1"/>
  <c r="K104" i="1"/>
  <c r="J222" i="1" s="1"/>
  <c r="M45" i="1"/>
  <c r="F19" i="2" s="1"/>
  <c r="L20" i="2" s="1"/>
  <c r="M41" i="1"/>
  <c r="F17" i="2" s="1"/>
  <c r="I18" i="2" s="1"/>
  <c r="K194" i="1"/>
  <c r="J224" i="1" s="1"/>
  <c r="G208" i="1"/>
  <c r="M208" i="1" s="1"/>
  <c r="M213" i="1" s="1"/>
  <c r="M215" i="1" s="1"/>
  <c r="L225" i="1" s="1"/>
  <c r="M188" i="1"/>
  <c r="F53" i="2" s="1"/>
  <c r="G54" i="2" s="1"/>
  <c r="M144" i="1"/>
  <c r="F47" i="2" s="1"/>
  <c r="R48" i="2" s="1"/>
  <c r="M115" i="1"/>
  <c r="F40" i="2" s="1"/>
  <c r="G41" i="2" s="1"/>
  <c r="M102" i="1"/>
  <c r="F37" i="2" s="1"/>
  <c r="R38" i="2" s="1"/>
  <c r="M95" i="1"/>
  <c r="F35" i="2" s="1"/>
  <c r="O36" i="2" s="1"/>
  <c r="Q36" i="2" s="1"/>
  <c r="M89" i="1"/>
  <c r="F33" i="2" s="1"/>
  <c r="M72" i="1"/>
  <c r="F28" i="2" s="1"/>
  <c r="P29" i="2" s="1"/>
  <c r="M49" i="1"/>
  <c r="F21" i="2" s="1"/>
  <c r="Q22" i="2" s="1"/>
  <c r="M37" i="1"/>
  <c r="F15" i="2" s="1"/>
  <c r="H16" i="2" s="1"/>
  <c r="M21" i="1"/>
  <c r="F11" i="2" s="1"/>
  <c r="M134" i="1"/>
  <c r="F45" i="2" s="1"/>
  <c r="I46" i="2" s="1"/>
  <c r="R56" i="2"/>
  <c r="Q56" i="2"/>
  <c r="M182" i="1"/>
  <c r="F51" i="2" s="1"/>
  <c r="I52" i="2" s="1"/>
  <c r="M172" i="1"/>
  <c r="F49" i="2" s="1"/>
  <c r="M50" i="2" s="1"/>
  <c r="M119" i="1"/>
  <c r="F42" i="2" s="1"/>
  <c r="P43" i="2" s="1"/>
  <c r="M66" i="1"/>
  <c r="Q31" i="2"/>
  <c r="S31" i="2" s="1"/>
  <c r="M30" i="1"/>
  <c r="F13" i="2" s="1"/>
  <c r="N14" i="2" s="1"/>
  <c r="R24" i="2"/>
  <c r="Q24" i="2"/>
  <c r="N18" i="2" l="1"/>
  <c r="N20" i="2"/>
  <c r="P20" i="2"/>
  <c r="J226" i="1"/>
  <c r="R18" i="2"/>
  <c r="J20" i="2"/>
  <c r="M20" i="2"/>
  <c r="O20" i="2"/>
  <c r="R20" i="2"/>
  <c r="K20" i="2"/>
  <c r="L18" i="2"/>
  <c r="K18" i="2"/>
  <c r="J18" i="2"/>
  <c r="M18" i="2"/>
  <c r="P18" i="2"/>
  <c r="P48" i="2"/>
  <c r="R43" i="2"/>
  <c r="I20" i="2"/>
  <c r="O18" i="2"/>
  <c r="M77" i="1"/>
  <c r="L221" i="1" s="1"/>
  <c r="S56" i="2"/>
  <c r="F58" i="2"/>
  <c r="O59" i="2" s="1"/>
  <c r="H54" i="2"/>
  <c r="J54" i="2"/>
  <c r="H52" i="2"/>
  <c r="L52" i="2"/>
  <c r="N50" i="2"/>
  <c r="I50" i="2"/>
  <c r="R50" i="2"/>
  <c r="O50" i="2"/>
  <c r="J50" i="2"/>
  <c r="P50" i="2"/>
  <c r="L50" i="2"/>
  <c r="O48" i="2"/>
  <c r="Q48" i="2" s="1"/>
  <c r="S48" i="2" s="1"/>
  <c r="M194" i="1"/>
  <c r="L224" i="1" s="1"/>
  <c r="O43" i="2"/>
  <c r="Q43" i="2" s="1"/>
  <c r="P41" i="2"/>
  <c r="H41" i="2"/>
  <c r="M41" i="2"/>
  <c r="N41" i="2"/>
  <c r="M121" i="1"/>
  <c r="L223" i="1" s="1"/>
  <c r="I41" i="2"/>
  <c r="J41" i="2"/>
  <c r="K41" i="2"/>
  <c r="L41" i="2"/>
  <c r="Q38" i="2"/>
  <c r="S38" i="2" s="1"/>
  <c r="R36" i="2"/>
  <c r="P36" i="2"/>
  <c r="S36" i="2" s="1"/>
  <c r="M104" i="1"/>
  <c r="L222" i="1" s="1"/>
  <c r="N29" i="2"/>
  <c r="M29" i="2"/>
  <c r="O29" i="2" s="1"/>
  <c r="F26" i="2"/>
  <c r="L27" i="2" s="1"/>
  <c r="S24" i="2"/>
  <c r="R22" i="2"/>
  <c r="S22" i="2" s="1"/>
  <c r="G16" i="2"/>
  <c r="I16" i="2" s="1"/>
  <c r="J16" i="2"/>
  <c r="K14" i="2"/>
  <c r="P46" i="2"/>
  <c r="K46" i="2"/>
  <c r="M46" i="2"/>
  <c r="H46" i="2"/>
  <c r="I54" i="2"/>
  <c r="G52" i="2"/>
  <c r="J52" i="2"/>
  <c r="G50" i="2"/>
  <c r="H50" i="2"/>
  <c r="K50" i="2"/>
  <c r="L46" i="2"/>
  <c r="N46" i="2"/>
  <c r="G46" i="2"/>
  <c r="J46" i="2"/>
  <c r="J34" i="2"/>
  <c r="I34" i="2"/>
  <c r="K34" i="2" s="1"/>
  <c r="L34" i="2"/>
  <c r="I14" i="2"/>
  <c r="J14" i="2"/>
  <c r="H14" i="2"/>
  <c r="M14" i="2"/>
  <c r="O14" i="2"/>
  <c r="L14" i="2"/>
  <c r="R14" i="2"/>
  <c r="M54" i="1"/>
  <c r="L220" i="1" s="1"/>
  <c r="P14" i="2"/>
  <c r="G14" i="2"/>
  <c r="G12" i="2"/>
  <c r="K27" i="2" l="1"/>
  <c r="S27" i="2" s="1"/>
  <c r="Q20" i="2"/>
  <c r="S20" i="2" s="1"/>
  <c r="Q18" i="2"/>
  <c r="S18" i="2" s="1"/>
  <c r="S43" i="2"/>
  <c r="S29" i="2"/>
  <c r="O41" i="2"/>
  <c r="S41" i="2" s="1"/>
  <c r="S54" i="2"/>
  <c r="S16" i="2"/>
  <c r="P59" i="2"/>
  <c r="M59" i="2"/>
  <c r="M61" i="2" s="1"/>
  <c r="J59" i="2"/>
  <c r="L59" i="2"/>
  <c r="G59" i="2"/>
  <c r="G61" i="2" s="1"/>
  <c r="H59" i="2"/>
  <c r="R59" i="2"/>
  <c r="K59" i="2"/>
  <c r="I59" i="2"/>
  <c r="I61" i="2" s="1"/>
  <c r="F61" i="2"/>
  <c r="F63" i="2" s="1"/>
  <c r="N59" i="2"/>
  <c r="L226" i="1"/>
  <c r="Q50" i="2"/>
  <c r="S50" i="2" s="1"/>
  <c r="K52" i="2"/>
  <c r="S52" i="2" s="1"/>
  <c r="O46" i="2"/>
  <c r="S46" i="2" s="1"/>
  <c r="S34" i="2"/>
  <c r="Q14" i="2"/>
  <c r="S14" i="2" s="1"/>
  <c r="S12" i="2"/>
  <c r="M63" i="2" l="1"/>
  <c r="I63" i="2"/>
  <c r="Q59" i="2"/>
  <c r="S59" i="2" s="1"/>
  <c r="O61" i="2"/>
  <c r="O63" i="2" s="1"/>
  <c r="K61" i="2"/>
  <c r="K63" i="2" s="1"/>
  <c r="G62" i="2"/>
  <c r="G63" i="2"/>
  <c r="Q61" i="2" l="1"/>
  <c r="Q63" i="2" s="1"/>
  <c r="G64" i="2"/>
  <c r="I62" i="2"/>
  <c r="I64" i="2" l="1"/>
  <c r="K62" i="2"/>
  <c r="K64" i="2" l="1"/>
  <c r="M62" i="2"/>
  <c r="O62" i="2" l="1"/>
  <c r="M64" i="2"/>
  <c r="Q62" i="2" l="1"/>
  <c r="Q64" i="2" s="1"/>
  <c r="O64" i="2"/>
</calcChain>
</file>

<file path=xl/comments1.xml><?xml version="1.0" encoding="utf-8"?>
<comments xmlns="http://schemas.openxmlformats.org/spreadsheetml/2006/main">
  <authors>
    <author>Maciel Casagrande</author>
  </authors>
  <commentList>
    <comment ref="L17" authorId="0" shapeId="0">
      <text>
        <r>
          <rPr>
            <b/>
            <sz val="9"/>
            <color indexed="81"/>
            <rFont val="Segoe UI"/>
            <family val="2"/>
          </rPr>
          <t>FAVOR INSERIR PREÇO UNITÁRIO COM 02 CASAS DECIMAIS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27" authorId="0" shapeId="0">
      <text>
        <r>
          <rPr>
            <b/>
            <sz val="9"/>
            <color indexed="81"/>
            <rFont val="Segoe UI"/>
            <family val="2"/>
          </rPr>
          <t>PMVNI: Favor inserir local e data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230" authorId="0" shapeId="0">
      <text>
        <r>
          <rPr>
            <b/>
            <sz val="9"/>
            <color indexed="81"/>
            <rFont val="Segoe UI"/>
            <family val="2"/>
          </rPr>
          <t xml:space="preserve">PMVNI: Favor inserir nome do Responsável Técnico, bem como seu respectivo conselho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Maciel Casagrande</author>
  </authors>
  <commentList>
    <comment ref="B65" authorId="0" shapeId="0">
      <text>
        <r>
          <rPr>
            <b/>
            <sz val="9"/>
            <color indexed="81"/>
            <rFont val="Segoe UI"/>
            <family val="2"/>
          </rPr>
          <t>PMVNI: FAVOR INSERIR LOCAL E DATA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66" authorId="0" shapeId="0">
      <text>
        <r>
          <rPr>
            <b/>
            <sz val="11"/>
            <color indexed="81"/>
            <rFont val="Arial"/>
            <family val="2"/>
          </rPr>
          <t>PMVNI: Favor inserir nome do responsável Técnico, bem como seu respectivo conselho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<sst xmlns="http://schemas.openxmlformats.org/spreadsheetml/2006/main" count="584" uniqueCount="317">
  <si>
    <t>OBRA: CENTRO ESPORTIVO DA VIÇOSINHA</t>
  </si>
  <si>
    <t>CONSTRUÇÃO DE CAMPO DE FUTEBOL COM GRAMA SINTÉTICA, MEIA QUADRA DE BASQUETE, PARQUINHO INFANTIL E PISTA DE CAMINHADA (TIPO B)</t>
  </si>
  <si>
    <r>
      <t>LOCAL:</t>
    </r>
    <r>
      <rPr>
        <sz val="12"/>
        <rFont val="Arial"/>
        <family val="2"/>
      </rPr>
      <t xml:space="preserve"> COMUNIDADE DA VIÇOSINHA</t>
    </r>
  </si>
  <si>
    <r>
      <t xml:space="preserve">PROPRIETÁRIO: </t>
    </r>
    <r>
      <rPr>
        <sz val="12"/>
        <rFont val="Arial"/>
        <family val="2"/>
      </rPr>
      <t>PREFEITURA MUNICIPAL DE VENDA NOVA DO IMIGRANTE</t>
    </r>
  </si>
  <si>
    <t>DATA BASE: SET/2025</t>
  </si>
  <si>
    <r>
      <t>BDI:</t>
    </r>
    <r>
      <rPr>
        <sz val="12"/>
        <rFont val="Arial"/>
        <family val="2"/>
      </rPr>
      <t xml:space="preserve"> </t>
    </r>
  </si>
  <si>
    <t>PROPOSTA ORÇAMENTÁRIA</t>
  </si>
  <si>
    <t>CAMPO DE FUTEBOL COM GRAMA SINTÉTICA</t>
  </si>
  <si>
    <t>ITEM</t>
  </si>
  <si>
    <t>FONTE</t>
  </si>
  <si>
    <t>CÓDIGO</t>
  </si>
  <si>
    <t>DESCRIÇÃO ORÇAMENTÁRIA</t>
  </si>
  <si>
    <t>UNIDADE</t>
  </si>
  <si>
    <t>QTDE</t>
  </si>
  <si>
    <t>ORÇAMENTO PMVNI</t>
  </si>
  <si>
    <t>PROPOSTA EMPRESA</t>
  </si>
  <si>
    <t>UNIT. S/ BDI</t>
  </si>
  <si>
    <t>reajuste Valor</t>
  </si>
  <si>
    <t xml:space="preserve">PREÇO UNITÁRIO </t>
  </si>
  <si>
    <t>PREÇO TOTAL</t>
  </si>
  <si>
    <t>1.0</t>
  </si>
  <si>
    <t>FUNDAÇÃO</t>
  </si>
  <si>
    <t>1.1</t>
  </si>
  <si>
    <t>ESCAVAÇÃO MANUAL DE VALA PARA FUNDAÇÃO</t>
  </si>
  <si>
    <t>M3</t>
  </si>
  <si>
    <t>1.2</t>
  </si>
  <si>
    <t>COMPACTAÇÃO MECÂNICA DE SOLO, COM COMPACTADOR DE SOLOS TIPO PLACA VIBRATÓRIA</t>
  </si>
  <si>
    <t>M2</t>
  </si>
  <si>
    <t>1.3</t>
  </si>
  <si>
    <t>LASTRO DE CONCRETO MAGRO, APLICADO EM PISOS, LAJES SOBRE SOLO OU RADIERS, ESPESSURA DE 5 CM. AF_07/2016</t>
  </si>
  <si>
    <t>1.4</t>
  </si>
  <si>
    <t>ALVENARIA DE BLOCOS DE CONCRETO ESTRUTURAL 14X19X39 CM (ESPESSURA 14 CM)</t>
  </si>
  <si>
    <t>Sub-total</t>
  </si>
  <si>
    <t>2.0</t>
  </si>
  <si>
    <t>PAVIMENTAÇÃO</t>
  </si>
  <si>
    <t>2.1</t>
  </si>
  <si>
    <t xml:space="preserve">REGULARIZAÇÃO E COMPACTAÇÃO DE SUBLEITO DE SOLO  PREDOMINANTEMENTE ARGILOSO. </t>
  </si>
  <si>
    <t>2.2</t>
  </si>
  <si>
    <t>LASTRO COM MATERIAL GRANULAR (PEDRA BRITADA N.1), ESPESSURA DE 10 CM</t>
  </si>
  <si>
    <t>2.3</t>
  </si>
  <si>
    <t>LASTRO COM MATERIAL GRANULAR (PEDRA BRITADA N.0), ESPESSURA DE 5 CM</t>
  </si>
  <si>
    <t>2.4</t>
  </si>
  <si>
    <t>LASTRO COM MATERIAL GRANULAR (PÓ DE BRITA), ESPESSURA DE 5 CM</t>
  </si>
  <si>
    <t>2.5</t>
  </si>
  <si>
    <t xml:space="preserve">GRAMA SINTÉTICA COM FIOS DE 50MM DE ALTURA, AREIA ESPECIAL, GRANULOS DE BORRACHA (FORNECIMENTO E INSTALAÇÃO) </t>
  </si>
  <si>
    <t>2.6</t>
  </si>
  <si>
    <t>2.7</t>
  </si>
  <si>
    <t>EXECUÇÃO DE PASSEIO (CALÇADA) OU PISO DE CONCRETO COM CONCRETO MOLDADO IN LOCO, FEITO EM OBRA, ACABAMENTO CONVENCIONAL, ESPESSURA 6 CM</t>
  </si>
  <si>
    <t>3.0</t>
  </si>
  <si>
    <t>ESTRUTURA</t>
  </si>
  <si>
    <t>3.1</t>
  </si>
  <si>
    <t>FABRICAÇÃO, MONTAGEM E DESMONTAGEM DE FÔRMA PARA VIGA BALDRAME, EM CHAPA DE MADEIRA COMPENSADA RESINADA, E=17 MM, 4 UTILIZAÇÕES. AF_06/2017</t>
  </si>
  <si>
    <t>3.2</t>
  </si>
  <si>
    <t>ARMAÇÃO DE BLOCO, VIGA BALDRAME E SAPATA UTILIZANDO AÇO CA-60 DE 5 MM - MONTAGEM. AF_06/2017</t>
  </si>
  <si>
    <t>KG</t>
  </si>
  <si>
    <t>3.3</t>
  </si>
  <si>
    <t>ARMAÇÃO DE BLOCO, VIGA BALDRAME OU SAPATA UTILIZANDO AÇO CA-50 DE 8 MM - MONTAGEM. AF_06/2017</t>
  </si>
  <si>
    <t>3.4</t>
  </si>
  <si>
    <t>CONCRETAGEM DE BLOCOS DE COROAMENTO E VIGAS BALDRAME, FCK 30 MPA, COM USO DE JERICA  LANÇAMENTO, ADENSAMENTO E ACABAMENTO. AF_06/2017</t>
  </si>
  <si>
    <t>3.5</t>
  </si>
  <si>
    <t>ESTACA BROCA DE CONCRETO (0,20 X 0,20) M, ESCAVAÇÃO MANUAL, COM TUBO DE AÇO GALVANIZADO DE 2"</t>
  </si>
  <si>
    <t>M</t>
  </si>
  <si>
    <t>4.0</t>
  </si>
  <si>
    <t>ALVENARIA E FECHAMENTO</t>
  </si>
  <si>
    <t>4.1</t>
  </si>
  <si>
    <t>ALVENARIA DE VEDAÇÃO DE BLOCOS CERÂMICOS FURADOS NA VERTICAL DE 14X19X39 CM (ESPESSURA 14 CM) E ARGAMASSA DE ASSENTAMENTO COM PREPARO MANUAL. AF_12/2021</t>
  </si>
  <si>
    <t>4.2</t>
  </si>
  <si>
    <t>ALAMBRADO PARA QUADRA POLIESPORTIVA, ESTRUTURADO POR TUBOS DE ACO GALVANIZADO, (MONTANTES COM DIAMETRO 2", TRAVESSAS E ESCORAS COM DIÂMETRO 1 ¼), COM TELA DE ARAME GALVANIZADO, FIO 12 BWG E MALHA QUADRADA 5X5CM (EXCETO MURETA). AF_03/2021</t>
  </si>
  <si>
    <t>5.0</t>
  </si>
  <si>
    <t>REVESTIMENTO</t>
  </si>
  <si>
    <t>5.1</t>
  </si>
  <si>
    <t>CHAPISCO APLICADO EM ALVENARIAS E ESTRUTURAS DE CONCRETO, COM COLHER DE PEDREIRO.  ARGAMASSA TRAÇO 1:3 COM PREPARO MANUAL.</t>
  </si>
  <si>
    <t>5.2</t>
  </si>
  <si>
    <t>MASSA ÚNICA, PARA RECEBIMENTO DE PINTURA, EM ARGAMASSA TRAÇO 1:2:8, PREPARO MANUAL, APLICADA MANUALMENTE EM FACES INTERNAS DE PAREDES, ESPESSURA DE 20MM, COM EXECUÇÃO DE TALISCAS. AF_06/2014</t>
  </si>
  <si>
    <t>6.0</t>
  </si>
  <si>
    <t>PINTURA</t>
  </si>
  <si>
    <t>6.1</t>
  </si>
  <si>
    <t>PINTURA LÁTEX ACRÍLICA STANDARD, APLICAÇÃO MANUAL EM PAREDES, DUAS DEMÃOS. AF_04/2023</t>
  </si>
  <si>
    <t>6.2</t>
  </si>
  <si>
    <t>PINTURA COM TINTA ALQUÍDICA DE ACABAMENTO (ESMALTE SINTÉTICO FOSCO) APLICADA A ROLO OU PINCEL SOBRE SUPERFÍCIES METÁLICAS (EXCETO PERFIL) EXECUTADO EM OBRA (POR DEMÃO). AF_01/2020</t>
  </si>
  <si>
    <t>7.0</t>
  </si>
  <si>
    <t>EQUIPAMENTOS</t>
  </si>
  <si>
    <t>7.1</t>
  </si>
  <si>
    <t xml:space="preserve">CONJUNTO PARA FUTEBOL DE CAMPO COM PAR DE TRAVES OFICIAIS DE 5,00 X 2,20 M EM TUBO DE ACO GALVANIZADO 4", PINTURA EM PRIMER COM TINTA ESMALTE SINTETICO E REDES DE POLIETILENO FIO 3 MM - FORNECIMENTO E INSTALAÇÃO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</si>
  <si>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UND</t>
  </si>
  <si>
    <t>TOTAL CAMPO DE FUTEBOL &gt;&gt;&gt;&gt;&gt;</t>
  </si>
  <si>
    <t>MEIA QUADRA DE BASQUETE</t>
  </si>
  <si>
    <t>8.0</t>
  </si>
  <si>
    <t>8.1</t>
  </si>
  <si>
    <t>8.2</t>
  </si>
  <si>
    <t>8.3</t>
  </si>
  <si>
    <t>8.4</t>
  </si>
  <si>
    <t>9.0</t>
  </si>
  <si>
    <t>9.1</t>
  </si>
  <si>
    <t>REGULARIZAÇÃO E COMPACTAÇÃO DE SUBLEITO DE SOLO  PREDOMINANTEMENTE ARGILOSO. AF_11/2019</t>
  </si>
  <si>
    <t>9.2</t>
  </si>
  <si>
    <t>9.3</t>
  </si>
  <si>
    <t>EXECUÇÃO DE PASSEIO (CALÇADA) OU PISO DE CONCRETO COM CONCRETO MOLDADO IN LOCO, FEITO EM OBRA, ACABAMENTO CONVENCIONAL, ESPESSURA 8 CM, ARMADO. AF_08/2022</t>
  </si>
  <si>
    <t>9.4</t>
  </si>
  <si>
    <t>PISO MODULAR EM POLIPROPILENO DE ALTO IMPACTO E RESISTÊNCIA, PROTEÇÃO UV, INCLUINDO DEMARCAÇÃO DA QUADRA COM TINTA À BASE DE PU - FORNECIMENTO E INSTALAÇÃO</t>
  </si>
  <si>
    <t>10.0</t>
  </si>
  <si>
    <t>10.1</t>
  </si>
  <si>
    <t>TABELA DE BASQUETE DE COMPENSADO NAVAL, COM AROS, REDES E ESTRUTURA EM TUBO GALVANIZADO - FORNECIMENTO E INSTALAÇÃO.</t>
  </si>
  <si>
    <t>TOTAL MEIA QUADRA BASQUETE &gt;&gt;&gt;&gt;&gt;</t>
  </si>
  <si>
    <t>PARQUINHO INFANTIL</t>
  </si>
  <si>
    <t>11.0</t>
  </si>
  <si>
    <t>11.1</t>
  </si>
  <si>
    <t>11.2</t>
  </si>
  <si>
    <t>11.3</t>
  </si>
  <si>
    <t>11.4</t>
  </si>
  <si>
    <t>12.0</t>
  </si>
  <si>
    <t>12.1</t>
  </si>
  <si>
    <t>12.2</t>
  </si>
  <si>
    <t>12.3</t>
  </si>
  <si>
    <t>CONTRAPISO EM ARGAMASSA TRAÇO 1:4 (CIMENTO E AREIA), PREPARO MANUAL, APLICADO EM ÁREAS SECAS SOBRE LAJE, NÃO ADERIDO, ACABAMENTO NÃO REFORÇADO, ESPESSURA 6CM. AF_07/2021</t>
  </si>
  <si>
    <t>12.4</t>
  </si>
  <si>
    <t>PISO DE BORRACHA ESPORTIVO, ESPESSURA 15MM, ASSENTADO COM ARGAMASSA. AF_09/2020</t>
  </si>
  <si>
    <t>13.0</t>
  </si>
  <si>
    <t>13.1</t>
  </si>
  <si>
    <t>PAREDE ESCALADA (2,00 X 1,80)M EM MADEIRA PINUS OU EUCALIPTO TRATADO, COM ACABAMENTO EM VERNIZ FOSCO, REF. MODELO M111 DA LÚDICO PARQUES OU SIMILAR - FORNECIMENTO E MONTAGEM</t>
  </si>
  <si>
    <t>13.2</t>
  </si>
  <si>
    <t>GANGORRA DUPLA (3,00 X 2,50)M EM MADEIRA PINUS OU EUCALIPTO TRATADO, COM ACABAMENTO EM VERNIZ FOSCO, REF. MODELO M128 DA LÚDICO PARQUES OU SIMILAR - FORNECIMENTO E MONTAGEM</t>
  </si>
  <si>
    <t xml:space="preserve">UN </t>
  </si>
  <si>
    <t>13.3</t>
  </si>
  <si>
    <t>BRINQUEDO (4,00 X 5,00)M EM MADEIRA PINUS OU EUCALIPTO TRATADO, COM ACABAMENTO EM VERNIZ FOSCO, CONTENDO 1 CASINHA, 1 RAMPA DE ACESSO, 1 ESCORREGADOR, 1 ESCADA DE MARINHEIRO E 2 BALANÇOS, REF. MODELO M220 DA LÚDICO PARQUES OU SIMILAR</t>
  </si>
  <si>
    <t>13.4</t>
  </si>
  <si>
    <t>BALANÇO DUPLO (1,50 X 3,00)M EM MADEIRA  PINUS OU EUCALIPTO TRATADO, COM ACABAMENTO EM VERNIZ FOSCO, REF. MODELO M117 DA LÚDICO PARQUES OU SIMILAR - FORNECIMENTO E MONTAGEM</t>
  </si>
  <si>
    <t>13.5</t>
  </si>
  <si>
    <t>BANCO FIXO (0,70 X 1,50)M EM MADEIRA PINUS OU EUCALIPTO TRATADO, COM ACABAMENTO EM VERNIZ FOSCO, REF. MODELO M312 DA LÚDICO PARQUES OU SIMILAR - FORNECIMENTO E MONTAGEM</t>
  </si>
  <si>
    <t>TOTAL PARQUINHO INFANTIL &gt;&gt;&gt;&gt;&gt;</t>
  </si>
  <si>
    <t>PISTA DE CAMINHADA</t>
  </si>
  <si>
    <t>14.0</t>
  </si>
  <si>
    <t>14.1</t>
  </si>
  <si>
    <t>14.2</t>
  </si>
  <si>
    <t>14.3</t>
  </si>
  <si>
    <t>15.0</t>
  </si>
  <si>
    <t>15.1</t>
  </si>
  <si>
    <t>PINTURA DE PISO COM TINTA EPÓXI, APLICAÇÃO MANUAL, 2 DEMÃOS, INCLUSO PRIMER EPÓXI. AF_05/2021</t>
  </si>
  <si>
    <t>15.2</t>
  </si>
  <si>
    <t>PINTURA DE DEMARCAÇÃO DE FAIXA COM TINTA EPÓXI, E = 5 CM, APLICAÇÃO MANUAL</t>
  </si>
  <si>
    <t>TOTAL PISTA DE CAMINHADA &gt;&gt;&gt;&gt;&gt;</t>
  </si>
  <si>
    <t>IMPLANTAÇÃO</t>
  </si>
  <si>
    <t>16.0</t>
  </si>
  <si>
    <t>16.1</t>
  </si>
  <si>
    <t>16.2</t>
  </si>
  <si>
    <t>16.3</t>
  </si>
  <si>
    <t>16.4</t>
  </si>
  <si>
    <t>ASSENTAMENTO DE GUIA (MEIO-FIO) EM TRECHO RETO, CONFECCIONADA EM CONCRETO PRÉ-FABRICADO, DIMENSÕES 39X6,5X6,5X19 CM (COMPRIMENTO X BASE INFERIOR X BASE SUPERIOR X ALTURA), PARA DELIMITAÇÃO DE JARDINS, PRAÇAS OU PASSEIOS. AF_05/2016</t>
  </si>
  <si>
    <t>16.5</t>
  </si>
  <si>
    <t>PLANTIO DE GRAMA ESMERALDA OU SÃO CARLOS OU CURITIBANA, EM PLACAS. AF_05/2022</t>
  </si>
  <si>
    <t>17.0</t>
  </si>
  <si>
    <t>URBANIZAÇÃO E PAISAGISMO</t>
  </si>
  <si>
    <t>17.1</t>
  </si>
  <si>
    <t>17.2</t>
  </si>
  <si>
    <t>CESTO DE LIXO (0,60 X 0,60)M EM MADEIRA  PINUS OU EUCALIPTO TRATADO, COM ACABAMENTO EM VERNIZ FOSCO, REF. MODELO M313 DA LÚDICO PARQUES OU SIMILAR - FORNECIMENTO E MONTAGEM</t>
  </si>
  <si>
    <t>17.3</t>
  </si>
  <si>
    <t>MESA PARA JOGOS (1,00 X 1,00)M  COM 4 BANCOS (0,30 X 0,30)M EM MADEIRA  PINUS OU EUCALIPTO TRATADO, COM ACABAMENTO EM VERNIZ FOSCO, REF. MODELO M314 DA LÚDICO PARQUES OU SIMILAR - FORNECIMENTO E MONTAGEM</t>
  </si>
  <si>
    <t>17.4</t>
  </si>
  <si>
    <t>CONJUNTO MESA (1,00 X 2,00)M E 2 BANCOS (0,30 X 2,00)M EM MADEIRA  PINUS OU EUCALIPTO TRATADO, COM ACABAMENTO EM VERNIZ FOSCO, REF. MODELO M315 DA LÚDICO PARQUES OU SIMILAR - FORNECIMENTO E MONTAGEM</t>
  </si>
  <si>
    <t>17.5</t>
  </si>
  <si>
    <t>INSTALAÇÃO DE PERGOLADO DE MADEIRA, EM MAÇARANDUBA, ANGELIM OU EQUIVALENTE DA REGIÃO, FIXADO COM CONCRETO SOBRE SOLO. AF_11/2021</t>
  </si>
  <si>
    <t>17.6</t>
  </si>
  <si>
    <t>PLANTIO DE ARBUSTO OU  CERCA VIVA. AF_05/2018</t>
  </si>
  <si>
    <t>17.7</t>
  </si>
  <si>
    <t xml:space="preserve">PLANTIO DE ÁRVORE ORNAMENTAL COM ALTURA DE MUDA MENOR OU IGUAL A 2,00 M. </t>
  </si>
  <si>
    <t>17.8</t>
  </si>
  <si>
    <t xml:space="preserve">PLANTIO DE ÁRVORE ORNAMENTAL COM ALTURA DE MUDA MAIOR QUE 2,00 M E MENOR OU IGUAL A 4,00 M. </t>
  </si>
  <si>
    <t>18.0</t>
  </si>
  <si>
    <t>INSTALAÇÕES ELÉTRICAS</t>
  </si>
  <si>
    <t>18.1</t>
  </si>
  <si>
    <t>ELETRODUTO RÍGIDO SOLDÁVEL, PVC, DN 32 MM (1"), APARENTE - FORNECIMENTO E INSTALAÇÃO</t>
  </si>
  <si>
    <t>18.2</t>
  </si>
  <si>
    <t>ELETRODUTO FLEXÍVEL CORRUGADO, PEAD, DN 50 (1 1/2"), PARA REDE ENTERRADA DE DISTRIBUIÇÃO DE ENERGIA ELÉTRICA - FORNECIMENTO E INSTALAÇÃO</t>
  </si>
  <si>
    <t>18.3</t>
  </si>
  <si>
    <t>ELETRODUTO FLEXÍVEL CORRUGADO, PEAD, DN 63 (2"), PARA REDE ENTERRADA DE DISTRIBUIÇÃO DE ENERGIA ELÉTRICA - FORNECIMENTO E INSTALAÇÃO</t>
  </si>
  <si>
    <t>18.4</t>
  </si>
  <si>
    <t>ELETRODUTO RÍGIDO ROSCÁVEL, PVC, DN 32 MM (1"), APARENTE - FORNECIMENTO E INSTALAÇÃO</t>
  </si>
  <si>
    <t>18.5</t>
  </si>
  <si>
    <t>CURVA LONGA 90 GRAUS PARA ELETRODUTO, PVC, ROSCÁVEL, DN 32 MM (1") - FORNECIMENTO E INSTALAÇÃO</t>
  </si>
  <si>
    <t>18.6</t>
  </si>
  <si>
    <t>CABO DE COBRE FLEXÍVEL ISOLADO, 2,5 MM², ANTI-CHAMA 0,6/1,0 KV - FORNECIMENTO E INSTALAÇÃO</t>
  </si>
  <si>
    <t>18.7</t>
  </si>
  <si>
    <t>CABO DE COBRE FLEXÍVEL ISOLADO, 6 MM², ANTI-CHAMA 0,6/1,0 KV - FORNECIMENTO E INSTALAÇÃO</t>
  </si>
  <si>
    <t>18.8</t>
  </si>
  <si>
    <t>CABO DE COBRE FLEXÍVEL ISOLADO, 10 MM², ANTI-CHAMA 0,6/1,0 KV - FORNECIMENTO E INSTALAÇÃO</t>
  </si>
  <si>
    <t>18.9</t>
  </si>
  <si>
    <t>CABO DE COBRE FLEXÍVEL ISOLADO, 16 MM², ANTI-CHAMA 0,6/1,0 KV - FORNECIMENTO E INSTALAÇÃO</t>
  </si>
  <si>
    <t>18.10</t>
  </si>
  <si>
    <t>CONDULETE DE ALUMÍNIO, TIPO C, PARA ELETRODUTO DE PVC DN 32 MM (1"), APARENTE - FORNECIMENTO E INSTALAÇÃO</t>
  </si>
  <si>
    <t>18.11</t>
  </si>
  <si>
    <t>CONDULETE DE ALUMÍNIO, TIPO E, PARA ELETRODUTO DE PVC DN 32 MM (1"), APARENTE - FORNECIMENTO E INSTALAÇÃO</t>
  </si>
  <si>
    <t>18.12</t>
  </si>
  <si>
    <t>CONDULETE DE ALUMÍNIO, TIPO T, PARA ELETRODUTO DE PVC DN 32 MM (1"), APARENTE - FORNECIMENTO E INSTALAÇÃO</t>
  </si>
  <si>
    <t>18.13</t>
  </si>
  <si>
    <t>ENTRADA DE ENERGIA ELÉTRICA, AÉREA, TRIFÁSICA, COM CAIXA DE SOBREPOR, CABO DE 16 MM2 E DISJUNTOR DIN 70A (NÃO INCLUSO O POSTE DE CONCRETO)</t>
  </si>
  <si>
    <t>18.14</t>
  </si>
  <si>
    <t>QUADRO DE DISTRIBUIÇÃO DE ENERGIA EM CHAPA DE AÇO GALVANIZADO, DE EMBUTIR, COM BARRAMENTO TRIFÁSICO, PARA 18 DISJUNTORES DIN 100A - FORNECIMENTO E INSTALAÇÃO</t>
  </si>
  <si>
    <t>18.15</t>
  </si>
  <si>
    <t>DISJUNTOR MONOPOLAR TIPO DIN, CORRENTE NOMINAL DE 16A - FORNECIMENTO E INSTALAÇÃO</t>
  </si>
  <si>
    <t>18.16</t>
  </si>
  <si>
    <t>DISJUNTOR MONOPOLAR TIPO DIN, CORRENTE NOMINAL DE 20A - FORNECIMENTO E INSTALAÇÃO</t>
  </si>
  <si>
    <t>18.17</t>
  </si>
  <si>
    <t>DISJUNTOR TRIPOLAR TIPO DIN, CORRENTE NOMINAL DE 25A - FORNECIMENTO E INSTALAÇÃO</t>
  </si>
  <si>
    <t>18.18</t>
  </si>
  <si>
    <t>DISPOSITIVO DE PROTEÇÃO CONTRA SURTO 45 KA, 175 V, TIPO AC - FORNECIMENTO E INSTALAÇÃO</t>
  </si>
  <si>
    <t>18.19</t>
  </si>
  <si>
    <t>CORDOALHA DE COBRE NU 50 MM², NÃO ENTERRADA, COM ISOLADOR - FORNECIMENTO E INSTALAÇÃO</t>
  </si>
  <si>
    <t>18.20</t>
  </si>
  <si>
    <t>HASTE DE ATERRAMENTO, DIÂMETRO 3/4", COM 3 METROS - FORNECIMENTO E INSTALAÇÃO</t>
  </si>
  <si>
    <t>18.21</t>
  </si>
  <si>
    <t>CAIXA DE INSPEÇÃO PARA ATERRAMENTO, CIRCULAR, EM POLIETILENO, DIÂMETRO INTERNO = 0,3 M. AF_12/2020</t>
  </si>
  <si>
    <t>18.22</t>
  </si>
  <si>
    <t>RELÉ FOTOELÉTRICO PARA COMANDO DE ILUMINAÇÃO EXTERNA 1800 W - FORNECIMENTO E INSTALAÇÃO</t>
  </si>
  <si>
    <t>18.23</t>
  </si>
  <si>
    <t>REFLETOR EM ALUMÍNIO, DE SUPORTE E ALÇA, COM LÂMPADA EM LED 100W DE POTÊNCIA - FORNECIMENTO E INSTALAÇÃO</t>
  </si>
  <si>
    <t>18.24</t>
  </si>
  <si>
    <t xml:space="preserve">CAIXA ENTERRADA ELÉTRICA RETANGULAR, EM ALVENARIA COM TIJOLOS CERÂMICOS MACIÇOS, FUNDO COM BRITA, DIMENSÕES INTERNAS: 0,3X0,3X0,3 M. </t>
  </si>
  <si>
    <t>18.25</t>
  </si>
  <si>
    <t>POSTE EM CONCRETO ARMADO SEÇÃO CIRCULAR 200/10, TIPO C-14 COM 3 REFLETORES EM LED 200W FIXADOS EM CRUZETA DE CONCRETO - FORNECIMENTO E INSTALAÇÃO</t>
  </si>
  <si>
    <t>18.26</t>
  </si>
  <si>
    <t>POSTE EM CONCRETO ARMADO SEÇÃO CIRCULAR 200/10, TIPO C-14 COM 6 REFLETORES EM LED 200W FIXADOS EM CRUZETA DE CONCRETO - FORNECIMENTO E INSTALAÇÃO</t>
  </si>
  <si>
    <t>19.0</t>
  </si>
  <si>
    <t>INSTALAÇÕES HIDRÁULICAS</t>
  </si>
  <si>
    <t>19.1</t>
  </si>
  <si>
    <t>TUBO, PVC, SOLDÁVEL, DN 25MM - FORNECIMENTO E INSTALAÇÃO</t>
  </si>
  <si>
    <t>19.2</t>
  </si>
  <si>
    <t>TUBO, PVC, SOLDÁVEL, DN 32MM - FORNECIMENTO E INSTALAÇÃO</t>
  </si>
  <si>
    <t>19.3</t>
  </si>
  <si>
    <t>JOELHO 90 GRAUS, PVC, SOLDÁVEL, DN 25MM - FORNECIMENTO E INSTALAÇÃO</t>
  </si>
  <si>
    <t>19.4</t>
  </si>
  <si>
    <t>JOELHO 90 GRAUS COM BUCHA DE LATÃO, PVC, SOLDÁVEL, DN 25MM, X 3/4 - FORNECIMENTO E INSTALAÇÃO</t>
  </si>
  <si>
    <t>19.5</t>
  </si>
  <si>
    <t>CURVA 90 GRAUS, PVC, SOLDÁVEL, DN 25MM - FORNECIMENTO E INSTALAÇÃO</t>
  </si>
  <si>
    <t>19.6</t>
  </si>
  <si>
    <t>TÊ DE REDUÇÃO, PVC, SOLDÁVEL, DN 32MM X 25MM - FORNECIMENTO E INSTALAÇÃO</t>
  </si>
  <si>
    <t>19.7</t>
  </si>
  <si>
    <t>LUVA DE REDUÇÃO, PVC, SOLDÁVEL, DN 32MM X 25MM - FORNECIMENTO E INSTALAÇÃO</t>
  </si>
  <si>
    <t>19.8</t>
  </si>
  <si>
    <t>TORNEIRA CROMADA 1/2 OU 3/4 PARA JARDIM - FORNECIMENTO E INSTALAÇÃO</t>
  </si>
  <si>
    <t>20.0</t>
  </si>
  <si>
    <t>DRENAGEM</t>
  </si>
  <si>
    <t>20.1</t>
  </si>
  <si>
    <t>TUBO PVC, SÉRIE R, ÁGUA PLUVIAL, DN 100 MM - FORNECIMENTO E INSTALAÇÃO</t>
  </si>
  <si>
    <t>20.2</t>
  </si>
  <si>
    <t>JUNÇÃO DUPLA DE PVC, SÉRIE NORMAL, DN 100 X 100 X 100 MM - FORNECIMENTO E INSTALAÇÃO</t>
  </si>
  <si>
    <t>20.3</t>
  </si>
  <si>
    <t>CAIXA ENTERRADA RETANGULAR, EM ALVENARIA COM BLOCOS DE CONCRETO, TAMPA EM CONCRETO COM GRELHA, DIMENSÕES INTERNAS: 0,8X0,6X0,5 M PARA REDE DE DRENAGEM</t>
  </si>
  <si>
    <t>20.4</t>
  </si>
  <si>
    <t>DRENO ESPINHA DE PEIXE (SEÇÃO 0,40 X 0,20 M), COM TUBO DE PEAD CORRUGADO PERFURADO, DN 100 MM, ENCHIMENTO COM BRITA, ENVOLVIDO COM MANTA GEOTÊXTIL, INCLUSIVE CONEXÕES</t>
  </si>
  <si>
    <t>21.0</t>
  </si>
  <si>
    <t>SERVIÇOS COMPLEMENTARES</t>
  </si>
  <si>
    <t>21.1</t>
  </si>
  <si>
    <t>CARGA, MANOBRA E DESCARGA DE ENTULHO EM CAMINHÃO BASCULANTE 18 M³ - CARGA COM ESCAVADEIRA HIDRÁULICA  (CAÇAMBA DE 0,80 M³ / 111 HP) E DESCARGA LIVRE (UNIDADE: M3)</t>
  </si>
  <si>
    <t>21.2</t>
  </si>
  <si>
    <t>TRANSPORTE COM CAMINHÃO BASCULANTE DE 18 M³, EM VIA URBANA PAVIMENTADA, DMT ATÉ 30 KM (UNIDADE: M3XKM)</t>
  </si>
  <si>
    <t>M3XKM</t>
  </si>
  <si>
    <t>TOTAL IMPLANTAÇÃO &gt;&gt;&gt;&gt;&gt;</t>
  </si>
  <si>
    <t>CANTEIRO DE OBRAS</t>
  </si>
  <si>
    <t>22.0</t>
  </si>
  <si>
    <t>SERVIÇOS PRELIMINARES</t>
  </si>
  <si>
    <t>22.1</t>
  </si>
  <si>
    <t>FORNECIMENTO E INSTALAÇÃO DE PLACA DE OBRA COM CHAPA GALVANIZADA E ESTRUTURA DE MADEIRA (3 X 2 )M</t>
  </si>
  <si>
    <t>22.2</t>
  </si>
  <si>
    <t>LOCAÇÃO CONVENCIONAL DE OBRA, UTILIZANDO GABARITO DE TÁBUAS CORRIDAS PONTALETADAS A CADA 2,00M - 2 UTILIZAÇÕES.</t>
  </si>
  <si>
    <t>22.3</t>
  </si>
  <si>
    <t xml:space="preserve">ESTRUTURA DE MADEIRA PROVISÓRIA PARA SUPORTE DE CAIXA DÁGUA ELEVADA DE 1000 LITROS. </t>
  </si>
  <si>
    <t>22.4</t>
  </si>
  <si>
    <t>CAIXA D´ÁGUA EM POLIÉSTER REFORÇADO COM FIBRA DE VIDRO, 750 LITROS - FORNECIMENTO E INSTALAÇÃO.</t>
  </si>
  <si>
    <t>22.5</t>
  </si>
  <si>
    <t>KIT CAVALETE PARA MEDIÇÃO DE ÁGUA - ENTRADA PRINCIPAL, EM AÇO GALVANIZADO DN 25 MM (1") - FORNECIMENTO E INSTALAÇÃO (EXCLUSIVE HIDRÔMETRO).</t>
  </si>
  <si>
    <t>22.6</t>
  </si>
  <si>
    <t>ENTRADA DE ENERGIA ELÉTRICA, AÉREA, TRIFÁSICA, COM CAIXA DE SOBREPOR, CABO DE 35 MM2 E DISJUNTOR DIN 50A (NÃO INCLUSO O POSTE DE CONCRETO). AF_07/2020_PS</t>
  </si>
  <si>
    <t>22.7</t>
  </si>
  <si>
    <t>TAPUME COM TELHA METÁLICA. AF_03/2024</t>
  </si>
  <si>
    <t>22.8</t>
  </si>
  <si>
    <t>LOCACAO DE CONTAINER 2,30 X 6,00 M, ALT. 2,50 M, PARA ESCRITORIO, SEM DIVISORIAS INTERNAS E SEM SANITARIO (NAO INCLUI MOBILIZACAO/DESMOBILIZACAO</t>
  </si>
  <si>
    <t>MÊS</t>
  </si>
  <si>
    <t>22.9</t>
  </si>
  <si>
    <t xml:space="preserve">TRANSPORTE COM CAMINHÃO CARROCERIA COM GUINDAUTO (MUNCK), MOMENTO MÁXIMO DE CARGA 11,7 TM, EM VIA URBANA PAVIMENTADA, ADICIONAL PARA DMT EXCEDENTE A 30 KM (UNIDADE: TXKM). </t>
  </si>
  <si>
    <t>TXKM</t>
  </si>
  <si>
    <t>22.10</t>
  </si>
  <si>
    <t>LOCACAO DE CONTAINER 2,30 X 4,30 M, ALT. 2,50 M, PARA SANITARIO, COM 3 BACIAS, 4 CHUVEIROS, 1 LAVATORIO E 1 MICTORIO (NAO INCLUI MOBILIZACAO/DESMOBILIZACAO)</t>
  </si>
  <si>
    <t>22.11</t>
  </si>
  <si>
    <t>TOTAL CANTEIRO DE OBRAS &gt;&gt;&gt;&gt;&gt;</t>
  </si>
  <si>
    <t>TOTAL</t>
  </si>
  <si>
    <t>TOTAL POR ETAPA</t>
  </si>
  <si>
    <t>TOTAL GERAL</t>
  </si>
  <si>
    <t>Venda Nova do Imigrante, xx de xxx de 202x</t>
  </si>
  <si>
    <t>RESPONSÁVEL TÉCNICO</t>
  </si>
  <si>
    <t xml:space="preserve">CONSELHO </t>
  </si>
  <si>
    <t>CRONOGRAMA FÍSICO-FINANCEIRO</t>
  </si>
  <si>
    <t>DESCRIÇÃO DOS SERVIÇOS</t>
  </si>
  <si>
    <t>MÊS 1</t>
  </si>
  <si>
    <t>MÊS 2</t>
  </si>
  <si>
    <t>MÊS 3</t>
  </si>
  <si>
    <t>MÊS 4</t>
  </si>
  <si>
    <t>MÊS 5</t>
  </si>
  <si>
    <t>MÊS 6</t>
  </si>
  <si>
    <t>TOTAL ACUMULADO</t>
  </si>
  <si>
    <t>TOTAL PORCENTUAL</t>
  </si>
  <si>
    <t>TOTAL PORCENTUAL ACUMULADO</t>
  </si>
  <si>
    <t>NOME DO RESPONSÁVEL TÉCNICO</t>
  </si>
  <si>
    <t>CONSELHO - CREA</t>
  </si>
  <si>
    <t>BDI: 27,15%</t>
  </si>
  <si>
    <t>MUNICÍPIO DE VENDA NOVA DO IMIGRANTE/ES</t>
  </si>
  <si>
    <t>ORIENTAÇÕES PARA PREENCHIMENTO DA PROPOSTA</t>
  </si>
  <si>
    <t xml:space="preserve">As áreas que deverão ser preenchidas encontram-se DESBLOQUEADAS e hachuradas (destacadas) . </t>
  </si>
  <si>
    <t xml:space="preserve">O orçamento proposto pela PMVNI é de </t>
  </si>
  <si>
    <t>Orientamos que a proposta de cada empresa não ultrapasse tal valor, portanto favor cotar preços unitários abaixo do preço proposto por esta instituição;</t>
  </si>
  <si>
    <t>Todos os documentos deverão ser impressos em papel timbrado;</t>
  </si>
  <si>
    <t>Todos os documentos deverão ter a assinatura do Responsável Técnico da Empresa;</t>
  </si>
  <si>
    <t>Quaisquer dúvidas ou erros, que possam ocorrer durante o preenchimento da proposta, favor entrar em contato com a Secretaria de Obras do Mun. de Venda Nova do Imigrante/ES, através do telefone (28) 3546-1188, falar com o Eng.º Civil MACIEL CASAGRANDE ou através do e-mail: "engenharia@vendanova.es.gov.br".</t>
  </si>
  <si>
    <t>CENTRO ESPORTIVO DA VIÇOSINHA</t>
  </si>
  <si>
    <r>
      <t>Todas as abas desta proposta foram bloqueados a fim de evitarmos adulterações nos documentos, favor utilizar este arquivo</t>
    </r>
    <r>
      <rPr>
        <b/>
        <sz val="11"/>
        <rFont val="Arial"/>
        <family val="2"/>
      </rPr>
      <t xml:space="preserve"> (NÃO FAÇA CÓPIAS), </t>
    </r>
    <r>
      <rPr>
        <sz val="11"/>
        <rFont val="Arial"/>
        <family val="2"/>
      </rPr>
      <t xml:space="preserve">caso contrário a empresa poderá ser </t>
    </r>
    <r>
      <rPr>
        <b/>
        <sz val="11"/>
        <rFont val="Arial"/>
        <family val="2"/>
      </rPr>
      <t>ELIMINADA</t>
    </r>
    <r>
      <rPr>
        <sz val="11"/>
        <rFont val="Arial"/>
        <family val="2"/>
      </rPr>
      <t xml:space="preserve"> deste certame;</t>
    </r>
  </si>
  <si>
    <r>
      <t>Deverá ser utilizado exatamente 2,0 (duas) casas decimais em cada preço unitário proposto</t>
    </r>
    <r>
      <rPr>
        <b/>
        <sz val="11"/>
        <rFont val="Arial"/>
        <family val="2"/>
      </rPr>
      <t xml:space="preserve"> ( NÃO UTILIZE MAIS CASAS DECIMAIS DO QUE DUAS)</t>
    </r>
    <r>
      <rPr>
        <sz val="11"/>
        <rFont val="Arial"/>
        <family val="2"/>
      </rPr>
      <t>; caso contrário a empresa poderá ser ELIMINADA deste certame;</t>
    </r>
  </si>
  <si>
    <t>As observações que encontram-se ao lado da planilha orçamentária (quando houver) devem ser utilizadas somente como auxílio na confecção do orçamento;</t>
  </si>
  <si>
    <t>Venda Nova do Imigrante/ES, 20 de janeiro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</si>
</sst>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_(&quot;R$ &quot;* #,##0.00_);_(&quot;R$ &quot;* \(#,##0.00\);_(&quot;R$ &quot;* \-??_);_(@_)"/>
    <numFmt numFmtId="166" formatCode="0.000%"/>
    <numFmt numFmtId="167" formatCode="&quot;R$ &quot;#,##0.00;&quot;-R$ &quot;#,##0.00"/>
  </numFmts>
  <fonts count="2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i/>
      <sz val="12"/>
      <color indexed="5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i/>
      <sz val="12"/>
      <color indexed="53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6"/>
      <name val="Arial"/>
      <family val="2"/>
    </font>
    <font>
      <sz val="12"/>
      <color indexed="53"/>
      <name val="Arial"/>
      <family val="2"/>
    </font>
    <font>
      <sz val="11"/>
      <color theme="1"/>
      <name val="Calibri"/>
      <family val="2"/>
      <scheme val="minor"/>
    </font>
    <font>
      <sz val="12"/>
      <color rgb="FF00B050"/>
      <name val="Arial"/>
      <family val="2"/>
    </font>
    <font>
      <b/>
      <sz val="11"/>
      <color indexed="81"/>
      <name val="Arial"/>
      <family val="2"/>
    </font>
    <font>
      <sz val="15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indexed="13"/>
        <bgColor indexed="3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5">
    <xf numFmtId="0" fontId="0" fillId="0" borderId="0"/>
    <xf numFmtId="44" fontId="13" fillId="0" borderId="0" applyFont="0" applyFill="0" applyBorder="0" applyAlignment="0" applyProtection="0"/>
    <xf numFmtId="9" fontId="5" fillId="0" borderId="0" applyFill="0" applyBorder="0" applyAlignment="0" applyProtection="0"/>
    <xf numFmtId="43" fontId="13" fillId="0" borderId="0" applyFont="0" applyFill="0" applyBorder="0" applyAlignment="0" applyProtection="0"/>
    <xf numFmtId="0" fontId="5" fillId="0" borderId="0"/>
  </cellStyleXfs>
  <cellXfs count="2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10" fontId="1" fillId="0" borderId="0" xfId="0" applyNumberFormat="1" applyFont="1"/>
    <xf numFmtId="8" fontId="1" fillId="0" borderId="0" xfId="0" applyNumberFormat="1" applyFont="1"/>
    <xf numFmtId="0" fontId="12" fillId="0" borderId="0" xfId="0" applyFont="1"/>
    <xf numFmtId="164" fontId="1" fillId="0" borderId="0" xfId="0" applyNumberFormat="1" applyFont="1"/>
    <xf numFmtId="0" fontId="1" fillId="2" borderId="0" xfId="0" applyFont="1" applyFill="1"/>
    <xf numFmtId="10" fontId="1" fillId="0" borderId="0" xfId="2" applyNumberFormat="1" applyFont="1" applyFill="1" applyBorder="1" applyAlignment="1" applyProtection="1"/>
    <xf numFmtId="1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6" fontId="1" fillId="0" borderId="0" xfId="0" applyNumberFormat="1" applyFont="1"/>
    <xf numFmtId="8" fontId="1" fillId="0" borderId="0" xfId="0" applyNumberFormat="1" applyFont="1" applyAlignment="1">
      <alignment vertical="center"/>
    </xf>
    <xf numFmtId="0" fontId="3" fillId="2" borderId="2" xfId="0" applyFont="1" applyFill="1" applyBorder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2" fontId="2" fillId="2" borderId="0" xfId="0" applyNumberFormat="1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1" fillId="0" borderId="3" xfId="0" applyFont="1" applyBorder="1" applyProtection="1"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 wrapText="1"/>
      <protection hidden="1"/>
    </xf>
    <xf numFmtId="0" fontId="3" fillId="2" borderId="0" xfId="0" applyFont="1" applyFill="1" applyAlignment="1" applyProtection="1">
      <alignment horizontal="left" wrapText="1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10" fontId="3" fillId="2" borderId="0" xfId="0" applyNumberFormat="1" applyFont="1" applyFill="1" applyAlignment="1" applyProtection="1">
      <alignment horizontal="left" wrapText="1"/>
      <protection hidden="1"/>
    </xf>
    <xf numFmtId="10" fontId="3" fillId="2" borderId="0" xfId="2" applyNumberFormat="1" applyFont="1" applyFill="1" applyBorder="1" applyAlignment="1" applyProtection="1">
      <alignment horizontal="left" vertical="center"/>
      <protection hidden="1"/>
    </xf>
    <xf numFmtId="10" fontId="1" fillId="2" borderId="0" xfId="0" applyNumberFormat="1" applyFont="1" applyFill="1" applyAlignment="1" applyProtection="1">
      <alignment horizontal="left" vertical="center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2" fontId="7" fillId="0" borderId="5" xfId="0" applyNumberFormat="1" applyFont="1" applyBorder="1" applyAlignment="1" applyProtection="1">
      <alignment horizontal="center" vertical="center"/>
      <protection hidden="1"/>
    </xf>
    <xf numFmtId="2" fontId="7" fillId="0" borderId="5" xfId="0" applyNumberFormat="1" applyFont="1" applyBorder="1" applyAlignment="1" applyProtection="1">
      <alignment horizontal="center" vertical="center" wrapText="1"/>
      <protection hidden="1"/>
    </xf>
    <xf numFmtId="4" fontId="3" fillId="2" borderId="6" xfId="0" applyNumberFormat="1" applyFont="1" applyFill="1" applyBorder="1" applyAlignment="1" applyProtection="1">
      <alignment horizontal="center" vertical="center" wrapText="1"/>
      <protection hidden="1"/>
    </xf>
    <xf numFmtId="4" fontId="3" fillId="2" borderId="4" xfId="0" applyNumberFormat="1" applyFont="1" applyFill="1" applyBorder="1" applyAlignment="1" applyProtection="1">
      <alignment horizontal="center" vertical="center" wrapText="1"/>
      <protection hidden="1"/>
    </xf>
    <xf numFmtId="4" fontId="3" fillId="2" borderId="5" xfId="0" applyNumberFormat="1" applyFont="1" applyFill="1" applyBorder="1" applyAlignment="1" applyProtection="1">
      <alignment horizontal="center" vertical="center" wrapText="1"/>
      <protection hidden="1"/>
    </xf>
    <xf numFmtId="4" fontId="3" fillId="2" borderId="7" xfId="0" applyNumberFormat="1" applyFont="1" applyFill="1" applyBorder="1" applyAlignment="1" applyProtection="1">
      <alignment horizontal="center" vertical="center" wrapText="1"/>
      <protection hidden="1"/>
    </xf>
    <xf numFmtId="3" fontId="3" fillId="3" borderId="6" xfId="0" applyNumberFormat="1" applyFont="1" applyFill="1" applyBorder="1" applyAlignment="1" applyProtection="1">
      <alignment horizontal="center" vertical="center"/>
      <protection hidden="1"/>
    </xf>
    <xf numFmtId="4" fontId="3" fillId="3" borderId="5" xfId="0" applyNumberFormat="1" applyFont="1" applyFill="1" applyBorder="1" applyAlignment="1" applyProtection="1">
      <alignment vertical="center"/>
      <protection hidden="1"/>
    </xf>
    <xf numFmtId="4" fontId="3" fillId="3" borderId="8" xfId="0" applyNumberFormat="1" applyFont="1" applyFill="1" applyBorder="1" applyAlignment="1" applyProtection="1">
      <alignment vertical="center"/>
      <protection hidden="1"/>
    </xf>
    <xf numFmtId="4" fontId="3" fillId="3" borderId="7" xfId="0" applyNumberFormat="1" applyFont="1" applyFill="1" applyBorder="1" applyAlignment="1" applyProtection="1">
      <alignment vertical="center"/>
      <protection hidden="1"/>
    </xf>
    <xf numFmtId="4" fontId="3" fillId="3" borderId="9" xfId="0" applyNumberFormat="1" applyFont="1" applyFill="1" applyBorder="1" applyAlignment="1" applyProtection="1">
      <alignment vertical="center"/>
      <protection hidden="1"/>
    </xf>
    <xf numFmtId="0" fontId="1" fillId="4" borderId="7" xfId="0" applyFont="1" applyFill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2" fontId="1" fillId="0" borderId="11" xfId="0" applyNumberFormat="1" applyFont="1" applyBorder="1" applyAlignment="1" applyProtection="1">
      <alignment horizontal="justify" vertical="center" wrapText="1"/>
      <protection hidden="1"/>
    </xf>
    <xf numFmtId="2" fontId="1" fillId="0" borderId="11" xfId="0" applyNumberFormat="1" applyFont="1" applyBorder="1" applyAlignment="1" applyProtection="1">
      <alignment horizontal="center" vertical="center" wrapText="1"/>
      <protection hidden="1"/>
    </xf>
    <xf numFmtId="4" fontId="1" fillId="0" borderId="11" xfId="3" applyNumberFormat="1" applyFont="1" applyFill="1" applyBorder="1" applyAlignment="1" applyProtection="1">
      <alignment horizontal="center" vertical="center" wrapText="1"/>
      <protection hidden="1"/>
    </xf>
    <xf numFmtId="165" fontId="14" fillId="0" borderId="12" xfId="1" applyNumberFormat="1" applyFont="1" applyFill="1" applyBorder="1" applyAlignment="1" applyProtection="1">
      <alignment horizontal="center" vertical="center"/>
      <protection hidden="1"/>
    </xf>
    <xf numFmtId="164" fontId="1" fillId="0" borderId="12" xfId="0" applyNumberFormat="1" applyFont="1" applyBorder="1" applyAlignment="1" applyProtection="1">
      <alignment horizontal="center" vertical="center"/>
      <protection hidden="1"/>
    </xf>
    <xf numFmtId="164" fontId="1" fillId="0" borderId="4" xfId="0" applyNumberFormat="1" applyFont="1" applyBorder="1" applyAlignment="1" applyProtection="1">
      <alignment horizontal="center" vertical="center"/>
      <protection hidden="1"/>
    </xf>
    <xf numFmtId="8" fontId="1" fillId="0" borderId="7" xfId="0" applyNumberFormat="1" applyFont="1" applyBorder="1" applyAlignment="1" applyProtection="1">
      <alignment horizontal="center" vertical="center"/>
      <protection hidden="1"/>
    </xf>
    <xf numFmtId="2" fontId="1" fillId="0" borderId="7" xfId="0" applyNumberFormat="1" applyFont="1" applyBorder="1" applyAlignment="1" applyProtection="1">
      <alignment horizontal="justify" vertical="center" wrapText="1"/>
      <protection hidden="1"/>
    </xf>
    <xf numFmtId="2" fontId="1" fillId="0" borderId="7" xfId="0" applyNumberFormat="1" applyFont="1" applyBorder="1" applyAlignment="1" applyProtection="1">
      <alignment horizontal="center" vertical="center" wrapText="1"/>
      <protection hidden="1"/>
    </xf>
    <xf numFmtId="4" fontId="1" fillId="0" borderId="7" xfId="3" applyNumberFormat="1" applyFont="1" applyFill="1" applyBorder="1" applyAlignment="1" applyProtection="1">
      <alignment horizontal="center" vertical="center" wrapText="1"/>
      <protection hidden="1"/>
    </xf>
    <xf numFmtId="165" fontId="14" fillId="0" borderId="10" xfId="1" applyNumberFormat="1" applyFont="1" applyFill="1" applyBorder="1" applyAlignment="1" applyProtection="1">
      <alignment horizontal="center" vertical="center"/>
      <protection hidden="1"/>
    </xf>
    <xf numFmtId="164" fontId="1" fillId="0" borderId="10" xfId="0" applyNumberFormat="1" applyFont="1" applyBorder="1" applyAlignment="1" applyProtection="1">
      <alignment horizontal="center" vertical="center"/>
      <protection hidden="1"/>
    </xf>
    <xf numFmtId="164" fontId="1" fillId="0" borderId="5" xfId="0" applyNumberFormat="1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justify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164" fontId="3" fillId="0" borderId="10" xfId="0" applyNumberFormat="1" applyFont="1" applyBorder="1" applyAlignment="1" applyProtection="1">
      <alignment horizontal="center" vertical="center"/>
      <protection hidden="1"/>
    </xf>
    <xf numFmtId="164" fontId="3" fillId="0" borderId="5" xfId="0" applyNumberFormat="1" applyFont="1" applyBorder="1" applyAlignment="1" applyProtection="1">
      <alignment horizontal="center" vertical="center"/>
      <protection hidden="1"/>
    </xf>
    <xf numFmtId="8" fontId="3" fillId="4" borderId="9" xfId="0" applyNumberFormat="1" applyFont="1" applyFill="1" applyBorder="1" applyAlignment="1" applyProtection="1">
      <alignment horizontal="center" vertical="center"/>
      <protection hidden="1"/>
    </xf>
    <xf numFmtId="8" fontId="3" fillId="0" borderId="7" xfId="0" applyNumberFormat="1" applyFont="1" applyBorder="1" applyAlignment="1" applyProtection="1">
      <alignment horizontal="center" vertical="center"/>
      <protection hidden="1"/>
    </xf>
    <xf numFmtId="1" fontId="1" fillId="0" borderId="7" xfId="0" applyNumberFormat="1" applyFont="1" applyBorder="1" applyAlignment="1" applyProtection="1">
      <alignment horizontal="center" vertical="center" wrapText="1"/>
      <protection hidden="1"/>
    </xf>
    <xf numFmtId="0" fontId="2" fillId="4" borderId="7" xfId="0" applyFont="1" applyFill="1" applyBorder="1" applyAlignment="1" applyProtection="1">
      <alignment horizontal="justify" vertical="center" wrapText="1"/>
      <protection hidden="1"/>
    </xf>
    <xf numFmtId="0" fontId="2" fillId="4" borderId="7" xfId="0" applyFont="1" applyFill="1" applyBorder="1" applyAlignment="1" applyProtection="1">
      <alignment horizontal="center" vertical="center" wrapText="1"/>
      <protection hidden="1"/>
    </xf>
    <xf numFmtId="2" fontId="1" fillId="4" borderId="7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7" xfId="0" applyNumberFormat="1" applyFont="1" applyBorder="1" applyAlignment="1" applyProtection="1">
      <alignment horizontal="center" vertical="center"/>
      <protection hidden="1"/>
    </xf>
    <xf numFmtId="4" fontId="3" fillId="3" borderId="7" xfId="0" applyNumberFormat="1" applyFont="1" applyFill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justify" vertical="center" wrapText="1"/>
      <protection hidden="1"/>
    </xf>
    <xf numFmtId="4" fontId="7" fillId="0" borderId="7" xfId="0" applyNumberFormat="1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left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2" fontId="2" fillId="0" borderId="10" xfId="0" applyNumberFormat="1" applyFont="1" applyBorder="1" applyAlignment="1" applyProtection="1">
      <alignment horizontal="center" vertical="center"/>
      <protection hidden="1"/>
    </xf>
    <xf numFmtId="8" fontId="1" fillId="4" borderId="9" xfId="0" applyNumberFormat="1" applyFont="1" applyFill="1" applyBorder="1" applyAlignment="1" applyProtection="1">
      <alignment horizontal="center" vertical="center"/>
      <protection hidden="1"/>
    </xf>
    <xf numFmtId="164" fontId="3" fillId="6" borderId="5" xfId="0" applyNumberFormat="1" applyFont="1" applyFill="1" applyBorder="1" applyAlignment="1" applyProtection="1">
      <alignment horizontal="center" vertical="center"/>
      <protection hidden="1"/>
    </xf>
    <xf numFmtId="164" fontId="3" fillId="6" borderId="7" xfId="0" applyNumberFormat="1" applyFont="1" applyFill="1" applyBorder="1" applyAlignment="1" applyProtection="1">
      <alignment horizontal="center" vertical="center"/>
      <protection hidden="1"/>
    </xf>
    <xf numFmtId="164" fontId="1" fillId="0" borderId="15" xfId="0" applyNumberFormat="1" applyFont="1" applyBorder="1" applyAlignment="1" applyProtection="1">
      <alignment horizontal="center" vertical="center"/>
      <protection hidden="1"/>
    </xf>
    <xf numFmtId="8" fontId="1" fillId="4" borderId="16" xfId="0" applyNumberFormat="1" applyFont="1" applyFill="1" applyBorder="1" applyAlignment="1" applyProtection="1">
      <alignment horizontal="center" vertical="center"/>
      <protection hidden="1"/>
    </xf>
    <xf numFmtId="8" fontId="1" fillId="0" borderId="17" xfId="0" applyNumberFormat="1" applyFont="1" applyBorder="1" applyAlignment="1" applyProtection="1">
      <alignment horizontal="center" vertical="center"/>
      <protection hidden="1"/>
    </xf>
    <xf numFmtId="164" fontId="3" fillId="0" borderId="15" xfId="0" applyNumberFormat="1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justify" vertical="center" wrapText="1"/>
      <protection hidden="1"/>
    </xf>
    <xf numFmtId="2" fontId="1" fillId="0" borderId="7" xfId="0" applyNumberFormat="1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vertical="center"/>
      <protection hidden="1"/>
    </xf>
    <xf numFmtId="0" fontId="3" fillId="7" borderId="7" xfId="0" applyFont="1" applyFill="1" applyBorder="1" applyAlignment="1" applyProtection="1">
      <alignment vertical="center"/>
      <protection hidden="1"/>
    </xf>
    <xf numFmtId="0" fontId="1" fillId="0" borderId="19" xfId="0" applyFont="1" applyBorder="1" applyAlignment="1" applyProtection="1">
      <alignment wrapText="1"/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20" xfId="0" applyFont="1" applyBorder="1" applyAlignment="1" applyProtection="1">
      <alignment wrapText="1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2" fontId="2" fillId="0" borderId="0" xfId="0" applyNumberFormat="1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wrapText="1"/>
      <protection hidden="1"/>
    </xf>
    <xf numFmtId="8" fontId="1" fillId="5" borderId="13" xfId="0" applyNumberFormat="1" applyFont="1" applyFill="1" applyBorder="1" applyAlignment="1" applyProtection="1">
      <alignment horizontal="center" vertical="center"/>
      <protection locked="0" hidden="1"/>
    </xf>
    <xf numFmtId="8" fontId="1" fillId="5" borderId="9" xfId="0" applyNumberFormat="1" applyFont="1" applyFill="1" applyBorder="1" applyAlignment="1" applyProtection="1">
      <alignment horizontal="center" vertical="center"/>
      <protection locked="0" hidden="1"/>
    </xf>
    <xf numFmtId="164" fontId="1" fillId="5" borderId="10" xfId="0" applyNumberFormat="1" applyFont="1" applyFill="1" applyBorder="1" applyAlignment="1" applyProtection="1">
      <alignment horizontal="center" vertical="center"/>
      <protection locked="0" hidden="1"/>
    </xf>
    <xf numFmtId="0" fontId="3" fillId="2" borderId="0" xfId="0" applyFont="1" applyFill="1" applyProtection="1">
      <protection hidden="1"/>
    </xf>
    <xf numFmtId="10" fontId="3" fillId="2" borderId="0" xfId="2" applyNumberFormat="1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/>
      <protection hidden="1"/>
    </xf>
    <xf numFmtId="0" fontId="1" fillId="2" borderId="21" xfId="0" applyFont="1" applyFill="1" applyBorder="1" applyAlignment="1" applyProtection="1">
      <alignment horizontal="left"/>
      <protection hidden="1"/>
    </xf>
    <xf numFmtId="10" fontId="3" fillId="2" borderId="21" xfId="2" applyNumberFormat="1" applyFont="1" applyFill="1" applyBorder="1" applyAlignment="1" applyProtection="1">
      <alignment horizontal="center" vertical="center"/>
      <protection hidden="1"/>
    </xf>
    <xf numFmtId="0" fontId="1" fillId="0" borderId="21" xfId="0" applyFont="1" applyBorder="1" applyProtection="1">
      <protection hidden="1"/>
    </xf>
    <xf numFmtId="0" fontId="1" fillId="0" borderId="22" xfId="0" applyFont="1" applyBorder="1" applyProtection="1"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wrapText="1"/>
      <protection hidden="1"/>
    </xf>
    <xf numFmtId="0" fontId="1" fillId="0" borderId="2" xfId="0" applyFont="1" applyBorder="1" applyAlignment="1" applyProtection="1">
      <alignment wrapText="1"/>
      <protection hidden="1"/>
    </xf>
    <xf numFmtId="0" fontId="1" fillId="0" borderId="23" xfId="0" applyFont="1" applyBorder="1" applyAlignment="1" applyProtection="1">
      <alignment wrapText="1"/>
      <protection hidden="1"/>
    </xf>
    <xf numFmtId="0" fontId="16" fillId="0" borderId="0" xfId="4" applyFont="1" applyAlignment="1">
      <alignment horizontal="center" vertical="center"/>
    </xf>
    <xf numFmtId="0" fontId="18" fillId="0" borderId="0" xfId="4" applyFont="1" applyAlignment="1">
      <alignment vertical="center"/>
    </xf>
    <xf numFmtId="0" fontId="18" fillId="0" borderId="0" xfId="4" applyFont="1" applyAlignment="1">
      <alignment horizontal="center" vertical="center"/>
    </xf>
    <xf numFmtId="0" fontId="18" fillId="0" borderId="0" xfId="4" applyFont="1" applyAlignment="1">
      <alignment horizontal="justify" vertical="center" wrapText="1"/>
    </xf>
    <xf numFmtId="167" fontId="18" fillId="0" borderId="0" xfId="4" applyNumberFormat="1" applyFont="1" applyAlignment="1">
      <alignment horizontal="justify" vertical="center" wrapText="1"/>
    </xf>
    <xf numFmtId="8" fontId="1" fillId="0" borderId="9" xfId="0" applyNumberFormat="1" applyFont="1" applyBorder="1" applyAlignment="1" applyProtection="1">
      <alignment horizontal="center" vertical="center"/>
      <protection hidden="1"/>
    </xf>
    <xf numFmtId="8" fontId="1" fillId="0" borderId="0" xfId="0" applyNumberFormat="1" applyFont="1" applyAlignment="1" applyProtection="1">
      <alignment vertical="center"/>
      <protection locked="0"/>
    </xf>
    <xf numFmtId="0" fontId="18" fillId="0" borderId="0" xfId="4" applyFont="1" applyAlignment="1">
      <alignment horizontal="center" vertical="center"/>
    </xf>
    <xf numFmtId="0" fontId="18" fillId="0" borderId="0" xfId="4" applyFont="1" applyAlignment="1">
      <alignment horizontal="justify" vertical="center" wrapText="1"/>
    </xf>
    <xf numFmtId="0" fontId="16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17" fillId="10" borderId="6" xfId="4" applyFont="1" applyFill="1" applyBorder="1" applyAlignment="1">
      <alignment horizontal="center" vertical="center"/>
    </xf>
    <xf numFmtId="0" fontId="18" fillId="0" borderId="0" xfId="4" applyFont="1" applyAlignment="1">
      <alignment horizontal="left" vertical="center" wrapText="1"/>
    </xf>
    <xf numFmtId="167" fontId="19" fillId="3" borderId="6" xfId="4" applyNumberFormat="1" applyFont="1" applyFill="1" applyBorder="1" applyAlignment="1">
      <alignment horizontal="center" vertical="center" wrapText="1"/>
    </xf>
    <xf numFmtId="167" fontId="19" fillId="0" borderId="2" xfId="4" applyNumberFormat="1" applyFont="1" applyBorder="1" applyAlignment="1">
      <alignment horizontal="center" vertical="center" wrapText="1"/>
    </xf>
    <xf numFmtId="0" fontId="18" fillId="0" borderId="0" xfId="4" applyFont="1" applyAlignment="1">
      <alignment horizontal="center" vertical="center" wrapText="1"/>
    </xf>
    <xf numFmtId="2" fontId="7" fillId="0" borderId="12" xfId="0" applyNumberFormat="1" applyFont="1" applyBorder="1" applyAlignment="1" applyProtection="1">
      <alignment horizontal="center" vertical="center"/>
      <protection hidden="1"/>
    </xf>
    <xf numFmtId="2" fontId="7" fillId="0" borderId="29" xfId="0" applyNumberFormat="1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3" fillId="6" borderId="5" xfId="0" applyFont="1" applyFill="1" applyBorder="1" applyAlignment="1" applyProtection="1">
      <alignment horizontal="left" vertical="center"/>
      <protection hidden="1"/>
    </xf>
    <xf numFmtId="0" fontId="3" fillId="6" borderId="8" xfId="0" applyFont="1" applyFill="1" applyBorder="1" applyAlignment="1" applyProtection="1">
      <alignment horizontal="left" vertical="center"/>
      <protection hidden="1"/>
    </xf>
    <xf numFmtId="0" fontId="3" fillId="6" borderId="28" xfId="0" applyFont="1" applyFill="1" applyBorder="1" applyAlignment="1" applyProtection="1">
      <alignment horizontal="left" vertical="center"/>
      <protection hidden="1"/>
    </xf>
    <xf numFmtId="0" fontId="1" fillId="7" borderId="7" xfId="0" applyFont="1" applyFill="1" applyBorder="1" applyAlignment="1" applyProtection="1">
      <alignment horizontal="center" vertical="center"/>
      <protection hidden="1"/>
    </xf>
    <xf numFmtId="0" fontId="6" fillId="9" borderId="9" xfId="0" applyFont="1" applyFill="1" applyBorder="1" applyAlignment="1" applyProtection="1">
      <alignment horizontal="center" vertical="center"/>
      <protection hidden="1"/>
    </xf>
    <xf numFmtId="0" fontId="6" fillId="9" borderId="18" xfId="0" applyFont="1" applyFill="1" applyBorder="1" applyAlignment="1" applyProtection="1">
      <alignment horizontal="center" vertical="center"/>
      <protection hidden="1"/>
    </xf>
    <xf numFmtId="0" fontId="6" fillId="9" borderId="27" xfId="0" applyFont="1" applyFill="1" applyBorder="1" applyAlignment="1" applyProtection="1">
      <alignment horizontal="center" vertical="center"/>
      <protection hidden="1"/>
    </xf>
    <xf numFmtId="0" fontId="1" fillId="3" borderId="9" xfId="0" applyFont="1" applyFill="1" applyBorder="1" applyAlignment="1" applyProtection="1">
      <alignment horizontal="center"/>
      <protection hidden="1"/>
    </xf>
    <xf numFmtId="0" fontId="1" fillId="3" borderId="18" xfId="0" applyFont="1" applyFill="1" applyBorder="1" applyAlignment="1" applyProtection="1">
      <alignment horizontal="center"/>
      <protection hidden="1"/>
    </xf>
    <xf numFmtId="0" fontId="1" fillId="3" borderId="27" xfId="0" applyFont="1" applyFill="1" applyBorder="1" applyAlignment="1" applyProtection="1">
      <alignment horizontal="center"/>
      <protection hidden="1"/>
    </xf>
    <xf numFmtId="0" fontId="1" fillId="3" borderId="9" xfId="0" applyFont="1" applyFill="1" applyBorder="1" applyAlignment="1" applyProtection="1">
      <alignment horizontal="center" vertical="center"/>
      <protection hidden="1"/>
    </xf>
    <xf numFmtId="0" fontId="1" fillId="3" borderId="18" xfId="0" applyFont="1" applyFill="1" applyBorder="1" applyAlignment="1" applyProtection="1">
      <alignment horizontal="center" vertical="center"/>
      <protection hidden="1"/>
    </xf>
    <xf numFmtId="0" fontId="1" fillId="3" borderId="27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29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 wrapText="1"/>
      <protection hidden="1"/>
    </xf>
    <xf numFmtId="0" fontId="3" fillId="2" borderId="29" xfId="0" applyFont="1" applyFill="1" applyBorder="1" applyAlignment="1" applyProtection="1">
      <alignment horizontal="center" vertical="center" wrapText="1"/>
      <protection hidden="1"/>
    </xf>
    <xf numFmtId="0" fontId="6" fillId="7" borderId="9" xfId="0" applyFont="1" applyFill="1" applyBorder="1" applyAlignment="1" applyProtection="1">
      <alignment horizontal="center" vertical="center"/>
      <protection hidden="1"/>
    </xf>
    <xf numFmtId="0" fontId="6" fillId="7" borderId="18" xfId="0" applyFont="1" applyFill="1" applyBorder="1" applyAlignment="1" applyProtection="1">
      <alignment horizontal="center" vertical="center"/>
      <protection hidden="1"/>
    </xf>
    <xf numFmtId="0" fontId="6" fillId="7" borderId="27" xfId="0" applyFont="1" applyFill="1" applyBorder="1" applyAlignment="1" applyProtection="1">
      <alignment horizontal="center" vertical="center"/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  <xf numFmtId="0" fontId="1" fillId="7" borderId="24" xfId="0" applyFont="1" applyFill="1" applyBorder="1" applyAlignment="1" applyProtection="1">
      <alignment horizontal="center" vertical="center"/>
      <protection hidden="1"/>
    </xf>
    <xf numFmtId="0" fontId="1" fillId="8" borderId="9" xfId="0" applyFont="1" applyFill="1" applyBorder="1" applyAlignment="1" applyProtection="1">
      <alignment horizontal="center" vertical="center"/>
      <protection hidden="1"/>
    </xf>
    <xf numFmtId="0" fontId="1" fillId="8" borderId="18" xfId="0" applyFont="1" applyFill="1" applyBorder="1" applyAlignment="1" applyProtection="1">
      <alignment horizontal="center" vertical="center"/>
      <protection hidden="1"/>
    </xf>
    <xf numFmtId="0" fontId="1" fillId="8" borderId="27" xfId="0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left" vertical="center"/>
      <protection hidden="1"/>
    </xf>
    <xf numFmtId="164" fontId="1" fillId="0" borderId="7" xfId="0" applyNumberFormat="1" applyFont="1" applyBorder="1" applyAlignment="1" applyProtection="1">
      <alignment horizontal="center" vertical="center"/>
      <protection hidden="1"/>
    </xf>
    <xf numFmtId="0" fontId="1" fillId="5" borderId="1" xfId="0" applyFont="1" applyFill="1" applyBorder="1" applyAlignment="1" applyProtection="1">
      <alignment horizontal="center" wrapText="1"/>
      <protection locked="0" hidden="1"/>
    </xf>
    <xf numFmtId="0" fontId="1" fillId="5" borderId="24" xfId="0" applyFont="1" applyFill="1" applyBorder="1" applyAlignment="1" applyProtection="1">
      <alignment horizontal="center" wrapText="1"/>
      <protection locked="0" hidden="1"/>
    </xf>
    <xf numFmtId="0" fontId="3" fillId="7" borderId="7" xfId="0" applyFont="1" applyFill="1" applyBorder="1" applyAlignment="1" applyProtection="1">
      <alignment horizontal="center" vertical="center"/>
      <protection hidden="1"/>
    </xf>
    <xf numFmtId="164" fontId="3" fillId="7" borderId="7" xfId="0" applyNumberFormat="1" applyFont="1" applyFill="1" applyBorder="1" applyAlignment="1" applyProtection="1">
      <alignment horizontal="center" vertical="center"/>
      <protection hidden="1"/>
    </xf>
    <xf numFmtId="0" fontId="3" fillId="5" borderId="15" xfId="0" applyFont="1" applyFill="1" applyBorder="1" applyAlignment="1" applyProtection="1">
      <alignment horizontal="left" vertical="center" wrapText="1"/>
      <protection locked="0" hidden="1"/>
    </xf>
    <xf numFmtId="0" fontId="3" fillId="5" borderId="19" xfId="0" applyFont="1" applyFill="1" applyBorder="1" applyAlignment="1" applyProtection="1">
      <alignment horizontal="left" vertical="center" wrapText="1"/>
      <protection locked="0" hidden="1"/>
    </xf>
    <xf numFmtId="0" fontId="3" fillId="5" borderId="25" xfId="0" applyFont="1" applyFill="1" applyBorder="1" applyAlignment="1" applyProtection="1">
      <alignment horizontal="center" wrapText="1"/>
      <protection locked="0" hidden="1"/>
    </xf>
    <xf numFmtId="0" fontId="3" fillId="5" borderId="26" xfId="0" applyFont="1" applyFill="1" applyBorder="1" applyAlignment="1" applyProtection="1">
      <alignment horizontal="center" wrapText="1"/>
      <protection locked="0" hidden="1"/>
    </xf>
    <xf numFmtId="0" fontId="3" fillId="5" borderId="0" xfId="0" applyFont="1" applyFill="1" applyAlignment="1" applyProtection="1">
      <alignment horizontal="center" wrapText="1"/>
      <protection locked="0" hidden="1"/>
    </xf>
    <xf numFmtId="0" fontId="3" fillId="5" borderId="20" xfId="0" applyFont="1" applyFill="1" applyBorder="1" applyAlignment="1" applyProtection="1">
      <alignment horizontal="center" wrapText="1"/>
      <protection locked="0" hidden="1"/>
    </xf>
    <xf numFmtId="0" fontId="1" fillId="3" borderId="6" xfId="0" applyFont="1" applyFill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8" fontId="1" fillId="0" borderId="5" xfId="0" applyNumberFormat="1" applyFont="1" applyBorder="1" applyAlignment="1" applyProtection="1">
      <alignment horizontal="center" vertical="center"/>
      <protection hidden="1"/>
    </xf>
    <xf numFmtId="8" fontId="1" fillId="0" borderId="28" xfId="0" applyNumberFormat="1" applyFont="1" applyBorder="1" applyAlignment="1" applyProtection="1">
      <alignment horizontal="center" vertical="center"/>
      <protection hidden="1"/>
    </xf>
    <xf numFmtId="0" fontId="3" fillId="7" borderId="5" xfId="0" applyFont="1" applyFill="1" applyBorder="1" applyAlignment="1" applyProtection="1">
      <alignment horizontal="center" vertical="center"/>
      <protection hidden="1"/>
    </xf>
    <xf numFmtId="0" fontId="3" fillId="7" borderId="8" xfId="0" applyFont="1" applyFill="1" applyBorder="1" applyAlignment="1" applyProtection="1">
      <alignment horizontal="center" vertical="center"/>
      <protection hidden="1"/>
    </xf>
    <xf numFmtId="0" fontId="3" fillId="7" borderId="28" xfId="0" applyFont="1" applyFill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4" fontId="1" fillId="0" borderId="6" xfId="0" applyNumberFormat="1" applyFont="1" applyBorder="1" applyAlignment="1" applyProtection="1">
      <alignment horizontal="center" vertical="center" wrapText="1"/>
      <protection hidden="1"/>
    </xf>
    <xf numFmtId="164" fontId="1" fillId="0" borderId="6" xfId="0" applyNumberFormat="1" applyFont="1" applyBorder="1" applyAlignment="1" applyProtection="1">
      <alignment horizontal="center" vertical="center"/>
      <protection hidden="1"/>
    </xf>
    <xf numFmtId="10" fontId="1" fillId="0" borderId="5" xfId="0" applyNumberFormat="1" applyFont="1" applyBorder="1" applyAlignment="1" applyProtection="1">
      <alignment horizontal="center" vertical="center"/>
      <protection hidden="1"/>
    </xf>
    <xf numFmtId="10" fontId="1" fillId="0" borderId="28" xfId="0" applyNumberFormat="1" applyFont="1" applyBorder="1" applyAlignment="1" applyProtection="1">
      <alignment horizontal="center" vertical="center"/>
      <protection hidden="1"/>
    </xf>
    <xf numFmtId="7" fontId="3" fillId="0" borderId="5" xfId="0" applyNumberFormat="1" applyFont="1" applyBorder="1" applyAlignment="1" applyProtection="1">
      <alignment horizontal="center" vertical="center"/>
      <protection hidden="1"/>
    </xf>
    <xf numFmtId="7" fontId="3" fillId="0" borderId="28" xfId="0" applyNumberFormat="1" applyFont="1" applyBorder="1" applyAlignment="1" applyProtection="1">
      <alignment horizontal="center" vertical="center"/>
      <protection hidden="1"/>
    </xf>
    <xf numFmtId="164" fontId="3" fillId="0" borderId="6" xfId="0" applyNumberFormat="1" applyFont="1" applyBorder="1" applyAlignment="1" applyProtection="1">
      <alignment horizontal="center" vertical="center"/>
      <protection hidden="1"/>
    </xf>
    <xf numFmtId="7" fontId="3" fillId="3" borderId="5" xfId="0" applyNumberFormat="1" applyFont="1" applyFill="1" applyBorder="1" applyAlignment="1" applyProtection="1">
      <alignment horizontal="center" vertical="center"/>
      <protection hidden="1"/>
    </xf>
    <xf numFmtId="7" fontId="3" fillId="3" borderId="28" xfId="0" applyNumberFormat="1" applyFont="1" applyFill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left" vertical="center" wrapText="1"/>
      <protection hidden="1"/>
    </xf>
    <xf numFmtId="0" fontId="1" fillId="0" borderId="19" xfId="0" applyFont="1" applyBorder="1" applyAlignment="1" applyProtection="1">
      <alignment horizontal="left" vertical="center" wrapText="1"/>
      <protection hidden="1"/>
    </xf>
    <xf numFmtId="0" fontId="3" fillId="5" borderId="19" xfId="0" applyFont="1" applyFill="1" applyBorder="1" applyAlignment="1" applyProtection="1">
      <alignment horizontal="center" vertical="center" wrapText="1"/>
      <protection locked="0" hidden="1"/>
    </xf>
    <xf numFmtId="0" fontId="3" fillId="5" borderId="14" xfId="0" applyFont="1" applyFill="1" applyBorder="1" applyAlignment="1" applyProtection="1">
      <alignment horizontal="center" vertical="center" wrapText="1"/>
      <protection locked="0" hidden="1"/>
    </xf>
    <xf numFmtId="0" fontId="3" fillId="5" borderId="0" xfId="0" applyFont="1" applyFill="1" applyAlignment="1" applyProtection="1">
      <alignment horizontal="center" vertical="center" wrapText="1"/>
      <protection locked="0" hidden="1"/>
    </xf>
    <xf numFmtId="0" fontId="3" fillId="5" borderId="3" xfId="0" applyFont="1" applyFill="1" applyBorder="1" applyAlignment="1" applyProtection="1">
      <alignment horizontal="center" vertical="center" wrapText="1"/>
      <protection locked="0" hidden="1"/>
    </xf>
    <xf numFmtId="0" fontId="1" fillId="5" borderId="30" xfId="0" applyFont="1" applyFill="1" applyBorder="1" applyAlignment="1" applyProtection="1">
      <alignment horizontal="center" wrapText="1"/>
      <protection locked="0" hidden="1"/>
    </xf>
    <xf numFmtId="10" fontId="3" fillId="3" borderId="5" xfId="2" applyNumberFormat="1" applyFont="1" applyFill="1" applyBorder="1" applyAlignment="1" applyProtection="1">
      <alignment horizontal="center" vertical="center"/>
      <protection hidden="1"/>
    </xf>
    <xf numFmtId="10" fontId="3" fillId="3" borderId="28" xfId="2" applyNumberFormat="1" applyFont="1" applyFill="1" applyBorder="1" applyAlignment="1" applyProtection="1">
      <alignment horizontal="center" vertical="center"/>
      <protection hidden="1"/>
    </xf>
    <xf numFmtId="10" fontId="3" fillId="0" borderId="5" xfId="2" applyNumberFormat="1" applyFont="1" applyBorder="1" applyAlignment="1" applyProtection="1">
      <alignment horizontal="center" vertical="center"/>
      <protection hidden="1"/>
    </xf>
    <xf numFmtId="10" fontId="3" fillId="0" borderId="28" xfId="2" applyNumberFormat="1" applyFont="1" applyBorder="1" applyAlignment="1" applyProtection="1">
      <alignment horizontal="center" vertical="center"/>
      <protection hidden="1"/>
    </xf>
    <xf numFmtId="10" fontId="3" fillId="0" borderId="6" xfId="0" applyNumberFormat="1" applyFont="1" applyBorder="1" applyAlignment="1" applyProtection="1">
      <alignment horizontal="center" vertical="center"/>
      <protection hidden="1"/>
    </xf>
  </cellXfs>
  <cellStyles count="5">
    <cellStyle name="Moeda" xfId="1" builtinId="4"/>
    <cellStyle name="Normal" xfId="0" builtinId="0"/>
    <cellStyle name="Normal 2" xfId="4"/>
    <cellStyle name="Porcentagem 2" xfId="2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ileserver\pmvni\Planejamento\Informa&#231;&#227;o%20de%20Custos\Centro%20Esportivo\PROPOSTA%20OR&#199;AMENT&#193;RIA%20-%20Centro%20Esportiv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ileserver\pmvni\Planejamento\Informa&#231;&#227;o%20de%20Custos\Arquivos%20base\PROPOSTA%20OR&#199;AMENT&#193;RIA%20-%20BLOQUEA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RIAL DE CALCULO"/>
      <sheetName val="PROPOSTA"/>
      <sheetName val="CRONOGRAMA FF EMPRESA"/>
      <sheetName val="CRONOGRAMA FF EMPRESA ORIGINAL"/>
      <sheetName val="CRONOGRAMA FF PMVNI"/>
      <sheetName val="COMP.01_ADMINISTRAÇÃO LOCAL"/>
      <sheetName val="COMP.2_CONCRETAGEM DE VIGAS"/>
      <sheetName val="COMP.3_POÇO DE VISITA"/>
    </sheetNames>
    <sheetDataSet>
      <sheetData sheetId="0"/>
      <sheetData sheetId="1">
        <row r="3">
          <cell r="B3" t="str">
            <v>OBRA: CENTRO ESPORTIVO DA VIÇOSINHA</v>
          </cell>
        </row>
        <row r="4">
          <cell r="E4" t="str">
            <v>CONSTRUÇÃO DE CAMPO DE FUTEBOL COM GRAMA SINTÉTICA, MEIA QUADRA DE BASQUETE, PARQUINHO INFANTIL E PISTA DE CAMINHADA (TIPO B)</v>
          </cell>
        </row>
        <row r="5">
          <cell r="B5" t="str">
            <v>LOCAL: COMUNIDADE DA VIÇOSINHA</v>
          </cell>
        </row>
        <row r="16">
          <cell r="B16" t="str">
            <v>1.0</v>
          </cell>
          <cell r="E16" t="str">
            <v>FUNDAÇÃO</v>
          </cell>
        </row>
        <row r="17">
          <cell r="B17" t="str">
            <v>1.1</v>
          </cell>
          <cell r="E17" t="str">
            <v>ESCAVAÇÃO MANUAL DE VALA PARA FUNDAÇÃO</v>
          </cell>
        </row>
        <row r="18">
          <cell r="B18" t="str">
            <v>1.2</v>
          </cell>
          <cell r="E18" t="str">
            <v>COMPACTAÇÃO MECÂNICA DE SOLO, COM COMPACTADOR DE SOLOS TIPO PLACA VIBRATÓRIA</v>
          </cell>
        </row>
        <row r="19">
          <cell r="B19" t="str">
            <v>1.3</v>
          </cell>
          <cell r="E19" t="str">
            <v>LASTRO DE CONCRETO MAGRO, APLICADO EM PISOS, LAJES SOBRE SOLO OU RADIERS, ESPESSURA DE 5 CM. AF_07/2016</v>
          </cell>
        </row>
        <row r="20">
          <cell r="B20" t="str">
            <v>1.4</v>
          </cell>
          <cell r="E20" t="str">
            <v>ALVENARIA DE BLOCOS DE CONCRETO ESTRUTURAL 14X19X39 CM (ESPESSURA 14 CM)</v>
          </cell>
        </row>
        <row r="22">
          <cell r="B22" t="str">
            <v>2.0</v>
          </cell>
          <cell r="E22" t="str">
            <v>PAVIMENTAÇÃO</v>
          </cell>
        </row>
        <row r="23">
          <cell r="B23" t="str">
            <v>2.1</v>
          </cell>
          <cell r="E23" t="str">
            <v xml:space="preserve">REGULARIZAÇÃO E COMPACTAÇÃO DE SUBLEITO DE SOLO  PREDOMINANTEMENTE ARGILOSO. </v>
          </cell>
        </row>
        <row r="24">
          <cell r="B24" t="str">
            <v>2.2</v>
          </cell>
          <cell r="E24" t="str">
            <v>LASTRO COM MATERIAL GRANULAR (PEDRA BRITADA N.1), ESPESSURA DE 10 CM</v>
          </cell>
        </row>
        <row r="25">
          <cell r="B25" t="str">
            <v>2.3</v>
          </cell>
          <cell r="E25" t="str">
            <v>LASTRO COM MATERIAL GRANULAR (PEDRA BRITADA N.0), ESPESSURA DE 5 CM</v>
          </cell>
        </row>
        <row r="26">
          <cell r="B26" t="str">
            <v>2.4</v>
          </cell>
          <cell r="E26" t="str">
            <v>LASTRO COM MATERIAL GRANULAR (PÓ DE BRITA), ESPESSURA DE 5 CM</v>
          </cell>
        </row>
        <row r="27">
          <cell r="B27" t="str">
            <v>2.5</v>
          </cell>
          <cell r="E27" t="str">
            <v xml:space="preserve">GRAMA SINTÉTICA COM FIOS DE 50MM DE ALTURA, AREIA ESPECIAL, GRANULOS DE BORRACHA (FORNECIMENTO E INSTALAÇÃO) </v>
          </cell>
        </row>
        <row r="28">
          <cell r="B28" t="str">
            <v>2.6</v>
          </cell>
          <cell r="E28" t="str">
            <v>LASTRO DE CONCRETO MAGRO, APLICADO EM PISOS, LAJES SOBRE SOLO OU RADIERS, ESPESSURA DE 5 CM. AF_07/2016</v>
          </cell>
        </row>
        <row r="29">
          <cell r="B29" t="str">
            <v>2.7</v>
          </cell>
          <cell r="E29" t="str">
            <v>EXECUÇÃO DE PASSEIO (CALÇADA) OU PISO DE CONCRETO COM CONCRETO MOLDADO IN LOCO, FEITO EM OBRA, ACABAMENTO CONVENCIONAL, ESPESSURA 6 CM</v>
          </cell>
        </row>
        <row r="31">
          <cell r="B31" t="str">
            <v>3.0</v>
          </cell>
          <cell r="E31" t="str">
            <v>ESTRUTURA</v>
          </cell>
        </row>
        <row r="32">
          <cell r="B32" t="str">
            <v>3.1</v>
          </cell>
          <cell r="E32" t="str">
            <v>FABRICAÇÃO, MONTAGEM E DESMONTAGEM DE FÔRMA PARA VIGA BALDRAME, EM CHAPA DE MADEIRA COMPENSADA RESINADA, E=17 MM, 4 UTILIZAÇÕES. AF_06/2017</v>
          </cell>
        </row>
        <row r="33">
          <cell r="B33" t="str">
            <v>3.2</v>
          </cell>
          <cell r="E33" t="str">
            <v>ARMAÇÃO DE BLOCO, VIGA BALDRAME E SAPATA UTILIZANDO AÇO CA-60 DE 5 MM - MONTAGEM. AF_06/2017</v>
          </cell>
        </row>
        <row r="34">
          <cell r="B34" t="str">
            <v>3.3</v>
          </cell>
          <cell r="E34" t="str">
            <v>ARMAÇÃO DE BLOCO, VIGA BALDRAME OU SAPATA UTILIZANDO AÇO CA-50 DE 8 MM - MONTAGEM. AF_06/2017</v>
          </cell>
        </row>
        <row r="35">
          <cell r="B35" t="str">
            <v>3.4</v>
          </cell>
          <cell r="E35" t="str">
            <v>CONCRETAGEM DE BLOCOS DE COROAMENTO E VIGAS BALDRAME, FCK 30 MPA, COM USO DE JERICA  LANÇAMENTO, ADENSAMENTO E ACABAMENTO. AF_06/2017</v>
          </cell>
        </row>
        <row r="36">
          <cell r="B36" t="str">
            <v>3.5</v>
          </cell>
          <cell r="E36" t="str">
            <v>ESTACA BROCA DE CONCRETO (0,20 X 0,20) M, ESCAVAÇÃO MANUAL, COM TUBO DE AÇO GALVANIZADO DE 2"</v>
          </cell>
        </row>
        <row r="38">
          <cell r="B38" t="str">
            <v>4.0</v>
          </cell>
          <cell r="E38" t="str">
            <v>ALVENARIA E FECHAMENTO</v>
          </cell>
        </row>
        <row r="39">
          <cell r="B39" t="str">
            <v>4.1</v>
          </cell>
          <cell r="E39" t="str">
            <v>ALVENARIA DE VEDAÇÃO DE BLOCOS CERÂMICOS FURADOS NA VERTICAL DE 14X19X39 CM (ESPESSURA 14 CM) E ARGAMASSA DE ASSENTAMENTO COM PREPARO MANUAL. AF_12/2021</v>
          </cell>
        </row>
        <row r="40">
          <cell r="B40" t="str">
            <v>4.2</v>
          </cell>
          <cell r="E40" t="str">
            <v>ALAMBRADO PARA QUADRA POLIESPORTIVA, ESTRUTURADO POR TUBOS DE ACO GALVANIZADO, (MONTANTES COM DIAMETRO 2", TRAVESSAS E ESCORAS COM DIÂMETRO 1 ¼), COM TELA DE ARAME GALVANIZADO, FIO 12 BWG E MALHA QUADRADA 5X5CM (EXCETO MURETA). AF_03/2021</v>
          </cell>
        </row>
        <row r="42">
          <cell r="B42" t="str">
            <v>5.0</v>
          </cell>
          <cell r="E42" t="str">
            <v>REVESTIMENTO</v>
          </cell>
        </row>
        <row r="43">
          <cell r="B43" t="str">
            <v>5.1</v>
          </cell>
          <cell r="E43" t="str">
            <v>CHAPISCO APLICADO EM ALVENARIAS E ESTRUTURAS DE CONCRETO, COM COLHER DE PEDREIRO.  ARGAMASSA TRAÇO 1:3 COM PREPARO MANUAL.</v>
          </cell>
        </row>
        <row r="44">
          <cell r="B44" t="str">
            <v>5.2</v>
          </cell>
          <cell r="E44" t="str">
            <v>MASSA ÚNICA, PARA RECEBIMENTO DE PINTURA, EM ARGAMASSA TRAÇO 1:2:8, PREPARO MANUAL, APLICADA MANUALMENTE EM FACES INTERNAS DE PAREDES, ESPESSURA DE 20MM, COM EXECUÇÃO DE TALISCAS. AF_06/2014</v>
          </cell>
        </row>
        <row r="46">
          <cell r="B46" t="str">
            <v>6.0</v>
          </cell>
          <cell r="E46" t="str">
            <v>PINTURA</v>
          </cell>
        </row>
        <row r="47">
          <cell r="B47" t="str">
            <v>6.1</v>
          </cell>
          <cell r="E47" t="str">
            <v>PINTURA LÁTEX ACRÍLICA STANDARD, APLICAÇÃO MANUAL EM PAREDES, DUAS DEMÃOS. AF_04/2023</v>
          </cell>
        </row>
        <row r="48">
          <cell r="B48" t="str">
            <v>6.2</v>
          </cell>
          <cell r="E48" t="str">
            <v>PINTURA COM TINTA ALQUÍDICA DE ACABAMENTO (ESMALTE SINTÉTICO FOSCO) APLICADA A ROLO OU PINCEL SOBRE SUPERFÍCIES METÁLICAS (EXCETO PERFIL) EXECUTADO EM OBRA (POR DEMÃO). AF_01/2020</v>
          </cell>
        </row>
        <row r="50">
          <cell r="B50" t="str">
            <v>7.0</v>
          </cell>
          <cell r="E50" t="str">
            <v>EQUIPAMENTOS</v>
          </cell>
        </row>
        <row r="51">
          <cell r="B51" t="str">
            <v>7.1</v>
          </cell>
          <cell r="E51" t="str">
            <v xml:space="preserve">CONJUNTO PARA FUTEBOL DE CAMPO COM PAR DE TRAVES OFICIAIS DE 5,00 X 2,20 M EM TUBO DE ACO GALVANIZADO 4", PINTURA EM PRIMER COM TINTA ESMALTE SINTETICO E REDES DE POLIETILENO FIO 3 MM - FORNECIMENTO E INSTALAÇÃO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57">
          <cell r="B57" t="e">
            <v>#N/A</v>
          </cell>
        </row>
        <row r="59">
          <cell r="B59" t="str">
            <v>ITEM</v>
          </cell>
          <cell r="C59" t="str">
            <v>FONTE</v>
          </cell>
          <cell r="D59" t="str">
            <v>CÓDIGO</v>
          </cell>
          <cell r="E59" t="str">
            <v>DESCRIÇÃO ORÇAMENTÁRIA</v>
          </cell>
        </row>
        <row r="61">
          <cell r="B61" t="str">
            <v>8.0</v>
          </cell>
          <cell r="E61" t="str">
            <v>FUNDAÇÃO</v>
          </cell>
        </row>
        <row r="62">
          <cell r="B62" t="str">
            <v>8.1</v>
          </cell>
          <cell r="E62" t="str">
            <v>ESCAVAÇÃO MANUAL DE VALA PARA FUNDAÇÃO</v>
          </cell>
        </row>
        <row r="63">
          <cell r="B63" t="str">
            <v>8.2</v>
          </cell>
          <cell r="E63" t="str">
            <v>COMPACTAÇÃO MECÂNICA DE SOLO, COM COMPACTADOR DE SOLOS TIPO PLACA VIBRATÓRIA</v>
          </cell>
        </row>
        <row r="64">
          <cell r="B64" t="str">
            <v>8.3</v>
          </cell>
          <cell r="E64" t="str">
            <v>LASTRO DE CONCRETO MAGRO, APLICADO EM PISOS, LAJES SOBRE SOLO OU RADIERS, ESPESSURA DE 5 CM. AF_07/2016</v>
          </cell>
        </row>
        <row r="65">
          <cell r="B65" t="str">
            <v>8.4</v>
          </cell>
          <cell r="E65" t="str">
            <v>ALVENARIA DE BLOCOS DE CONCRETO ESTRUTURAL 14X19X39 CM (ESPESSURA 14 CM)</v>
          </cell>
        </row>
        <row r="67">
          <cell r="B67" t="str">
            <v>9.0</v>
          </cell>
          <cell r="E67" t="str">
            <v>PAVIMENTAÇÃO</v>
          </cell>
        </row>
        <row r="68">
          <cell r="B68" t="str">
            <v>9.1</v>
          </cell>
          <cell r="E68" t="str">
            <v>REGULARIZAÇÃO E COMPACTAÇÃO DE SUBLEITO DE SOLO  PREDOMINANTEMENTE ARGILOSO. AF_11/2019</v>
          </cell>
        </row>
        <row r="69">
          <cell r="B69" t="str">
            <v>9.2</v>
          </cell>
          <cell r="E69" t="str">
            <v>LASTRO DE CONCRETO MAGRO, APLICADO EM PISOS, LAJES SOBRE SOLO OU RADIERS, ESPESSURA DE 5 CM. AF_07/2016</v>
          </cell>
        </row>
        <row r="70">
          <cell r="B70" t="str">
            <v>9.3</v>
          </cell>
          <cell r="E70" t="str">
            <v>EXECUÇÃO DE PASSEIO (CALÇADA) OU PISO DE CONCRETO COM CONCRETO MOLDADO IN LOCO, FEITO EM OBRA, ACABAMENTO CONVENCIONAL, ESPESSURA 8 CM, ARMADO. AF_08/2022</v>
          </cell>
        </row>
        <row r="71">
          <cell r="B71" t="str">
            <v>9.4</v>
          </cell>
          <cell r="E71" t="str">
            <v>PISO MODULAR EM POLIPROPILENO DE ALTO IMPACTO E RESISTÊNCIA, PROTEÇÃO UV, INCLUINDO DEMARCAÇÃO DA QUADRA COM TINTA À BASE DE PU - FORNECIMENTO E INSTALAÇÃO</v>
          </cell>
        </row>
        <row r="73">
          <cell r="B73" t="str">
            <v>10.0</v>
          </cell>
          <cell r="E73" t="str">
            <v>EQUIPAMENTOS</v>
          </cell>
        </row>
        <row r="74">
          <cell r="B74" t="str">
            <v>10.1</v>
          </cell>
          <cell r="E74" t="str">
            <v>TABELA DE BASQUETE DE COMPENSADO NAVAL, COM AROS, REDES E ESTRUTURA EM TUBO GALVANIZADO - FORNECIMENTO E INSTALAÇÃO.</v>
          </cell>
        </row>
        <row r="80">
          <cell r="B80" t="str">
            <v>PARQUINHO INFANTIL</v>
          </cell>
        </row>
        <row r="82">
          <cell r="B82" t="str">
            <v>ITEM</v>
          </cell>
          <cell r="C82" t="str">
            <v>FONTE</v>
          </cell>
          <cell r="D82" t="str">
            <v>CÓDIGO</v>
          </cell>
          <cell r="E82" t="str">
            <v>DESCRIÇÃO ORÇAMENTÁRIA</v>
          </cell>
        </row>
        <row r="84">
          <cell r="B84" t="str">
            <v>11.0</v>
          </cell>
          <cell r="E84" t="str">
            <v>FUNDAÇÃO</v>
          </cell>
        </row>
        <row r="85">
          <cell r="B85" t="str">
            <v>11.1</v>
          </cell>
          <cell r="E85" t="str">
            <v>ESCAVAÇÃO MANUAL DE VALA PARA FUNDAÇÃO</v>
          </cell>
        </row>
        <row r="86">
          <cell r="B86" t="str">
            <v>11.2</v>
          </cell>
          <cell r="E86" t="str">
            <v>COMPACTAÇÃO MECÂNICA DE SOLO, COM COMPACTADOR DE SOLOS TIPO PLACA VIBRATÓRIA</v>
          </cell>
        </row>
        <row r="87">
          <cell r="B87" t="str">
            <v>11.3</v>
          </cell>
          <cell r="E87" t="str">
            <v>LASTRO DE CONCRETO MAGRO, APLICADO EM PISOS, LAJES SOBRE SOLO OU RADIERS, ESPESSURA DE 5 CM. AF_07/2016</v>
          </cell>
        </row>
        <row r="88">
          <cell r="B88" t="str">
            <v>11.4</v>
          </cell>
          <cell r="E88" t="str">
            <v>ALVENARIA DE BLOCOS DE CONCRETO ESTRUTURAL 14X19X39 CM (ESPESSURA 14 CM)</v>
          </cell>
        </row>
        <row r="90">
          <cell r="B90" t="str">
            <v>12.0</v>
          </cell>
          <cell r="E90" t="str">
            <v>PAVIMENTAÇÃO</v>
          </cell>
        </row>
        <row r="91">
          <cell r="B91" t="str">
            <v>12.1</v>
          </cell>
          <cell r="E91" t="str">
            <v>REGULARIZAÇÃO E COMPACTAÇÃO DE SUBLEITO DE SOLO  PREDOMINANTEMENTE ARGILOSO. AF_11/2019</v>
          </cell>
        </row>
        <row r="92">
          <cell r="B92" t="str">
            <v>12.2</v>
          </cell>
          <cell r="E92" t="str">
            <v>LASTRO DE CONCRETO MAGRO, APLICADO EM PISOS, LAJES SOBRE SOLO OU RADIERS, ESPESSURA DE 5 CM. AF_07/2016</v>
          </cell>
        </row>
        <row r="93">
          <cell r="B93" t="str">
            <v>12.3</v>
          </cell>
          <cell r="E93" t="str">
            <v>CONTRAPISO EM ARGAMASSA TRAÇO 1:4 (CIMENTO E AREIA), PREPARO MANUAL, APLICADO EM ÁREAS SECAS SOBRE LAJE, NÃO ADERIDO, ACABAMENTO NÃO REFORÇADO, ESPESSURA 6CM. AF_07/2021</v>
          </cell>
        </row>
        <row r="94">
          <cell r="B94" t="str">
            <v>12.4</v>
          </cell>
          <cell r="E94" t="str">
            <v>PISO DE BORRACHA ESPORTIVO, ESPESSURA 15MM, ASSENTADO COM ARGAMASSA. AF_09/2020</v>
          </cell>
        </row>
        <row r="96">
          <cell r="B96" t="str">
            <v>13.0</v>
          </cell>
          <cell r="E96" t="str">
            <v>EQUIPAMENTOS</v>
          </cell>
        </row>
        <row r="97">
          <cell r="B97" t="str">
            <v>13.1</v>
          </cell>
          <cell r="E97" t="str">
            <v>PAREDE ESCALADA (2,00 X 1,80)M EM MADEIRA PINUS OU EUCALIPTO TRATADO, COM ACABAMENTO EM VERNIZ FOSCO, REF. MODELO M111 DA LÚDICO PARQUES OU SIMILAR - FORNECIMENTO E MONTAGEM</v>
          </cell>
        </row>
        <row r="98">
          <cell r="B98" t="str">
            <v>13.2</v>
          </cell>
          <cell r="E98" t="str">
            <v>GANGORRA DUPLA (3,00 X 2,50)M EM MADEIRA PINUS OU EUCALIPTO TRATADO, COM ACABAMENTO EM VERNIZ FOSCO, REF. MODELO M128 DA LÚDICO PARQUES OU SIMILAR - FORNECIMENTO E MONTAGEM</v>
          </cell>
        </row>
        <row r="99">
          <cell r="B99" t="str">
            <v>13.3</v>
          </cell>
          <cell r="E99" t="str">
            <v>BRINQUEDO (4,00 X 5,00)M EM MADEIRA PINUS OU EUCALIPTO TRATADO, COM ACABAMENTO EM VERNIZ FOSCO, CONTENDO 1 CASINHA, 1 RAMPA DE ACESSO, 1 ESCORREGADOR, 1 ESCADA DE MARINHEIRO E 2 BALANÇOS, REF. MODELO M220 DA LÚDICO PARQUES OU SIMILAR</v>
          </cell>
        </row>
        <row r="100">
          <cell r="B100" t="str">
            <v>13.4</v>
          </cell>
          <cell r="E100" t="str">
            <v>BALANÇO DUPLO (1,50 X 3,00)M EM MADEIRA  PINUS OU EUCALIPTO TRATADO, COM ACABAMENTO EM VERNIZ FOSCO, REF. MODELO M117 DA LÚDICO PARQUES OU SIMILAR - FORNECIMENTO E MONTAGEM</v>
          </cell>
        </row>
        <row r="101">
          <cell r="B101" t="str">
            <v>13.5</v>
          </cell>
          <cell r="E101" t="str">
            <v>BANCO FIXO (0,70 X 1,50)M EM MADEIRA PINUS OU EUCALIPTO TRATADO, COM ACABAMENTO EM VERNIZ FOSCO, REF. MODELO M312 DA LÚDICO PARQUES OU SIMILAR - FORNECIMENTO E MONTAGEM</v>
          </cell>
        </row>
        <row r="107">
          <cell r="B107" t="str">
            <v>PISTA DE CAMINHADA</v>
          </cell>
        </row>
        <row r="109">
          <cell r="B109" t="str">
            <v>ITEM</v>
          </cell>
          <cell r="C109" t="str">
            <v>FONTE</v>
          </cell>
          <cell r="D109" t="str">
            <v>CÓDIGO</v>
          </cell>
          <cell r="E109" t="str">
            <v>DESCRIÇÃO ORÇAMENTÁRIA</v>
          </cell>
        </row>
        <row r="111">
          <cell r="B111" t="str">
            <v>14.0</v>
          </cell>
          <cell r="E111" t="str">
            <v>PAVIMENTAÇÃO</v>
          </cell>
        </row>
        <row r="112">
          <cell r="B112" t="str">
            <v>14.1</v>
          </cell>
          <cell r="E112" t="str">
            <v>REGULARIZAÇÃO E COMPACTAÇÃO DE SUBLEITO DE SOLO  PREDOMINANTEMENTE ARGILOSO. AF_11/2019</v>
          </cell>
        </row>
        <row r="113">
          <cell r="B113" t="str">
            <v>14.2</v>
          </cell>
          <cell r="E113" t="str">
            <v>LASTRO DE CONCRETO MAGRO, APLICADO EM PISOS, LAJES SOBRE SOLO OU RADIERS, ESPESSURA DE 5 CM. AF_07/2016</v>
          </cell>
        </row>
        <row r="114">
          <cell r="B114" t="str">
            <v>14.3</v>
          </cell>
          <cell r="E114" t="str">
            <v>EXECUÇÃO DE PASSEIO (CALÇADA) OU PISO DE CONCRETO COM CONCRETO MOLDADO IN LOCO, FEITO EM OBRA, ACABAMENTO CONVENCIONAL, ESPESSURA 8 CM, ARMADO. AF_08/2022</v>
          </cell>
        </row>
        <row r="116">
          <cell r="B116" t="str">
            <v>15.0</v>
          </cell>
          <cell r="E116" t="str">
            <v>PINTURA</v>
          </cell>
        </row>
        <row r="117">
          <cell r="B117" t="str">
            <v>15.1</v>
          </cell>
          <cell r="E117" t="str">
            <v>PINTURA DE PISO COM TINTA EPÓXI, APLICAÇÃO MANUAL, 2 DEMÃOS, INCLUSO PRIMER EPÓXI. AF_05/2021</v>
          </cell>
        </row>
        <row r="118">
          <cell r="B118" t="str">
            <v>15.2</v>
          </cell>
          <cell r="E118" t="str">
            <v>PINTURA DE DEMARCAÇÃO DE FAIXA COM TINTA EPÓXI, E = 5 CM, APLICAÇÃO MANUAL</v>
          </cell>
        </row>
        <row r="124">
          <cell r="B124" t="str">
            <v>IMPLANTAÇÃO</v>
          </cell>
        </row>
        <row r="126">
          <cell r="B126" t="str">
            <v>ITEM</v>
          </cell>
          <cell r="C126" t="str">
            <v>FONTE</v>
          </cell>
          <cell r="D126" t="str">
            <v>CÓDIGO</v>
          </cell>
          <cell r="E126" t="str">
            <v>DESCRIÇÃO ORÇAMENTÁRIA</v>
          </cell>
        </row>
        <row r="128">
          <cell r="B128" t="str">
            <v>16.0</v>
          </cell>
          <cell r="E128" t="str">
            <v>PAVIMENTAÇÃO</v>
          </cell>
        </row>
        <row r="129">
          <cell r="B129" t="str">
            <v>16.1</v>
          </cell>
          <cell r="E129" t="str">
            <v>REGULARIZAÇÃO E COMPACTAÇÃO DE SUBLEITO DE SOLO  PREDOMINANTEMENTE ARGILOSO. AF_11/2019</v>
          </cell>
        </row>
        <row r="130">
          <cell r="B130" t="str">
            <v>16.2</v>
          </cell>
          <cell r="E130" t="str">
            <v>LASTRO DE CONCRETO MAGRO, APLICADO EM PISOS, LAJES SOBRE SOLO OU RADIERS, ESPESSURA DE 5 CM. AF_07/2016</v>
          </cell>
        </row>
        <row r="131">
          <cell r="B131" t="str">
            <v>16.3</v>
          </cell>
          <cell r="E131" t="str">
            <v>EXECUÇÃO DE PASSEIO (CALÇADA) OU PISO DE CONCRETO COM CONCRETO MOLDADO IN LOCO, FEITO EM OBRA, ACABAMENTO CONVENCIONAL, ESPESSURA 6 CM</v>
          </cell>
        </row>
        <row r="132">
          <cell r="B132" t="str">
            <v>16.4</v>
          </cell>
          <cell r="E132" t="str">
            <v>ASSENTAMENTO DE GUIA (MEIO-FIO) EM TRECHO RETO, CONFECCIONADA EM CONCRETO PRÉ-FABRICADO, DIMENSÕES 39X6,5X6,5X19 CM (COMPRIMENTO X BASE INFERIOR X BASE SUPERIOR X ALTURA), PARA DELIMITAÇÃO DE JARDINS, PRAÇAS OU PASSEIOS. AF_05/2016</v>
          </cell>
        </row>
        <row r="133">
          <cell r="B133" t="str">
            <v>16.5</v>
          </cell>
          <cell r="E133" t="str">
            <v>PLANTIO DE GRAMA ESMERALDA OU SÃO CARLOS OU CURITIBANA, EM PLACAS. AF_05/2022</v>
          </cell>
        </row>
        <row r="135">
          <cell r="B135" t="str">
            <v>17.0</v>
          </cell>
          <cell r="E135" t="str">
            <v>URBANIZAÇÃO E PAISAGISMO</v>
          </cell>
        </row>
        <row r="136">
          <cell r="B136" t="str">
            <v>17.1</v>
          </cell>
          <cell r="E136" t="str">
            <v>BANCO FIXO (0,70 X 1,50)M EM MADEIRA PINUS OU EUCALIPTO TRATADO, COM ACABAMENTO EM VERNIZ FOSCO, REF. MODELO M312 DA LÚDICO PARQUES OU SIMILAR - FORNECIMENTO E MONTAGEM</v>
          </cell>
        </row>
        <row r="137">
          <cell r="B137" t="str">
            <v>17.2</v>
          </cell>
          <cell r="E137" t="str">
            <v>CESTO DE LIXO (0,60 X 0,60)M EM MADEIRA  PINUS OU EUCALIPTO TRATADO, COM ACABAMENTO EM VERNIZ FOSCO, REF. MODELO M313 DA LÚDICO PARQUES OU SIMILAR - FORNECIMENTO E MONTAGEM</v>
          </cell>
        </row>
        <row r="138">
          <cell r="B138" t="str">
            <v>17.3</v>
          </cell>
          <cell r="E138" t="str">
            <v>MESA PARA JOGOS (1,00 X 1,00)M  COM 4 BANCOS (0,30 X 0,30)M EM MADEIRA  PINUS OU EUCALIPTO TRATADO, COM ACABAMENTO EM VERNIZ FOSCO, REF. MODELO M314 DA LÚDICO PARQUES OU SIMILAR - FORNECIMENTO E MONTAGEM</v>
          </cell>
        </row>
        <row r="139">
          <cell r="B139" t="str">
            <v>17.4</v>
          </cell>
          <cell r="E139" t="str">
            <v>CONJUNTO MESA (1,00 X 2,00)M E 2 BANCOS (0,30 X 2,00)M EM MADEIRA  PINUS OU EUCALIPTO TRATADO, COM ACABAMENTO EM VERNIZ FOSCO, REF. MODELO M315 DA LÚDICO PARQUES OU SIMILAR - FORNECIMENTO E MONTAGEM</v>
          </cell>
        </row>
        <row r="140">
          <cell r="B140" t="str">
            <v>17.5</v>
          </cell>
          <cell r="E140" t="str">
            <v>INSTALAÇÃO DE PERGOLADO DE MADEIRA, EM MAÇARANDUBA, ANGELIM OU EQUIVALENTE DA REGIÃO, FIXADO COM CONCRETO SOBRE SOLO. AF_11/2021</v>
          </cell>
        </row>
        <row r="141">
          <cell r="B141" t="str">
            <v>17.6</v>
          </cell>
          <cell r="E141" t="str">
            <v>PLANTIO DE ARBUSTO OU  CERCA VIVA. AF_05/2018</v>
          </cell>
        </row>
        <row r="142">
          <cell r="B142" t="str">
            <v>17.7</v>
          </cell>
          <cell r="E142" t="str">
            <v xml:space="preserve">PLANTIO DE ÁRVORE ORNAMENTAL COM ALTURA DE MUDA MENOR OU IGUAL A 2,00 M. </v>
          </cell>
        </row>
        <row r="143">
          <cell r="B143" t="str">
            <v>17.8</v>
          </cell>
          <cell r="E143" t="str">
            <v xml:space="preserve">PLANTIO DE ÁRVORE ORNAMENTAL COM ALTURA DE MUDA MAIOR QUE 2,00 M E MENOR OU IGUAL A 4,00 M. </v>
          </cell>
        </row>
        <row r="145">
          <cell r="B145" t="str">
            <v>18.0</v>
          </cell>
          <cell r="E145" t="str">
            <v>INSTALAÇÕES ELÉTRICAS</v>
          </cell>
        </row>
        <row r="146">
          <cell r="B146" t="str">
            <v>18.1</v>
          </cell>
          <cell r="E146" t="str">
            <v>ELETRODUTO RÍGIDO SOLDÁVEL, PVC, DN 32 MM (1"), APARENTE - FORNECIMENTO E INSTALAÇÃO</v>
          </cell>
        </row>
        <row r="147">
          <cell r="B147" t="str">
            <v>18.2</v>
          </cell>
          <cell r="E147" t="str">
            <v>ELETRODUTO FLEXÍVEL CORRUGADO, PEAD, DN 50 (1 1/2"), PARA REDE ENTERRADA DE DISTRIBUIÇÃO DE ENERGIA ELÉTRICA - FORNECIMENTO E INSTALAÇÃO</v>
          </cell>
        </row>
        <row r="148">
          <cell r="B148" t="str">
            <v>18.3</v>
          </cell>
          <cell r="E148" t="str">
            <v>ELETRODUTO FLEXÍVEL CORRUGADO, PEAD, DN 63 (2"), PARA REDE ENTERRADA DE DISTRIBUIÇÃO DE ENERGIA ELÉTRICA - FORNECIMENTO E INSTALAÇÃO</v>
          </cell>
        </row>
        <row r="149">
          <cell r="B149" t="str">
            <v>18.4</v>
          </cell>
          <cell r="E149" t="str">
            <v>ELETRODUTO RÍGIDO ROSCÁVEL, PVC, DN 32 MM (1"), APARENTE - FORNECIMENTO E INSTALAÇÃO</v>
          </cell>
        </row>
        <row r="150">
          <cell r="B150" t="str">
            <v>18.5</v>
          </cell>
          <cell r="E150" t="str">
            <v>CURVA LONGA 90 GRAUS PARA ELETRODUTO, PVC, ROSCÁVEL, DN 32 MM (1") - FORNECIMENTO E INSTALAÇÃO</v>
          </cell>
        </row>
        <row r="151">
          <cell r="B151" t="str">
            <v>18.6</v>
          </cell>
          <cell r="E151" t="str">
            <v>CABO DE COBRE FLEXÍVEL ISOLADO, 2,5 MM², ANTI-CHAMA 0,6/1,0 KV - FORNECIMENTO E INSTALAÇÃO</v>
          </cell>
        </row>
        <row r="152">
          <cell r="B152" t="str">
            <v>18.7</v>
          </cell>
          <cell r="E152" t="str">
            <v>CABO DE COBRE FLEXÍVEL ISOLADO, 6 MM², ANTI-CHAMA 0,6/1,0 KV - FORNECIMENTO E INSTALAÇÃO</v>
          </cell>
        </row>
        <row r="153">
          <cell r="B153" t="str">
            <v>18.8</v>
          </cell>
          <cell r="E153" t="str">
            <v>CABO DE COBRE FLEXÍVEL ISOLADO, 10 MM², ANTI-CHAMA 0,6/1,0 KV - FORNECIMENTO E INSTALAÇÃO</v>
          </cell>
        </row>
        <row r="154">
          <cell r="B154" t="str">
            <v>18.9</v>
          </cell>
          <cell r="E154" t="str">
            <v>CABO DE COBRE FLEXÍVEL ISOLADO, 16 MM², ANTI-CHAMA 0,6/1,0 KV - FORNECIMENTO E INSTALAÇÃO</v>
          </cell>
        </row>
        <row r="155">
          <cell r="B155" t="str">
            <v>18.10</v>
          </cell>
          <cell r="E155" t="str">
            <v>CONDULETE DE ALUMÍNIO, TIPO C, PARA ELETRODUTO DE PVC DN 32 MM (1"), APARENTE - FORNECIMENTO E INSTALAÇÃO</v>
          </cell>
        </row>
        <row r="156">
          <cell r="B156" t="str">
            <v>18.11</v>
          </cell>
          <cell r="E156" t="str">
            <v>CONDULETE DE ALUMÍNIO, TIPO E, PARA ELETRODUTO DE PVC DN 32 MM (1"), APARENTE - FORNECIMENTO E INSTALAÇÃO</v>
          </cell>
        </row>
        <row r="157">
          <cell r="B157" t="str">
            <v>18.12</v>
          </cell>
          <cell r="E157" t="str">
            <v>CONDULETE DE ALUMÍNIO, TIPO T, PARA ELETRODUTO DE PVC DN 32 MM (1"), APARENTE - FORNECIMENTO E INSTALAÇÃO</v>
          </cell>
        </row>
        <row r="158">
          <cell r="B158" t="str">
            <v>18.13</v>
          </cell>
          <cell r="E158" t="str">
            <v>ENTRADA DE ENERGIA ELÉTRICA, AÉREA, TRIFÁSICA, COM CAIXA DE SOBREPOR, CABO DE 16 MM2 E DISJUNTOR DIN 70A (NÃO INCLUSO O POSTE DE CONCRETO)</v>
          </cell>
        </row>
        <row r="159">
          <cell r="B159" t="str">
            <v>18.14</v>
          </cell>
          <cell r="E159" t="str">
            <v>QUADRO DE DISTRIBUIÇÃO DE ENERGIA EM CHAPA DE AÇO GALVANIZADO, DE EMBUTIR, COM BARRAMENTO TRIFÁSICO, PARA 18 DISJUNTORES DIN 100A - FORNECIMENTO E INSTALAÇÃO</v>
          </cell>
        </row>
        <row r="160">
          <cell r="B160" t="str">
            <v>18.15</v>
          </cell>
          <cell r="E160" t="str">
            <v>DISJUNTOR MONOPOLAR TIPO DIN, CORRENTE NOMINAL DE 16A - FORNECIMENTO E INSTALAÇÃO</v>
          </cell>
        </row>
        <row r="161">
          <cell r="B161" t="str">
            <v>18.16</v>
          </cell>
          <cell r="E161" t="str">
            <v>DISJUNTOR MONOPOLAR TIPO DIN, CORRENTE NOMINAL DE 20A - FORNECIMENTO E INSTALAÇÃO</v>
          </cell>
        </row>
        <row r="162">
          <cell r="B162" t="str">
            <v>18.17</v>
          </cell>
          <cell r="E162" t="str">
            <v>DISJUNTOR TRIPOLAR TIPO DIN, CORRENTE NOMINAL DE 25A - FORNECIMENTO E INSTALAÇÃO</v>
          </cell>
        </row>
        <row r="163">
          <cell r="B163" t="str">
            <v>18.18</v>
          </cell>
          <cell r="E163" t="str">
            <v>DISPOSITIVO DE PROTEÇÃO CONTRA SURTO 45 KA, 175 V, TIPO AC - FORNECIMENTO E INSTALAÇÃO</v>
          </cell>
        </row>
        <row r="164">
          <cell r="B164" t="str">
            <v>18.19</v>
          </cell>
          <cell r="E164" t="str">
            <v>CORDOALHA DE COBRE NU 50 MM², NÃO ENTERRADA, COM ISOLADOR - FORNECIMENTO E INSTALAÇÃO</v>
          </cell>
        </row>
        <row r="165">
          <cell r="B165" t="str">
            <v>18.20</v>
          </cell>
          <cell r="E165" t="str">
            <v>HASTE DE ATERRAMENTO, DIÂMETRO 3/4", COM 3 METROS - FORNECIMENTO E INSTALAÇÃO</v>
          </cell>
        </row>
        <row r="166">
          <cell r="B166" t="str">
            <v>18.21</v>
          </cell>
          <cell r="E166" t="str">
            <v>CAIXA DE INSPEÇÃO PARA ATERRAMENTO, CIRCULAR, EM POLIETILENO, DIÂMETRO INTERNO = 0,3 M. AF_12/2020</v>
          </cell>
        </row>
        <row r="167">
          <cell r="B167" t="str">
            <v>18.22</v>
          </cell>
          <cell r="E167" t="str">
            <v>RELÉ FOTOELÉTRICO PARA COMANDO DE ILUMINAÇÃO EXTERNA 1800 W - FORNECIMENTO E INSTALAÇÃO</v>
          </cell>
        </row>
        <row r="168">
          <cell r="B168" t="str">
            <v>18.23</v>
          </cell>
          <cell r="E168" t="str">
            <v>REFLETOR EM ALUMÍNIO, DE SUPORTE E ALÇA, COM LÂMPADA EM LED 100W DE POTÊNCIA - FORNECIMENTO E INSTALAÇÃO</v>
          </cell>
        </row>
        <row r="169">
          <cell r="B169" t="str">
            <v>18.24</v>
          </cell>
          <cell r="E169" t="str">
            <v xml:space="preserve">CAIXA ENTERRADA ELÉTRICA RETANGULAR, EM ALVENARIA COM TIJOLOS CERÂMICOS MACIÇOS, FUNDO COM BRITA, DIMENSÕES INTERNAS: 0,3X0,3X0,3 M. </v>
          </cell>
        </row>
        <row r="170">
          <cell r="B170" t="str">
            <v>18.25</v>
          </cell>
          <cell r="E170" t="str">
            <v>POSTE EM CONCRETO ARMADO SEÇÃO CIRCULAR 200/10, TIPO C-14 COM 3 REFLETORES EM LED 200W FIXADOS EM CRUZETA DE CONCRETO - FORNECIMENTO E INSTALAÇÃO</v>
          </cell>
        </row>
        <row r="171">
          <cell r="B171" t="str">
            <v>18.26</v>
          </cell>
          <cell r="E171" t="str">
            <v>POSTE EM CONCRETO ARMADO SEÇÃO CIRCULAR 200/10, TIPO C-14 COM 6 REFLETORES EM LED 200W FIXADOS EM CRUZETA DE CONCRETO - FORNECIMENTO E INSTALAÇÃO</v>
          </cell>
        </row>
        <row r="173">
          <cell r="B173" t="str">
            <v>19.0</v>
          </cell>
          <cell r="E173" t="str">
            <v>INSTALAÇÕES HIDRÁULICAS</v>
          </cell>
        </row>
        <row r="174">
          <cell r="B174" t="str">
            <v>19.1</v>
          </cell>
          <cell r="E174" t="str">
            <v>TUBO, PVC, SOLDÁVEL, DN 25MM - FORNECIMENTO E INSTALAÇÃO</v>
          </cell>
        </row>
        <row r="175">
          <cell r="B175" t="str">
            <v>19.2</v>
          </cell>
          <cell r="E175" t="str">
            <v>TUBO, PVC, SOLDÁVEL, DN 32MM - FORNECIMENTO E INSTALAÇÃO</v>
          </cell>
        </row>
        <row r="176">
          <cell r="B176" t="str">
            <v>19.3</v>
          </cell>
          <cell r="E176" t="str">
            <v>JOELHO 90 GRAUS, PVC, SOLDÁVEL, DN 25MM - FORNECIMENTO E INSTALAÇÃO</v>
          </cell>
        </row>
        <row r="177">
          <cell r="B177" t="str">
            <v>19.4</v>
          </cell>
          <cell r="E177" t="str">
            <v>JOELHO 90 GRAUS COM BUCHA DE LATÃO, PVC, SOLDÁVEL, DN 25MM, X 3/4 - FORNECIMENTO E INSTALAÇÃO</v>
          </cell>
        </row>
        <row r="178">
          <cell r="B178" t="str">
            <v>19.5</v>
          </cell>
          <cell r="E178" t="str">
            <v>CURVA 90 GRAUS, PVC, SOLDÁVEL, DN 25MM - FORNECIMENTO E INSTALAÇÃO</v>
          </cell>
        </row>
        <row r="179">
          <cell r="B179" t="str">
            <v>19.6</v>
          </cell>
          <cell r="E179" t="str">
            <v>TÊ DE REDUÇÃO, PVC, SOLDÁVEL, DN 32MM X 25MM - FORNECIMENTO E INSTALAÇÃO</v>
          </cell>
        </row>
        <row r="180">
          <cell r="B180" t="str">
            <v>19.7</v>
          </cell>
          <cell r="E180" t="str">
            <v>LUVA DE REDUÇÃO, PVC, SOLDÁVEL, DN 32MM X 25MM - FORNECIMENTO E INSTALAÇÃO</v>
          </cell>
        </row>
        <row r="181">
          <cell r="B181" t="str">
            <v>19.8</v>
          </cell>
          <cell r="E181" t="str">
            <v>TORNEIRA CROMADA 1/2 OU 3/4 PARA JARDIM - FORNECIMENTO E INSTALAÇÃO</v>
          </cell>
        </row>
        <row r="183">
          <cell r="B183" t="str">
            <v>20.0</v>
          </cell>
          <cell r="E183" t="str">
            <v>DRENAGEM</v>
          </cell>
        </row>
        <row r="184">
          <cell r="B184" t="str">
            <v>20.1</v>
          </cell>
          <cell r="E184" t="str">
            <v>TUBO PVC, SÉRIE R, ÁGUA PLUVIAL, DN 100 MM - FORNECIMENTO E INSTALAÇÃO</v>
          </cell>
        </row>
        <row r="185">
          <cell r="B185" t="str">
            <v>20.2</v>
          </cell>
          <cell r="E185" t="str">
            <v>JUNÇÃO DUPLA DE PVC, SÉRIE NORMAL, DN 100 X 100 X 100 MM - FORNECIMENTO E INSTALAÇÃO</v>
          </cell>
        </row>
        <row r="186">
          <cell r="B186" t="str">
            <v>20.3</v>
          </cell>
          <cell r="E186" t="str">
            <v>CAIXA ENTERRADA RETANGULAR, EM ALVENARIA COM BLOCOS DE CONCRETO, TAMPA EM CONCRETO COM GRELHA, DIMENSÕES INTERNAS: 0,8X0,6X0,5 M PARA REDE DE DRENAGEM</v>
          </cell>
        </row>
        <row r="187">
          <cell r="B187" t="str">
            <v>20.4</v>
          </cell>
          <cell r="E187" t="str">
            <v>DRENO ESPINHA DE PEIXE (SEÇÃO 0,40 X 0,20 M), COM TUBO DE PEAD CORRUGADO PERFURADO, DN 100 MM, ENCHIMENTO COM BRITA, ENVOLVIDO COM MANTA GEOTÊXTIL, INCLUSIVE CONEXÕES</v>
          </cell>
        </row>
        <row r="189">
          <cell r="B189" t="str">
            <v>21.0</v>
          </cell>
          <cell r="E189" t="str">
            <v>SERVIÇOS COMPLEMENTARES</v>
          </cell>
        </row>
        <row r="190">
          <cell r="B190" t="str">
            <v>21.1</v>
          </cell>
          <cell r="E190" t="str">
            <v>CARGA, MANOBRA E DESCARGA DE ENTULHO EM CAMINHÃO BASCULANTE 18 M³ - CARGA COM ESCAVADEIRA HIDRÁULICA  (CAÇAMBA DE 0,80 M³ / 111 HP) E DESCARGA LIVRE (UNIDADE: M3)</v>
          </cell>
        </row>
        <row r="191">
          <cell r="B191" t="str">
            <v>21.2</v>
          </cell>
          <cell r="E191" t="str">
            <v>TRANSPORTE COM CAMINHÃO BASCULANTE DE 18 M³, EM VIA URBANA PAVIMENTADA, DMT ATÉ 30 KM (UNIDADE: M3XKM)</v>
          </cell>
        </row>
        <row r="197">
          <cell r="B197" t="str">
            <v>CANTEIRO DE OBRAS</v>
          </cell>
        </row>
        <row r="199">
          <cell r="B199" t="str">
            <v>ITEM</v>
          </cell>
          <cell r="C199" t="str">
            <v>FONTE</v>
          </cell>
          <cell r="D199" t="str">
            <v>CÓDIGO</v>
          </cell>
          <cell r="E199" t="str">
            <v>DESCRIÇÃO ORÇAMENTÁRIA</v>
          </cell>
        </row>
        <row r="201">
          <cell r="B201" t="str">
            <v>22.0</v>
          </cell>
          <cell r="E201" t="str">
            <v>SERVIÇOS PRELIMINARES</v>
          </cell>
        </row>
        <row r="202">
          <cell r="B202" t="str">
            <v>22.1</v>
          </cell>
          <cell r="E202" t="str">
            <v>FORNECIMENTO E INSTALAÇÃO DE PLACA DE OBRA COM CHAPA GALVANIZADA E ESTRUTURA DE MADEIRA (3 X 2 )M</v>
          </cell>
        </row>
        <row r="203">
          <cell r="B203" t="str">
            <v>22.2</v>
          </cell>
          <cell r="E203" t="str">
            <v>LOCAÇÃO CONVENCIONAL DE OBRA, UTILIZANDO GABARITO DE TÁBUAS CORRIDAS PONTALETADAS A CADA 2,00M - 2 UTILIZAÇÕES.</v>
          </cell>
        </row>
        <row r="204">
          <cell r="B204" t="str">
            <v>22.3</v>
          </cell>
          <cell r="E204" t="str">
            <v xml:space="preserve">ESTRUTURA DE MADEIRA PROVISÓRIA PARA SUPORTE DE CAIXA DÁGUA ELEVADA DE 1000 LITROS. </v>
          </cell>
        </row>
        <row r="205">
          <cell r="B205" t="str">
            <v>22.4</v>
          </cell>
          <cell r="E205" t="str">
            <v>CAIXA D´ÁGUA EM POLIÉSTER REFORÇADO COM FIBRA DE VIDRO, 750 LITROS - FORNECIMENTO E INSTALAÇÃO.</v>
          </cell>
        </row>
        <row r="206">
          <cell r="B206" t="str">
            <v>22.5</v>
          </cell>
          <cell r="E206" t="str">
            <v>KIT CAVALETE PARA MEDIÇÃO DE ÁGUA - ENTRADA PRINCIPAL, EM AÇO GALVANIZADO DN 25 MM (1") - FORNECIMENTO E INSTALAÇÃO (EXCLUSIVE HIDRÔMETRO).</v>
          </cell>
        </row>
        <row r="207">
          <cell r="B207" t="str">
            <v>22.6</v>
          </cell>
          <cell r="E207" t="str">
            <v>ENTRADA DE ENERGIA ELÉTRICA, AÉREA, TRIFÁSICA, COM CAIXA DE SOBREPOR, CABO DE 35 MM2 E DISJUNTOR DIN 50A (NÃO INCLUSO O POSTE DE CONCRETO). AF_07/2020_PS</v>
          </cell>
        </row>
        <row r="208">
          <cell r="B208" t="str">
            <v>22.7</v>
          </cell>
          <cell r="E208" t="str">
            <v>TAPUME COM TELHA METÁLICA. AF_03/2024</v>
          </cell>
        </row>
        <row r="209">
          <cell r="B209" t="str">
            <v>22.8</v>
          </cell>
          <cell r="E209" t="str">
            <v>LOCACAO DE CONTAINER 2,30 X 6,00 M, ALT. 2,50 M, PARA ESCRITORIO, SEM DIVISORIAS INTERNAS E SEM SANITARIO (NAO INCLUI MOBILIZACAO/DESMOBILIZACAO</v>
          </cell>
        </row>
        <row r="210">
          <cell r="B210" t="str">
            <v>22.9</v>
          </cell>
          <cell r="E210" t="str">
            <v xml:space="preserve">TRANSPORTE COM CAMINHÃO CARROCERIA COM GUINDAUTO (MUNCK), MOMENTO MÁXIMO DE CARGA 11,7 TM, EM VIA URBANA PAVIMENTADA, ADICIONAL PARA DMT EXCEDENTE A 30 KM (UNIDADE: TXKM). </v>
          </cell>
        </row>
        <row r="211">
          <cell r="B211" t="str">
            <v>22.10</v>
          </cell>
          <cell r="E211" t="str">
            <v>LOCACAO DE CONTAINER 2,30 X 4,30 M, ALT. 2,50 M, PARA SANITARIO, COM 3 BACIAS, 4 CHUVEIROS, 1 LAVATORIO E 1 MICTORIO (NAO INCLUI MOBILIZACAO/DESMOBILIZACAO)</v>
          </cell>
        </row>
        <row r="212">
          <cell r="B212" t="str">
            <v>22.11</v>
          </cell>
          <cell r="E212" t="str">
            <v xml:space="preserve">TRANSPORTE COM CAMINHÃO CARROCERIA COM GUINDAUTO (MUNCK), MOMENTO MÁXIMO DE CARGA 11,7 TM, EM VIA URBANA PAVIMENTADA, ADICIONAL PARA DMT EXCEDENTE A 30 KM (UNIDADE: TXKM). 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RIAL DE CALCULO"/>
      <sheetName val="PROPOSTA"/>
      <sheetName val="CRONOGRAMA FF EMPRESA"/>
      <sheetName val="CRONOGRAMA FF PMVNI"/>
      <sheetName val="COMP.01_ADMINISTRAÇÃO LOCAL"/>
      <sheetName val="COMP.2_CONCRETAGEM DE VIGAS"/>
      <sheetName val="COMP.3_POÇO DE VISITA"/>
    </sheetNames>
    <sheetDataSet>
      <sheetData sheetId="0"/>
      <sheetData sheetId="1">
        <row r="5">
          <cell r="B5" t="str">
            <v>PROPRIETÁRIO: PREFEITURA MUNICIPAL DE VENDA NOVA DO IMIGRANTE</v>
          </cell>
        </row>
        <row r="8">
          <cell r="B8" t="str">
            <v>DATA BASE: SET/2025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S28"/>
  <sheetViews>
    <sheetView tabSelected="1" topLeftCell="A5" workbookViewId="0">
      <selection activeCell="H29" sqref="H29"/>
    </sheetView>
  </sheetViews>
  <sheetFormatPr defaultRowHeight="15" x14ac:dyDescent="0.25"/>
  <sheetData>
    <row r="3" spans="5:19" ht="25.5" customHeight="1" x14ac:dyDescent="0.25">
      <c r="E3" s="133" t="s">
        <v>312</v>
      </c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</row>
    <row r="4" spans="5:19" ht="23.25" customHeight="1" x14ac:dyDescent="0.25">
      <c r="E4" s="134" t="s">
        <v>304</v>
      </c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spans="5:19" ht="18.75" x14ac:dyDescent="0.25"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</row>
    <row r="6" spans="5:19" ht="16.5" x14ac:dyDescent="0.25">
      <c r="E6" s="135" t="s">
        <v>305</v>
      </c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</row>
    <row r="7" spans="5:19" x14ac:dyDescent="0.25"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</row>
    <row r="8" spans="5:19" ht="31.5" customHeight="1" x14ac:dyDescent="0.25">
      <c r="E8" s="126" t="s">
        <v>20</v>
      </c>
      <c r="F8" s="132" t="s">
        <v>313</v>
      </c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</row>
    <row r="9" spans="5:19" x14ac:dyDescent="0.25">
      <c r="E9" s="126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</row>
    <row r="10" spans="5:19" ht="32.25" customHeight="1" x14ac:dyDescent="0.25">
      <c r="E10" s="126" t="s">
        <v>33</v>
      </c>
      <c r="F10" s="132" t="s">
        <v>314</v>
      </c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</row>
    <row r="11" spans="5:19" x14ac:dyDescent="0.25">
      <c r="E11" s="12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</row>
    <row r="12" spans="5:19" x14ac:dyDescent="0.25">
      <c r="E12" s="126" t="s">
        <v>48</v>
      </c>
      <c r="F12" s="132" t="s">
        <v>306</v>
      </c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</row>
    <row r="13" spans="5:19" x14ac:dyDescent="0.25">
      <c r="E13" s="126"/>
      <c r="F13" s="127"/>
      <c r="G13" s="127"/>
      <c r="H13" s="127"/>
      <c r="I13" s="127"/>
      <c r="J13" s="127"/>
      <c r="K13" s="127"/>
      <c r="L13" s="127"/>
      <c r="M13" s="127"/>
      <c r="N13" s="127"/>
      <c r="O13" s="128"/>
      <c r="P13" s="127"/>
      <c r="Q13" s="127"/>
      <c r="R13" s="127"/>
      <c r="S13" s="127"/>
    </row>
    <row r="14" spans="5:19" x14ac:dyDescent="0.25">
      <c r="E14" s="126" t="s">
        <v>62</v>
      </c>
      <c r="F14" s="136" t="s">
        <v>307</v>
      </c>
      <c r="G14" s="136"/>
      <c r="H14" s="136"/>
      <c r="I14" s="136"/>
      <c r="J14" s="137">
        <f>PROPOSTA!J226</f>
        <v>1580724.77</v>
      </c>
      <c r="K14" s="137"/>
      <c r="L14" s="137"/>
      <c r="M14" s="138"/>
      <c r="N14" s="138"/>
      <c r="O14" s="138"/>
      <c r="P14" s="139"/>
      <c r="Q14" s="139"/>
      <c r="R14" s="139"/>
      <c r="S14" s="139"/>
    </row>
    <row r="15" spans="5:19" ht="31.5" customHeight="1" x14ac:dyDescent="0.25">
      <c r="E15" s="126"/>
      <c r="F15" s="132" t="s">
        <v>308</v>
      </c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</row>
    <row r="16" spans="5:19" x14ac:dyDescent="0.25">
      <c r="E16" s="126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</row>
    <row r="17" spans="5:19" x14ac:dyDescent="0.25">
      <c r="E17" s="126" t="s">
        <v>68</v>
      </c>
      <c r="F17" s="132" t="s">
        <v>309</v>
      </c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</row>
    <row r="18" spans="5:19" x14ac:dyDescent="0.25">
      <c r="E18" s="126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</row>
    <row r="19" spans="5:19" ht="32.25" customHeight="1" x14ac:dyDescent="0.25">
      <c r="E19" s="126" t="s">
        <v>74</v>
      </c>
      <c r="F19" s="132" t="s">
        <v>315</v>
      </c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</row>
    <row r="20" spans="5:19" x14ac:dyDescent="0.25">
      <c r="E20" s="126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</row>
    <row r="21" spans="5:19" x14ac:dyDescent="0.25">
      <c r="E21" s="126" t="s">
        <v>80</v>
      </c>
      <c r="F21" s="132" t="s">
        <v>310</v>
      </c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</row>
    <row r="22" spans="5:19" x14ac:dyDescent="0.25">
      <c r="E22" s="126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</row>
    <row r="23" spans="5:19" ht="47.25" customHeight="1" x14ac:dyDescent="0.25">
      <c r="E23" s="126" t="s">
        <v>87</v>
      </c>
      <c r="F23" s="132" t="s">
        <v>311</v>
      </c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</row>
    <row r="24" spans="5:19" x14ac:dyDescent="0.25">
      <c r="E24" s="126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</row>
    <row r="25" spans="5:19" x14ac:dyDescent="0.25"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</row>
    <row r="26" spans="5:19" x14ac:dyDescent="0.25">
      <c r="E26" s="131" t="s">
        <v>316</v>
      </c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</row>
    <row r="27" spans="5:19" x14ac:dyDescent="0.25">
      <c r="E27" s="125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</row>
    <row r="28" spans="5:19" x14ac:dyDescent="0.25">
      <c r="E28" s="125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</row>
  </sheetData>
  <mergeCells count="20">
    <mergeCell ref="F17:S17"/>
    <mergeCell ref="E3:S3"/>
    <mergeCell ref="E4:S4"/>
    <mergeCell ref="E6:S6"/>
    <mergeCell ref="F8:S8"/>
    <mergeCell ref="F10:S10"/>
    <mergeCell ref="F12:S12"/>
    <mergeCell ref="F14:I14"/>
    <mergeCell ref="J14:L14"/>
    <mergeCell ref="M14:O14"/>
    <mergeCell ref="P14:S14"/>
    <mergeCell ref="F15:S15"/>
    <mergeCell ref="E26:S26"/>
    <mergeCell ref="F27:S27"/>
    <mergeCell ref="F19:S19"/>
    <mergeCell ref="F20:S20"/>
    <mergeCell ref="F21:S21"/>
    <mergeCell ref="F22:S22"/>
    <mergeCell ref="F23:S23"/>
    <mergeCell ref="F24:S2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622"/>
  <sheetViews>
    <sheetView showGridLines="0" topLeftCell="A17" zoomScale="90" zoomScaleNormal="90" workbookViewId="0">
      <selection activeCell="P18" sqref="P18"/>
    </sheetView>
  </sheetViews>
  <sheetFormatPr defaultColWidth="6.28515625" defaultRowHeight="15" zeroHeight="1" x14ac:dyDescent="0.2"/>
  <cols>
    <col min="1" max="1" width="2" style="1" customWidth="1"/>
    <col min="2" max="2" width="8.42578125" style="1" customWidth="1"/>
    <col min="3" max="3" width="17.28515625" style="11" hidden="1" customWidth="1"/>
    <col min="4" max="4" width="13.140625" style="1" hidden="1" customWidth="1"/>
    <col min="5" max="5" width="67.5703125" style="1" customWidth="1"/>
    <col min="6" max="6" width="11.85546875" style="1" customWidth="1"/>
    <col min="7" max="7" width="15.7109375" style="15" bestFit="1" customWidth="1"/>
    <col min="8" max="9" width="15.28515625" style="16" hidden="1" customWidth="1"/>
    <col min="10" max="10" width="17" style="9" customWidth="1"/>
    <col min="11" max="11" width="18.28515625" style="1" bestFit="1" customWidth="1"/>
    <col min="12" max="12" width="17" style="1" customWidth="1"/>
    <col min="13" max="13" width="18.5703125" style="1" customWidth="1"/>
    <col min="14" max="233" width="11.5703125" style="1" customWidth="1"/>
    <col min="234" max="234" width="4.7109375" style="1" customWidth="1"/>
    <col min="235" max="235" width="4.42578125" style="1" customWidth="1"/>
    <col min="236" max="236" width="7.28515625" style="1" customWidth="1"/>
    <col min="237" max="237" width="5.7109375" style="1" customWidth="1"/>
    <col min="238" max="238" width="4.42578125" style="1" customWidth="1"/>
    <col min="239" max="239" width="14.140625" style="1" customWidth="1"/>
    <col min="240" max="241" width="4.140625" style="1" customWidth="1"/>
    <col min="242" max="242" width="8" style="1" customWidth="1"/>
    <col min="243" max="243" width="5.5703125" style="1" customWidth="1"/>
    <col min="244" max="245" width="5.140625" style="1" customWidth="1"/>
    <col min="246" max="246" width="3.28515625" style="1" customWidth="1"/>
    <col min="247" max="247" width="7.140625" style="1" customWidth="1"/>
    <col min="248" max="248" width="3.42578125" style="1" customWidth="1"/>
    <col min="249" max="249" width="4.42578125" style="1" customWidth="1"/>
    <col min="250" max="251" width="10.140625" style="1" customWidth="1"/>
    <col min="252" max="252" width="7" style="1" customWidth="1"/>
    <col min="253" max="16384" width="6.28515625" style="1"/>
  </cols>
  <sheetData>
    <row r="1" spans="2:13" ht="11.25" customHeight="1" x14ac:dyDescent="0.25">
      <c r="B1" s="2"/>
      <c r="C1" s="3"/>
      <c r="D1" s="4"/>
      <c r="E1" s="5"/>
      <c r="F1" s="4"/>
      <c r="G1" s="6"/>
      <c r="H1" s="7"/>
      <c r="I1" s="7"/>
      <c r="J1" s="8"/>
      <c r="K1" s="4"/>
    </row>
    <row r="2" spans="2:13" x14ac:dyDescent="0.2">
      <c r="B2" s="153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5"/>
    </row>
    <row r="3" spans="2:13" ht="15.75" customHeight="1" x14ac:dyDescent="0.25">
      <c r="B3" s="27" t="s">
        <v>0</v>
      </c>
      <c r="C3" s="28"/>
      <c r="D3" s="29"/>
      <c r="E3" s="30"/>
      <c r="F3" s="29"/>
      <c r="G3" s="31"/>
      <c r="H3" s="32"/>
      <c r="I3" s="32"/>
      <c r="J3" s="32"/>
      <c r="K3" s="32"/>
      <c r="L3" s="33"/>
      <c r="M3" s="34"/>
    </row>
    <row r="4" spans="2:13" ht="15.75" customHeight="1" x14ac:dyDescent="0.25">
      <c r="B4" s="27"/>
      <c r="C4" s="28"/>
      <c r="D4" s="29"/>
      <c r="E4" s="35" t="s">
        <v>1</v>
      </c>
      <c r="F4" s="29"/>
      <c r="G4" s="31"/>
      <c r="H4" s="32"/>
      <c r="I4" s="32"/>
      <c r="J4" s="32"/>
      <c r="K4" s="32"/>
      <c r="L4" s="33"/>
      <c r="M4" s="34"/>
    </row>
    <row r="5" spans="2:13" ht="15.75" customHeight="1" x14ac:dyDescent="0.25">
      <c r="B5" s="27" t="s">
        <v>2</v>
      </c>
      <c r="C5" s="36"/>
      <c r="D5" s="29"/>
      <c r="E5" s="30"/>
      <c r="F5" s="29"/>
      <c r="G5" s="31"/>
      <c r="H5" s="32"/>
      <c r="I5" s="32"/>
      <c r="J5" s="32"/>
      <c r="K5" s="32"/>
      <c r="L5" s="33"/>
      <c r="M5" s="34"/>
    </row>
    <row r="6" spans="2:13" ht="15.75" customHeight="1" x14ac:dyDescent="0.25">
      <c r="B6" s="27" t="s">
        <v>3</v>
      </c>
      <c r="C6" s="36"/>
      <c r="D6" s="29"/>
      <c r="E6" s="30"/>
      <c r="F6" s="29"/>
      <c r="G6" s="31"/>
      <c r="H6" s="32"/>
      <c r="I6" s="32"/>
      <c r="J6" s="32"/>
      <c r="K6" s="32"/>
      <c r="L6" s="33"/>
      <c r="M6" s="34"/>
    </row>
    <row r="7" spans="2:13" ht="15.75" x14ac:dyDescent="0.25">
      <c r="B7" s="27" t="s">
        <v>4</v>
      </c>
      <c r="C7" s="37"/>
      <c r="D7" s="38"/>
      <c r="E7" s="30"/>
      <c r="F7" s="29"/>
      <c r="G7" s="31"/>
      <c r="H7" s="32"/>
      <c r="I7" s="32"/>
      <c r="J7" s="32"/>
      <c r="K7" s="32"/>
      <c r="L7" s="33"/>
      <c r="M7" s="34"/>
    </row>
    <row r="8" spans="2:13" ht="15.75" customHeight="1" x14ac:dyDescent="0.25">
      <c r="B8" s="27" t="s">
        <v>5</v>
      </c>
      <c r="C8" s="39">
        <v>0.23319999999999999</v>
      </c>
      <c r="D8" s="40"/>
      <c r="E8" s="41">
        <v>0.27150000000000002</v>
      </c>
      <c r="F8" s="29"/>
      <c r="G8" s="31"/>
      <c r="H8" s="32"/>
      <c r="I8" s="32"/>
      <c r="J8" s="32"/>
      <c r="K8" s="32"/>
      <c r="L8" s="33"/>
      <c r="M8" s="34"/>
    </row>
    <row r="9" spans="2:13" x14ac:dyDescent="0.2">
      <c r="B9" s="153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5"/>
    </row>
    <row r="10" spans="2:13" ht="33" customHeight="1" x14ac:dyDescent="0.2">
      <c r="B10" s="150" t="s">
        <v>6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2"/>
    </row>
    <row r="11" spans="2:13" ht="18" x14ac:dyDescent="0.2">
      <c r="B11" s="163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5"/>
    </row>
    <row r="12" spans="2:13" ht="33" customHeight="1" x14ac:dyDescent="0.2">
      <c r="B12" s="150" t="s">
        <v>7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2"/>
    </row>
    <row r="13" spans="2:13" s="10" customFormat="1" x14ac:dyDescent="0.25">
      <c r="B13" s="156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8"/>
    </row>
    <row r="14" spans="2:13" s="10" customFormat="1" ht="15.75" x14ac:dyDescent="0.25">
      <c r="B14" s="159" t="s">
        <v>8</v>
      </c>
      <c r="C14" s="161" t="s">
        <v>9</v>
      </c>
      <c r="D14" s="159" t="s">
        <v>10</v>
      </c>
      <c r="E14" s="159" t="s">
        <v>11</v>
      </c>
      <c r="F14" s="159" t="s">
        <v>12</v>
      </c>
      <c r="G14" s="140" t="s">
        <v>13</v>
      </c>
      <c r="H14" s="42"/>
      <c r="I14" s="42"/>
      <c r="J14" s="142" t="s">
        <v>14</v>
      </c>
      <c r="K14" s="143"/>
      <c r="L14" s="144" t="s">
        <v>15</v>
      </c>
      <c r="M14" s="145"/>
    </row>
    <row r="15" spans="2:13" s="10" customFormat="1" ht="31.5" x14ac:dyDescent="0.25">
      <c r="B15" s="160"/>
      <c r="C15" s="162"/>
      <c r="D15" s="160"/>
      <c r="E15" s="160"/>
      <c r="F15" s="160"/>
      <c r="G15" s="141"/>
      <c r="H15" s="43" t="s">
        <v>16</v>
      </c>
      <c r="I15" s="44" t="s">
        <v>17</v>
      </c>
      <c r="J15" s="45" t="s">
        <v>18</v>
      </c>
      <c r="K15" s="46" t="s">
        <v>19</v>
      </c>
      <c r="L15" s="47" t="s">
        <v>18</v>
      </c>
      <c r="M15" s="48" t="s">
        <v>19</v>
      </c>
    </row>
    <row r="16" spans="2:13" s="10" customFormat="1" ht="15.75" x14ac:dyDescent="0.25">
      <c r="B16" s="49" t="s">
        <v>20</v>
      </c>
      <c r="C16" s="50"/>
      <c r="D16" s="51"/>
      <c r="E16" s="52" t="s">
        <v>21</v>
      </c>
      <c r="F16" s="52"/>
      <c r="G16" s="52"/>
      <c r="H16" s="52"/>
      <c r="I16" s="52"/>
      <c r="J16" s="52"/>
      <c r="K16" s="52"/>
      <c r="L16" s="53"/>
      <c r="M16" s="52"/>
    </row>
    <row r="17" spans="2:15" s="10" customFormat="1" ht="17.100000000000001" customHeight="1" x14ac:dyDescent="0.25">
      <c r="B17" s="54" t="s">
        <v>22</v>
      </c>
      <c r="C17" s="55"/>
      <c r="D17" s="55"/>
      <c r="E17" s="56" t="s">
        <v>23</v>
      </c>
      <c r="F17" s="57" t="s">
        <v>24</v>
      </c>
      <c r="G17" s="58">
        <v>32.5</v>
      </c>
      <c r="H17" s="59"/>
      <c r="I17" s="59"/>
      <c r="J17" s="60">
        <v>98.77</v>
      </c>
      <c r="K17" s="61">
        <v>3210.03</v>
      </c>
      <c r="L17" s="110">
        <v>0</v>
      </c>
      <c r="M17" s="62">
        <f>ROUND(G17*L17,2)</f>
        <v>0</v>
      </c>
      <c r="O17" s="26"/>
    </row>
    <row r="18" spans="2:15" s="10" customFormat="1" ht="30" x14ac:dyDescent="0.25">
      <c r="B18" s="54" t="s">
        <v>25</v>
      </c>
      <c r="C18" s="55"/>
      <c r="D18" s="55"/>
      <c r="E18" s="63" t="s">
        <v>26</v>
      </c>
      <c r="F18" s="64" t="s">
        <v>27</v>
      </c>
      <c r="G18" s="65">
        <v>130</v>
      </c>
      <c r="H18" s="66"/>
      <c r="I18" s="66"/>
      <c r="J18" s="67">
        <v>1.06</v>
      </c>
      <c r="K18" s="68">
        <v>137.80000000000001</v>
      </c>
      <c r="L18" s="110">
        <v>0</v>
      </c>
      <c r="M18" s="62">
        <f t="shared" ref="M18:M20" si="0">ROUND(G18*L18,2)</f>
        <v>0</v>
      </c>
      <c r="O18" s="26"/>
    </row>
    <row r="19" spans="2:15" s="10" customFormat="1" ht="36" customHeight="1" x14ac:dyDescent="0.25">
      <c r="B19" s="54" t="s">
        <v>28</v>
      </c>
      <c r="C19" s="55"/>
      <c r="D19" s="55"/>
      <c r="E19" s="63" t="s">
        <v>29</v>
      </c>
      <c r="F19" s="64" t="s">
        <v>27</v>
      </c>
      <c r="G19" s="65">
        <v>78</v>
      </c>
      <c r="H19" s="66"/>
      <c r="I19" s="66"/>
      <c r="J19" s="67">
        <v>48.93</v>
      </c>
      <c r="K19" s="68">
        <v>3816.54</v>
      </c>
      <c r="L19" s="110">
        <v>0</v>
      </c>
      <c r="M19" s="62">
        <f t="shared" si="0"/>
        <v>0</v>
      </c>
      <c r="O19" s="26"/>
    </row>
    <row r="20" spans="2:15" s="10" customFormat="1" ht="30" x14ac:dyDescent="0.25">
      <c r="B20" s="54" t="s">
        <v>30</v>
      </c>
      <c r="C20" s="55"/>
      <c r="D20" s="55"/>
      <c r="E20" s="63" t="s">
        <v>31</v>
      </c>
      <c r="F20" s="64" t="s">
        <v>27</v>
      </c>
      <c r="G20" s="65">
        <v>64</v>
      </c>
      <c r="H20" s="66"/>
      <c r="I20" s="66"/>
      <c r="J20" s="67">
        <v>134.74</v>
      </c>
      <c r="K20" s="68">
        <v>8623.36</v>
      </c>
      <c r="L20" s="110">
        <v>0</v>
      </c>
      <c r="M20" s="62">
        <f t="shared" si="0"/>
        <v>0</v>
      </c>
      <c r="O20" s="26"/>
    </row>
    <row r="21" spans="2:15" s="10" customFormat="1" ht="15.75" x14ac:dyDescent="0.25">
      <c r="B21" s="69"/>
      <c r="C21" s="55"/>
      <c r="D21" s="55"/>
      <c r="E21" s="70"/>
      <c r="F21" s="71"/>
      <c r="G21" s="64"/>
      <c r="H21" s="66"/>
      <c r="I21" s="66"/>
      <c r="J21" s="72" t="s">
        <v>32</v>
      </c>
      <c r="K21" s="73">
        <f>SUM(K17:K20)</f>
        <v>15787.730000000001</v>
      </c>
      <c r="L21" s="74"/>
      <c r="M21" s="75">
        <f>SUM(M17:M20)</f>
        <v>0</v>
      </c>
      <c r="O21" s="26"/>
    </row>
    <row r="22" spans="2:15" s="10" customFormat="1" ht="17.100000000000001" customHeight="1" x14ac:dyDescent="0.25">
      <c r="B22" s="49" t="s">
        <v>33</v>
      </c>
      <c r="C22" s="50"/>
      <c r="D22" s="51"/>
      <c r="E22" s="52" t="s">
        <v>34</v>
      </c>
      <c r="F22" s="52"/>
      <c r="G22" s="52"/>
      <c r="H22" s="52"/>
      <c r="I22" s="52"/>
      <c r="J22" s="52"/>
      <c r="K22" s="52"/>
      <c r="L22" s="53"/>
      <c r="M22" s="52"/>
      <c r="O22" s="26"/>
    </row>
    <row r="23" spans="2:15" s="10" customFormat="1" ht="30" x14ac:dyDescent="0.25">
      <c r="B23" s="76" t="s">
        <v>35</v>
      </c>
      <c r="C23" s="55"/>
      <c r="D23" s="55"/>
      <c r="E23" s="63" t="s">
        <v>36</v>
      </c>
      <c r="F23" s="64" t="s">
        <v>27</v>
      </c>
      <c r="G23" s="65">
        <v>1500</v>
      </c>
      <c r="H23" s="66"/>
      <c r="I23" s="66"/>
      <c r="J23" s="67">
        <v>3.95</v>
      </c>
      <c r="K23" s="68">
        <v>5925</v>
      </c>
      <c r="L23" s="111">
        <v>0</v>
      </c>
      <c r="M23" s="62">
        <f>ROUND(G23*L23,2)</f>
        <v>0</v>
      </c>
      <c r="O23" s="26"/>
    </row>
    <row r="24" spans="2:15" s="10" customFormat="1" ht="30" x14ac:dyDescent="0.25">
      <c r="B24" s="76" t="s">
        <v>37</v>
      </c>
      <c r="C24" s="55"/>
      <c r="D24" s="55"/>
      <c r="E24" s="63" t="s">
        <v>38</v>
      </c>
      <c r="F24" s="64" t="s">
        <v>24</v>
      </c>
      <c r="G24" s="65">
        <v>140</v>
      </c>
      <c r="H24" s="66"/>
      <c r="I24" s="66"/>
      <c r="J24" s="67">
        <v>257.35000000000002</v>
      </c>
      <c r="K24" s="68">
        <v>36029</v>
      </c>
      <c r="L24" s="111">
        <v>0</v>
      </c>
      <c r="M24" s="62">
        <f t="shared" ref="M24:M29" si="1">ROUND(G24*L24,2)</f>
        <v>0</v>
      </c>
      <c r="O24" s="26"/>
    </row>
    <row r="25" spans="2:15" s="10" customFormat="1" ht="30" x14ac:dyDescent="0.25">
      <c r="B25" s="76" t="s">
        <v>39</v>
      </c>
      <c r="C25" s="55"/>
      <c r="D25" s="55"/>
      <c r="E25" s="63" t="s">
        <v>40</v>
      </c>
      <c r="F25" s="64" t="s">
        <v>24</v>
      </c>
      <c r="G25" s="65">
        <v>70</v>
      </c>
      <c r="H25" s="66"/>
      <c r="I25" s="66"/>
      <c r="J25" s="67">
        <v>298.13</v>
      </c>
      <c r="K25" s="68">
        <v>20869.099999999999</v>
      </c>
      <c r="L25" s="111">
        <v>0</v>
      </c>
      <c r="M25" s="62">
        <f t="shared" si="1"/>
        <v>0</v>
      </c>
      <c r="O25" s="130"/>
    </row>
    <row r="26" spans="2:15" s="10" customFormat="1" ht="30" x14ac:dyDescent="0.25">
      <c r="B26" s="76" t="s">
        <v>41</v>
      </c>
      <c r="C26" s="55"/>
      <c r="D26" s="55"/>
      <c r="E26" s="63" t="s">
        <v>42</v>
      </c>
      <c r="F26" s="64" t="s">
        <v>24</v>
      </c>
      <c r="G26" s="65">
        <v>70</v>
      </c>
      <c r="H26" s="66"/>
      <c r="I26" s="66"/>
      <c r="J26" s="67">
        <v>298.13</v>
      </c>
      <c r="K26" s="68">
        <v>20869.099999999999</v>
      </c>
      <c r="L26" s="111">
        <v>0</v>
      </c>
      <c r="M26" s="62">
        <f t="shared" si="1"/>
        <v>0</v>
      </c>
      <c r="O26" s="26"/>
    </row>
    <row r="27" spans="2:15" s="10" customFormat="1" ht="45" x14ac:dyDescent="0.25">
      <c r="B27" s="76" t="s">
        <v>43</v>
      </c>
      <c r="C27" s="55"/>
      <c r="D27" s="55"/>
      <c r="E27" s="63" t="s">
        <v>44</v>
      </c>
      <c r="F27" s="64" t="s">
        <v>27</v>
      </c>
      <c r="G27" s="65">
        <v>1400</v>
      </c>
      <c r="H27" s="66"/>
      <c r="I27" s="66"/>
      <c r="J27" s="67">
        <v>254.3</v>
      </c>
      <c r="K27" s="68">
        <v>356020</v>
      </c>
      <c r="L27" s="111">
        <v>0</v>
      </c>
      <c r="M27" s="62">
        <f t="shared" si="1"/>
        <v>0</v>
      </c>
      <c r="O27" s="26"/>
    </row>
    <row r="28" spans="2:15" s="10" customFormat="1" ht="45" x14ac:dyDescent="0.25">
      <c r="B28" s="76" t="s">
        <v>45</v>
      </c>
      <c r="C28" s="55"/>
      <c r="D28" s="55"/>
      <c r="E28" s="63" t="s">
        <v>29</v>
      </c>
      <c r="F28" s="64" t="s">
        <v>27</v>
      </c>
      <c r="G28" s="65">
        <v>99</v>
      </c>
      <c r="H28" s="66"/>
      <c r="I28" s="66"/>
      <c r="J28" s="67">
        <v>48.93</v>
      </c>
      <c r="K28" s="68">
        <v>4844.07</v>
      </c>
      <c r="L28" s="129">
        <f>L19</f>
        <v>0</v>
      </c>
      <c r="M28" s="62">
        <f t="shared" si="1"/>
        <v>0</v>
      </c>
      <c r="O28" s="26"/>
    </row>
    <row r="29" spans="2:15" s="10" customFormat="1" ht="60" x14ac:dyDescent="0.25">
      <c r="B29" s="76" t="s">
        <v>46</v>
      </c>
      <c r="C29" s="55"/>
      <c r="D29" s="55"/>
      <c r="E29" s="63" t="s">
        <v>47</v>
      </c>
      <c r="F29" s="64" t="s">
        <v>27</v>
      </c>
      <c r="G29" s="65">
        <v>99</v>
      </c>
      <c r="H29" s="66"/>
      <c r="I29" s="66"/>
      <c r="J29" s="67">
        <v>66.959999999999994</v>
      </c>
      <c r="K29" s="68">
        <v>6629.04</v>
      </c>
      <c r="L29" s="111">
        <v>0</v>
      </c>
      <c r="M29" s="62">
        <f t="shared" si="1"/>
        <v>0</v>
      </c>
      <c r="O29" s="26"/>
    </row>
    <row r="30" spans="2:15" s="10" customFormat="1" ht="17.100000000000001" customHeight="1" x14ac:dyDescent="0.25">
      <c r="B30" s="54"/>
      <c r="C30" s="55"/>
      <c r="D30" s="55"/>
      <c r="E30" s="77"/>
      <c r="F30" s="78"/>
      <c r="G30" s="79"/>
      <c r="H30" s="66"/>
      <c r="I30" s="66"/>
      <c r="J30" s="72" t="s">
        <v>32</v>
      </c>
      <c r="K30" s="73">
        <f>SUM(K23:K29)</f>
        <v>451185.31</v>
      </c>
      <c r="L30" s="73"/>
      <c r="M30" s="80">
        <f>SUM(M23:M29)</f>
        <v>0</v>
      </c>
      <c r="O30" s="26"/>
    </row>
    <row r="31" spans="2:15" s="10" customFormat="1" ht="17.100000000000001" customHeight="1" x14ac:dyDescent="0.25">
      <c r="B31" s="49" t="s">
        <v>48</v>
      </c>
      <c r="C31" s="50"/>
      <c r="D31" s="51"/>
      <c r="E31" s="52" t="s">
        <v>49</v>
      </c>
      <c r="F31" s="52"/>
      <c r="G31" s="81"/>
      <c r="H31" s="52"/>
      <c r="I31" s="52"/>
      <c r="J31" s="52"/>
      <c r="K31" s="52"/>
      <c r="L31" s="53"/>
      <c r="M31" s="52"/>
      <c r="O31" s="26"/>
    </row>
    <row r="32" spans="2:15" s="10" customFormat="1" ht="60" x14ac:dyDescent="0.25">
      <c r="B32" s="76" t="s">
        <v>50</v>
      </c>
      <c r="C32" s="55"/>
      <c r="D32" s="55"/>
      <c r="E32" s="63" t="s">
        <v>51</v>
      </c>
      <c r="F32" s="64" t="s">
        <v>27</v>
      </c>
      <c r="G32" s="65">
        <v>80.599999999999994</v>
      </c>
      <c r="H32" s="66"/>
      <c r="I32" s="66"/>
      <c r="J32" s="67">
        <v>146.15</v>
      </c>
      <c r="K32" s="68">
        <v>11779.69</v>
      </c>
      <c r="L32" s="112">
        <v>0</v>
      </c>
      <c r="M32" s="62">
        <f>ROUND(G32*L32,2)</f>
        <v>0</v>
      </c>
      <c r="O32" s="26"/>
    </row>
    <row r="33" spans="2:15" s="10" customFormat="1" ht="30" x14ac:dyDescent="0.25">
      <c r="B33" s="76" t="s">
        <v>52</v>
      </c>
      <c r="C33" s="55"/>
      <c r="D33" s="55"/>
      <c r="E33" s="63" t="s">
        <v>53</v>
      </c>
      <c r="F33" s="64" t="s">
        <v>54</v>
      </c>
      <c r="G33" s="65">
        <v>124</v>
      </c>
      <c r="H33" s="66"/>
      <c r="I33" s="66"/>
      <c r="J33" s="67">
        <v>29.52</v>
      </c>
      <c r="K33" s="68">
        <v>3660.48</v>
      </c>
      <c r="L33" s="112">
        <v>0</v>
      </c>
      <c r="M33" s="62">
        <f t="shared" ref="M33:M36" si="2">ROUND(G33*L33,2)</f>
        <v>0</v>
      </c>
      <c r="O33" s="26"/>
    </row>
    <row r="34" spans="2:15" s="10" customFormat="1" ht="30" x14ac:dyDescent="0.25">
      <c r="B34" s="76" t="s">
        <v>55</v>
      </c>
      <c r="C34" s="55"/>
      <c r="D34" s="55"/>
      <c r="E34" s="63" t="s">
        <v>56</v>
      </c>
      <c r="F34" s="64" t="s">
        <v>54</v>
      </c>
      <c r="G34" s="65">
        <v>280.2</v>
      </c>
      <c r="H34" s="66"/>
      <c r="I34" s="66"/>
      <c r="J34" s="67">
        <v>23.73</v>
      </c>
      <c r="K34" s="68">
        <v>6649.15</v>
      </c>
      <c r="L34" s="112">
        <v>0</v>
      </c>
      <c r="M34" s="62">
        <f t="shared" si="2"/>
        <v>0</v>
      </c>
      <c r="O34" s="26"/>
    </row>
    <row r="35" spans="2:15" s="10" customFormat="1" ht="60" x14ac:dyDescent="0.25">
      <c r="B35" s="76" t="s">
        <v>57</v>
      </c>
      <c r="C35" s="55"/>
      <c r="D35" s="55"/>
      <c r="E35" s="63" t="s">
        <v>58</v>
      </c>
      <c r="F35" s="64" t="s">
        <v>24</v>
      </c>
      <c r="G35" s="65">
        <v>6.05</v>
      </c>
      <c r="H35" s="66"/>
      <c r="I35" s="66"/>
      <c r="J35" s="67">
        <v>942.63</v>
      </c>
      <c r="K35" s="68">
        <v>5702.91</v>
      </c>
      <c r="L35" s="112">
        <v>0</v>
      </c>
      <c r="M35" s="62">
        <f t="shared" si="2"/>
        <v>0</v>
      </c>
      <c r="O35" s="26"/>
    </row>
    <row r="36" spans="2:15" s="10" customFormat="1" ht="45" x14ac:dyDescent="0.25">
      <c r="B36" s="76" t="s">
        <v>59</v>
      </c>
      <c r="C36" s="55"/>
      <c r="D36" s="55"/>
      <c r="E36" s="63" t="s">
        <v>60</v>
      </c>
      <c r="F36" s="64" t="s">
        <v>61</v>
      </c>
      <c r="G36" s="65">
        <v>60</v>
      </c>
      <c r="H36" s="66"/>
      <c r="I36" s="66"/>
      <c r="J36" s="67">
        <v>287.12</v>
      </c>
      <c r="K36" s="68">
        <v>17227.2</v>
      </c>
      <c r="L36" s="112">
        <v>0</v>
      </c>
      <c r="M36" s="62">
        <f t="shared" si="2"/>
        <v>0</v>
      </c>
      <c r="O36" s="26"/>
    </row>
    <row r="37" spans="2:15" s="10" customFormat="1" ht="17.100000000000001" customHeight="1" x14ac:dyDescent="0.25">
      <c r="B37" s="82"/>
      <c r="C37" s="55"/>
      <c r="D37" s="55"/>
      <c r="E37" s="83"/>
      <c r="F37" s="82"/>
      <c r="G37" s="84"/>
      <c r="H37" s="66"/>
      <c r="I37" s="66"/>
      <c r="J37" s="72" t="s">
        <v>32</v>
      </c>
      <c r="K37" s="73">
        <f>SUM(K32:K36)</f>
        <v>45019.43</v>
      </c>
      <c r="L37" s="73"/>
      <c r="M37" s="80">
        <f>SUM(M32:M36)</f>
        <v>0</v>
      </c>
      <c r="O37" s="26"/>
    </row>
    <row r="38" spans="2:15" s="10" customFormat="1" ht="17.100000000000001" customHeight="1" x14ac:dyDescent="0.25">
      <c r="B38" s="49" t="s">
        <v>62</v>
      </c>
      <c r="C38" s="50"/>
      <c r="D38" s="51"/>
      <c r="E38" s="52" t="s">
        <v>63</v>
      </c>
      <c r="F38" s="52"/>
      <c r="G38" s="81"/>
      <c r="H38" s="52"/>
      <c r="I38" s="52"/>
      <c r="J38" s="52"/>
      <c r="K38" s="52"/>
      <c r="L38" s="53"/>
      <c r="M38" s="52"/>
      <c r="O38" s="26"/>
    </row>
    <row r="39" spans="2:15" s="10" customFormat="1" ht="60" x14ac:dyDescent="0.25">
      <c r="B39" s="69" t="s">
        <v>64</v>
      </c>
      <c r="C39" s="55"/>
      <c r="D39" s="55"/>
      <c r="E39" s="63" t="s">
        <v>65</v>
      </c>
      <c r="F39" s="64" t="s">
        <v>27</v>
      </c>
      <c r="G39" s="65">
        <v>80</v>
      </c>
      <c r="H39" s="66"/>
      <c r="I39" s="66"/>
      <c r="J39" s="67">
        <v>101.8</v>
      </c>
      <c r="K39" s="68">
        <v>8144</v>
      </c>
      <c r="L39" s="111">
        <v>0</v>
      </c>
      <c r="M39" s="62">
        <f>ROUND(G39*L39,2)</f>
        <v>0</v>
      </c>
      <c r="O39" s="26"/>
    </row>
    <row r="40" spans="2:15" s="10" customFormat="1" ht="90" x14ac:dyDescent="0.25">
      <c r="B40" s="69" t="s">
        <v>66</v>
      </c>
      <c r="C40" s="55"/>
      <c r="D40" s="55"/>
      <c r="E40" s="63" t="s">
        <v>67</v>
      </c>
      <c r="F40" s="64" t="s">
        <v>27</v>
      </c>
      <c r="G40" s="65">
        <v>444</v>
      </c>
      <c r="H40" s="66"/>
      <c r="I40" s="66"/>
      <c r="J40" s="67">
        <v>263.62</v>
      </c>
      <c r="K40" s="68">
        <v>117047.28</v>
      </c>
      <c r="L40" s="111">
        <v>0</v>
      </c>
      <c r="M40" s="62">
        <f>ROUND(G40*L40,2)</f>
        <v>0</v>
      </c>
      <c r="O40" s="26"/>
    </row>
    <row r="41" spans="2:15" s="10" customFormat="1" ht="17.100000000000001" customHeight="1" x14ac:dyDescent="0.25">
      <c r="B41" s="69"/>
      <c r="C41" s="55"/>
      <c r="D41" s="55"/>
      <c r="E41" s="70"/>
      <c r="F41" s="71"/>
      <c r="G41" s="64"/>
      <c r="H41" s="66"/>
      <c r="I41" s="66"/>
      <c r="J41" s="72" t="s">
        <v>32</v>
      </c>
      <c r="K41" s="73">
        <f>SUM(K39:K40)</f>
        <v>125191.28</v>
      </c>
      <c r="L41" s="73"/>
      <c r="M41" s="80">
        <f>SUM(M39:M40)</f>
        <v>0</v>
      </c>
      <c r="O41" s="26"/>
    </row>
    <row r="42" spans="2:15" s="10" customFormat="1" ht="17.100000000000001" customHeight="1" x14ac:dyDescent="0.25">
      <c r="B42" s="49" t="s">
        <v>68</v>
      </c>
      <c r="C42" s="50"/>
      <c r="D42" s="51"/>
      <c r="E42" s="52" t="s">
        <v>69</v>
      </c>
      <c r="F42" s="52"/>
      <c r="G42" s="81"/>
      <c r="H42" s="52"/>
      <c r="I42" s="52"/>
      <c r="J42" s="52"/>
      <c r="K42" s="52"/>
      <c r="L42" s="53"/>
      <c r="M42" s="52"/>
      <c r="O42" s="26"/>
    </row>
    <row r="43" spans="2:15" s="10" customFormat="1" ht="45" x14ac:dyDescent="0.25">
      <c r="B43" s="76" t="s">
        <v>70</v>
      </c>
      <c r="C43" s="55"/>
      <c r="D43" s="55"/>
      <c r="E43" s="63" t="s">
        <v>71</v>
      </c>
      <c r="F43" s="64" t="s">
        <v>27</v>
      </c>
      <c r="G43" s="65">
        <v>160</v>
      </c>
      <c r="H43" s="66"/>
      <c r="I43" s="66"/>
      <c r="J43" s="67">
        <v>6.74</v>
      </c>
      <c r="K43" s="68">
        <v>1078.4000000000001</v>
      </c>
      <c r="L43" s="111">
        <v>0</v>
      </c>
      <c r="M43" s="62">
        <f>ROUND(G43*L43,2)</f>
        <v>0</v>
      </c>
      <c r="O43" s="26"/>
    </row>
    <row r="44" spans="2:15" s="10" customFormat="1" ht="75" x14ac:dyDescent="0.25">
      <c r="B44" s="76" t="s">
        <v>72</v>
      </c>
      <c r="C44" s="55"/>
      <c r="D44" s="55"/>
      <c r="E44" s="63" t="s">
        <v>73</v>
      </c>
      <c r="F44" s="64" t="s">
        <v>27</v>
      </c>
      <c r="G44" s="65">
        <v>160</v>
      </c>
      <c r="H44" s="66"/>
      <c r="I44" s="66"/>
      <c r="J44" s="67">
        <v>56.76</v>
      </c>
      <c r="K44" s="68">
        <v>9081.6</v>
      </c>
      <c r="L44" s="111">
        <v>0</v>
      </c>
      <c r="M44" s="62">
        <f>ROUND(G44*L44,2)</f>
        <v>0</v>
      </c>
      <c r="O44" s="26"/>
    </row>
    <row r="45" spans="2:15" s="10" customFormat="1" ht="17.100000000000001" customHeight="1" x14ac:dyDescent="0.25">
      <c r="B45" s="69"/>
      <c r="C45" s="55"/>
      <c r="D45" s="55"/>
      <c r="E45" s="70"/>
      <c r="F45" s="71"/>
      <c r="G45" s="64"/>
      <c r="H45" s="66"/>
      <c r="I45" s="66"/>
      <c r="J45" s="72" t="s">
        <v>32</v>
      </c>
      <c r="K45" s="73">
        <f>SUM(K43:K44)</f>
        <v>10160</v>
      </c>
      <c r="L45" s="73"/>
      <c r="M45" s="80">
        <f>SUM(M43:M44)</f>
        <v>0</v>
      </c>
      <c r="O45" s="26"/>
    </row>
    <row r="46" spans="2:15" s="10" customFormat="1" ht="17.100000000000001" customHeight="1" x14ac:dyDescent="0.25">
      <c r="B46" s="49" t="s">
        <v>74</v>
      </c>
      <c r="C46" s="50"/>
      <c r="D46" s="51"/>
      <c r="E46" s="52" t="s">
        <v>75</v>
      </c>
      <c r="F46" s="52"/>
      <c r="G46" s="81"/>
      <c r="H46" s="52"/>
      <c r="I46" s="52"/>
      <c r="J46" s="52"/>
      <c r="K46" s="52"/>
      <c r="L46" s="53"/>
      <c r="M46" s="52"/>
      <c r="O46" s="26"/>
    </row>
    <row r="47" spans="2:15" s="10" customFormat="1" ht="30" x14ac:dyDescent="0.25">
      <c r="B47" s="76" t="s">
        <v>76</v>
      </c>
      <c r="C47" s="55"/>
      <c r="D47" s="55"/>
      <c r="E47" s="63" t="s">
        <v>77</v>
      </c>
      <c r="F47" s="64" t="s">
        <v>27</v>
      </c>
      <c r="G47" s="65">
        <v>160</v>
      </c>
      <c r="H47" s="66"/>
      <c r="I47" s="66"/>
      <c r="J47" s="67">
        <v>15.51</v>
      </c>
      <c r="K47" s="68">
        <v>2481.6</v>
      </c>
      <c r="L47" s="111">
        <v>0</v>
      </c>
      <c r="M47" s="62">
        <f>ROUND(G47*L47,2)</f>
        <v>0</v>
      </c>
      <c r="O47" s="26"/>
    </row>
    <row r="48" spans="2:15" s="10" customFormat="1" ht="60" x14ac:dyDescent="0.25">
      <c r="B48" s="76" t="s">
        <v>78</v>
      </c>
      <c r="C48" s="55"/>
      <c r="D48" s="55"/>
      <c r="E48" s="63" t="s">
        <v>79</v>
      </c>
      <c r="F48" s="64" t="s">
        <v>27</v>
      </c>
      <c r="G48" s="65">
        <v>888</v>
      </c>
      <c r="H48" s="66"/>
      <c r="I48" s="66"/>
      <c r="J48" s="67">
        <v>40.57</v>
      </c>
      <c r="K48" s="68">
        <v>36026.160000000003</v>
      </c>
      <c r="L48" s="111">
        <v>0</v>
      </c>
      <c r="M48" s="62">
        <f>ROUND(G48*L48,2)</f>
        <v>0</v>
      </c>
      <c r="O48" s="26"/>
    </row>
    <row r="49" spans="2:15" s="10" customFormat="1" ht="17.100000000000001" customHeight="1" x14ac:dyDescent="0.25">
      <c r="B49" s="69"/>
      <c r="C49" s="55"/>
      <c r="D49" s="55"/>
      <c r="E49" s="70"/>
      <c r="F49" s="71"/>
      <c r="G49" s="64"/>
      <c r="H49" s="66"/>
      <c r="I49" s="66"/>
      <c r="J49" s="72" t="s">
        <v>32</v>
      </c>
      <c r="K49" s="73">
        <f>SUM(K47:K48)</f>
        <v>38507.760000000002</v>
      </c>
      <c r="L49" s="73"/>
      <c r="M49" s="80">
        <f>SUM(M47:M48)</f>
        <v>0</v>
      </c>
      <c r="O49" s="26"/>
    </row>
    <row r="50" spans="2:15" s="10" customFormat="1" ht="17.100000000000001" customHeight="1" x14ac:dyDescent="0.25">
      <c r="B50" s="49" t="s">
        <v>80</v>
      </c>
      <c r="C50" s="50"/>
      <c r="D50" s="51"/>
      <c r="E50" s="52" t="s">
        <v>81</v>
      </c>
      <c r="F50" s="52"/>
      <c r="G50" s="81"/>
      <c r="H50" s="52"/>
      <c r="I50" s="52"/>
      <c r="J50" s="52"/>
      <c r="K50" s="52"/>
      <c r="L50" s="53"/>
      <c r="M50" s="52"/>
      <c r="O50" s="26"/>
    </row>
    <row r="51" spans="2:15" s="10" customFormat="1" ht="75" x14ac:dyDescent="0.25">
      <c r="B51" s="76" t="s">
        <v>82</v>
      </c>
      <c r="C51" s="55"/>
      <c r="D51" s="55"/>
      <c r="E51" s="63" t="s">
        <v>83</v>
      </c>
      <c r="F51" s="64" t="s">
        <v>84</v>
      </c>
      <c r="G51" s="65">
        <v>1</v>
      </c>
      <c r="H51" s="66"/>
      <c r="I51" s="66"/>
      <c r="J51" s="67">
        <v>5535.5</v>
      </c>
      <c r="K51" s="68">
        <v>5535.5</v>
      </c>
      <c r="L51" s="111">
        <v>0</v>
      </c>
      <c r="M51" s="62">
        <f>ROUND(G51*L51,2)</f>
        <v>0</v>
      </c>
      <c r="O51" s="26"/>
    </row>
    <row r="52" spans="2:15" s="10" customFormat="1" ht="17.100000000000001" customHeight="1" x14ac:dyDescent="0.25">
      <c r="B52" s="85"/>
      <c r="C52" s="55"/>
      <c r="D52" s="55"/>
      <c r="E52" s="86"/>
      <c r="F52" s="87"/>
      <c r="G52" s="88"/>
      <c r="H52" s="66"/>
      <c r="I52" s="66"/>
      <c r="J52" s="72" t="s">
        <v>32</v>
      </c>
      <c r="K52" s="73">
        <f>SUM(K51)</f>
        <v>5535.5</v>
      </c>
      <c r="L52" s="73"/>
      <c r="M52" s="80">
        <f>SUM(M51)</f>
        <v>0</v>
      </c>
    </row>
    <row r="53" spans="2:15" s="10" customFormat="1" ht="17.100000000000001" customHeight="1" x14ac:dyDescent="0.25">
      <c r="B53" s="85"/>
      <c r="C53" s="55"/>
      <c r="D53" s="55"/>
      <c r="E53" s="86"/>
      <c r="F53" s="87"/>
      <c r="G53" s="88"/>
      <c r="H53" s="66"/>
      <c r="I53" s="66"/>
      <c r="J53" s="67"/>
      <c r="K53" s="68"/>
      <c r="L53" s="89"/>
      <c r="M53" s="62"/>
    </row>
    <row r="54" spans="2:15" s="10" customFormat="1" ht="17.100000000000001" customHeight="1" x14ac:dyDescent="0.25">
      <c r="B54" s="85"/>
      <c r="C54" s="55"/>
      <c r="D54" s="55"/>
      <c r="E54" s="86"/>
      <c r="F54" s="146" t="s">
        <v>85</v>
      </c>
      <c r="G54" s="147"/>
      <c r="H54" s="147"/>
      <c r="I54" s="147"/>
      <c r="J54" s="148"/>
      <c r="K54" s="90">
        <f>SUM(K21,K30,K37,K41,K45,K49,K52)</f>
        <v>691387.01</v>
      </c>
      <c r="L54" s="90"/>
      <c r="M54" s="91">
        <f>SUM(M21,M30,M37,M41,M45,M49,M52)</f>
        <v>0</v>
      </c>
    </row>
    <row r="55" spans="2:15" s="10" customFormat="1" ht="17.100000000000001" customHeight="1" x14ac:dyDescent="0.25">
      <c r="B55" s="85"/>
      <c r="C55" s="55"/>
      <c r="D55" s="55"/>
      <c r="E55" s="86"/>
      <c r="F55" s="87"/>
      <c r="G55" s="88"/>
      <c r="H55" s="66"/>
      <c r="I55" s="66"/>
      <c r="J55" s="67"/>
      <c r="K55" s="92"/>
      <c r="L55" s="93"/>
      <c r="M55" s="94"/>
    </row>
    <row r="56" spans="2:15" s="10" customFormat="1" ht="17.100000000000001" customHeight="1" x14ac:dyDescent="0.25"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</row>
    <row r="57" spans="2:15" s="10" customFormat="1" ht="33" customHeight="1" x14ac:dyDescent="0.25">
      <c r="B57" s="150" t="s">
        <v>86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2"/>
    </row>
    <row r="58" spans="2:15" s="10" customFormat="1" x14ac:dyDescent="0.25"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</row>
    <row r="59" spans="2:15" s="10" customFormat="1" ht="33" customHeight="1" x14ac:dyDescent="0.25">
      <c r="B59" s="159" t="s">
        <v>8</v>
      </c>
      <c r="C59" s="161" t="s">
        <v>9</v>
      </c>
      <c r="D59" s="159" t="s">
        <v>10</v>
      </c>
      <c r="E59" s="159" t="s">
        <v>11</v>
      </c>
      <c r="F59" s="159" t="s">
        <v>12</v>
      </c>
      <c r="G59" s="140" t="s">
        <v>13</v>
      </c>
      <c r="H59" s="42"/>
      <c r="I59" s="42"/>
      <c r="J59" s="142" t="s">
        <v>14</v>
      </c>
      <c r="K59" s="143"/>
      <c r="L59" s="144" t="s">
        <v>15</v>
      </c>
      <c r="M59" s="145"/>
    </row>
    <row r="60" spans="2:15" s="10" customFormat="1" ht="33" customHeight="1" x14ac:dyDescent="0.25">
      <c r="B60" s="160"/>
      <c r="C60" s="162"/>
      <c r="D60" s="160"/>
      <c r="E60" s="160"/>
      <c r="F60" s="160"/>
      <c r="G60" s="141"/>
      <c r="H60" s="43" t="s">
        <v>16</v>
      </c>
      <c r="I60" s="44" t="s">
        <v>17</v>
      </c>
      <c r="J60" s="45" t="s">
        <v>18</v>
      </c>
      <c r="K60" s="46" t="s">
        <v>19</v>
      </c>
      <c r="L60" s="47" t="s">
        <v>18</v>
      </c>
      <c r="M60" s="48" t="s">
        <v>19</v>
      </c>
    </row>
    <row r="61" spans="2:15" s="10" customFormat="1" ht="17.100000000000001" customHeight="1" x14ac:dyDescent="0.25">
      <c r="B61" s="49" t="s">
        <v>87</v>
      </c>
      <c r="C61" s="50"/>
      <c r="D61" s="51"/>
      <c r="E61" s="52" t="s">
        <v>21</v>
      </c>
      <c r="F61" s="52"/>
      <c r="G61" s="81"/>
      <c r="H61" s="52"/>
      <c r="I61" s="52"/>
      <c r="J61" s="52"/>
      <c r="K61" s="52"/>
      <c r="L61" s="53"/>
      <c r="M61" s="52"/>
    </row>
    <row r="62" spans="2:15" s="10" customFormat="1" x14ac:dyDescent="0.25">
      <c r="B62" s="76" t="s">
        <v>88</v>
      </c>
      <c r="C62" s="55"/>
      <c r="D62" s="55"/>
      <c r="E62" s="63" t="s">
        <v>23</v>
      </c>
      <c r="F62" s="64" t="s">
        <v>24</v>
      </c>
      <c r="G62" s="65">
        <v>10.5</v>
      </c>
      <c r="H62" s="66"/>
      <c r="I62" s="66"/>
      <c r="J62" s="67">
        <v>98.77</v>
      </c>
      <c r="K62" s="68">
        <v>1037.0899999999999</v>
      </c>
      <c r="L62" s="129">
        <f>L17</f>
        <v>0</v>
      </c>
      <c r="M62" s="62">
        <f>ROUND(G62*L62,2)</f>
        <v>0</v>
      </c>
    </row>
    <row r="63" spans="2:15" s="10" customFormat="1" ht="30" x14ac:dyDescent="0.25">
      <c r="B63" s="76" t="s">
        <v>89</v>
      </c>
      <c r="C63" s="55"/>
      <c r="D63" s="55"/>
      <c r="E63" s="63" t="s">
        <v>26</v>
      </c>
      <c r="F63" s="64" t="s">
        <v>27</v>
      </c>
      <c r="G63" s="65">
        <v>30</v>
      </c>
      <c r="H63" s="66"/>
      <c r="I63" s="66"/>
      <c r="J63" s="67">
        <v>1.06</v>
      </c>
      <c r="K63" s="68">
        <v>31.8</v>
      </c>
      <c r="L63" s="129">
        <f>L18</f>
        <v>0</v>
      </c>
      <c r="M63" s="62">
        <f t="shared" ref="M63:M65" si="3">ROUND(G63*L63,2)</f>
        <v>0</v>
      </c>
    </row>
    <row r="64" spans="2:15" s="10" customFormat="1" ht="45" x14ac:dyDescent="0.25">
      <c r="B64" s="76" t="s">
        <v>90</v>
      </c>
      <c r="C64" s="55"/>
      <c r="D64" s="55"/>
      <c r="E64" s="63" t="s">
        <v>29</v>
      </c>
      <c r="F64" s="64" t="s">
        <v>27</v>
      </c>
      <c r="G64" s="65">
        <v>18</v>
      </c>
      <c r="H64" s="66"/>
      <c r="I64" s="66"/>
      <c r="J64" s="67">
        <v>48.93</v>
      </c>
      <c r="K64" s="68">
        <v>880.74</v>
      </c>
      <c r="L64" s="129">
        <f>L19</f>
        <v>0</v>
      </c>
      <c r="M64" s="62">
        <f t="shared" si="3"/>
        <v>0</v>
      </c>
    </row>
    <row r="65" spans="2:13" s="10" customFormat="1" ht="30" x14ac:dyDescent="0.25">
      <c r="B65" s="76" t="s">
        <v>91</v>
      </c>
      <c r="C65" s="55"/>
      <c r="D65" s="55"/>
      <c r="E65" s="63" t="s">
        <v>31</v>
      </c>
      <c r="F65" s="64" t="s">
        <v>27</v>
      </c>
      <c r="G65" s="65">
        <v>24</v>
      </c>
      <c r="H65" s="66"/>
      <c r="I65" s="66"/>
      <c r="J65" s="67">
        <v>134.74</v>
      </c>
      <c r="K65" s="68">
        <v>3233.76</v>
      </c>
      <c r="L65" s="129">
        <f>L20</f>
        <v>0</v>
      </c>
      <c r="M65" s="62">
        <f t="shared" si="3"/>
        <v>0</v>
      </c>
    </row>
    <row r="66" spans="2:13" s="10" customFormat="1" ht="17.100000000000001" customHeight="1" x14ac:dyDescent="0.25">
      <c r="B66" s="69"/>
      <c r="C66" s="55"/>
      <c r="D66" s="55"/>
      <c r="E66" s="70"/>
      <c r="F66" s="69"/>
      <c r="G66" s="64"/>
      <c r="H66" s="66"/>
      <c r="I66" s="66"/>
      <c r="J66" s="72" t="s">
        <v>32</v>
      </c>
      <c r="K66" s="73">
        <f>SUM(K62:K65)</f>
        <v>5183.3900000000003</v>
      </c>
      <c r="L66" s="95"/>
      <c r="M66" s="80">
        <f>SUM(M62:M65)</f>
        <v>0</v>
      </c>
    </row>
    <row r="67" spans="2:13" s="10" customFormat="1" ht="17.100000000000001" customHeight="1" x14ac:dyDescent="0.25">
      <c r="B67" s="49" t="s">
        <v>92</v>
      </c>
      <c r="C67" s="50"/>
      <c r="D67" s="51"/>
      <c r="E67" s="52" t="s">
        <v>34</v>
      </c>
      <c r="F67" s="52"/>
      <c r="G67" s="81"/>
      <c r="H67" s="52"/>
      <c r="I67" s="52"/>
      <c r="J67" s="52"/>
      <c r="K67" s="52"/>
      <c r="L67" s="53"/>
      <c r="M67" s="52"/>
    </row>
    <row r="68" spans="2:13" s="10" customFormat="1" ht="30" x14ac:dyDescent="0.25">
      <c r="B68" s="76" t="s">
        <v>93</v>
      </c>
      <c r="C68" s="55"/>
      <c r="D68" s="55"/>
      <c r="E68" s="63" t="s">
        <v>94</v>
      </c>
      <c r="F68" s="64" t="s">
        <v>27</v>
      </c>
      <c r="G68" s="65">
        <v>221</v>
      </c>
      <c r="H68" s="66"/>
      <c r="I68" s="66"/>
      <c r="J68" s="67">
        <v>3.95</v>
      </c>
      <c r="K68" s="68">
        <v>872.95</v>
      </c>
      <c r="L68" s="129">
        <f>L23</f>
        <v>0</v>
      </c>
      <c r="M68" s="62">
        <f>ROUND(G68*L68,2)</f>
        <v>0</v>
      </c>
    </row>
    <row r="69" spans="2:13" s="10" customFormat="1" ht="45" x14ac:dyDescent="0.25">
      <c r="B69" s="76" t="s">
        <v>95</v>
      </c>
      <c r="C69" s="55"/>
      <c r="D69" s="55"/>
      <c r="E69" s="63" t="s">
        <v>29</v>
      </c>
      <c r="F69" s="64" t="s">
        <v>27</v>
      </c>
      <c r="G69" s="65">
        <v>221</v>
      </c>
      <c r="H69" s="66"/>
      <c r="I69" s="66"/>
      <c r="J69" s="67">
        <v>48.93</v>
      </c>
      <c r="K69" s="68">
        <v>10813.53</v>
      </c>
      <c r="L69" s="129">
        <f>L19</f>
        <v>0</v>
      </c>
      <c r="M69" s="62">
        <f t="shared" ref="M69:M71" si="4">ROUND(G69*L69,2)</f>
        <v>0</v>
      </c>
    </row>
    <row r="70" spans="2:13" s="10" customFormat="1" ht="60" x14ac:dyDescent="0.25">
      <c r="B70" s="76" t="s">
        <v>96</v>
      </c>
      <c r="C70" s="55"/>
      <c r="D70" s="55"/>
      <c r="E70" s="63" t="s">
        <v>97</v>
      </c>
      <c r="F70" s="64" t="s">
        <v>27</v>
      </c>
      <c r="G70" s="65">
        <v>221</v>
      </c>
      <c r="H70" s="66"/>
      <c r="I70" s="66"/>
      <c r="J70" s="67">
        <v>130.96</v>
      </c>
      <c r="K70" s="68">
        <v>28942.16</v>
      </c>
      <c r="L70" s="111">
        <v>0</v>
      </c>
      <c r="M70" s="62">
        <f t="shared" si="4"/>
        <v>0</v>
      </c>
    </row>
    <row r="71" spans="2:13" s="10" customFormat="1" ht="60" x14ac:dyDescent="0.25">
      <c r="B71" s="76" t="s">
        <v>98</v>
      </c>
      <c r="C71" s="55"/>
      <c r="D71" s="55"/>
      <c r="E71" s="63" t="s">
        <v>99</v>
      </c>
      <c r="F71" s="64" t="s">
        <v>27</v>
      </c>
      <c r="G71" s="65">
        <v>221</v>
      </c>
      <c r="H71" s="66"/>
      <c r="I71" s="66"/>
      <c r="J71" s="67">
        <v>569.63</v>
      </c>
      <c r="K71" s="68">
        <v>125888.23</v>
      </c>
      <c r="L71" s="111">
        <v>0</v>
      </c>
      <c r="M71" s="62">
        <f t="shared" si="4"/>
        <v>0</v>
      </c>
    </row>
    <row r="72" spans="2:13" s="10" customFormat="1" ht="17.100000000000001" customHeight="1" x14ac:dyDescent="0.25">
      <c r="B72" s="69"/>
      <c r="C72" s="55"/>
      <c r="D72" s="55"/>
      <c r="E72" s="70"/>
      <c r="F72" s="71"/>
      <c r="G72" s="64"/>
      <c r="H72" s="66"/>
      <c r="I72" s="66"/>
      <c r="J72" s="72" t="s">
        <v>32</v>
      </c>
      <c r="K72" s="73">
        <f>SUM(K68:K71)</f>
        <v>166516.87</v>
      </c>
      <c r="L72" s="73"/>
      <c r="M72" s="80">
        <f>SUM(M68:M71)</f>
        <v>0</v>
      </c>
    </row>
    <row r="73" spans="2:13" s="10" customFormat="1" ht="15.75" x14ac:dyDescent="0.25">
      <c r="B73" s="49" t="s">
        <v>100</v>
      </c>
      <c r="C73" s="50"/>
      <c r="D73" s="51"/>
      <c r="E73" s="52" t="s">
        <v>81</v>
      </c>
      <c r="F73" s="52"/>
      <c r="G73" s="81"/>
      <c r="H73" s="52"/>
      <c r="I73" s="52"/>
      <c r="J73" s="52"/>
      <c r="K73" s="52"/>
      <c r="L73" s="53"/>
      <c r="M73" s="52"/>
    </row>
    <row r="74" spans="2:13" s="10" customFormat="1" ht="45" x14ac:dyDescent="0.25">
      <c r="B74" s="76" t="s">
        <v>101</v>
      </c>
      <c r="C74" s="55"/>
      <c r="D74" s="55"/>
      <c r="E74" s="63" t="s">
        <v>102</v>
      </c>
      <c r="F74" s="64" t="s">
        <v>84</v>
      </c>
      <c r="G74" s="65">
        <v>1</v>
      </c>
      <c r="H74" s="66"/>
      <c r="I74" s="66"/>
      <c r="J74" s="67">
        <v>4714.84</v>
      </c>
      <c r="K74" s="68">
        <v>4714.84</v>
      </c>
      <c r="L74" s="111">
        <v>0</v>
      </c>
      <c r="M74" s="62">
        <f>ROUND(G74*L74,2)</f>
        <v>0</v>
      </c>
    </row>
    <row r="75" spans="2:13" s="10" customFormat="1" ht="17.100000000000001" customHeight="1" x14ac:dyDescent="0.25">
      <c r="B75" s="85"/>
      <c r="C75" s="55"/>
      <c r="D75" s="55"/>
      <c r="E75" s="86"/>
      <c r="F75" s="87"/>
      <c r="G75" s="88"/>
      <c r="H75" s="66"/>
      <c r="I75" s="66"/>
      <c r="J75" s="72" t="s">
        <v>32</v>
      </c>
      <c r="K75" s="73">
        <f>SUM(K74)</f>
        <v>4714.84</v>
      </c>
      <c r="L75" s="73"/>
      <c r="M75" s="80">
        <f>SUM(M74)</f>
        <v>0</v>
      </c>
    </row>
    <row r="76" spans="2:13" s="10" customFormat="1" ht="17.100000000000001" customHeight="1" x14ac:dyDescent="0.25">
      <c r="B76" s="85"/>
      <c r="C76" s="55"/>
      <c r="D76" s="55"/>
      <c r="E76" s="86"/>
      <c r="F76" s="87"/>
      <c r="G76" s="88"/>
      <c r="H76" s="66"/>
      <c r="I76" s="66"/>
      <c r="J76" s="67"/>
      <c r="K76" s="68"/>
      <c r="L76" s="89"/>
      <c r="M76" s="62"/>
    </row>
    <row r="77" spans="2:13" s="10" customFormat="1" ht="17.100000000000001" customHeight="1" x14ac:dyDescent="0.25">
      <c r="B77" s="85"/>
      <c r="C77" s="55"/>
      <c r="D77" s="55"/>
      <c r="E77" s="86"/>
      <c r="F77" s="146" t="s">
        <v>103</v>
      </c>
      <c r="G77" s="147"/>
      <c r="H77" s="147"/>
      <c r="I77" s="147"/>
      <c r="J77" s="148"/>
      <c r="K77" s="90">
        <f>SUM(K66,K72,K75)</f>
        <v>176415.1</v>
      </c>
      <c r="L77" s="90"/>
      <c r="M77" s="91">
        <f>SUM(M66,M72,M75)</f>
        <v>0</v>
      </c>
    </row>
    <row r="78" spans="2:13" s="10" customFormat="1" ht="17.100000000000001" customHeight="1" x14ac:dyDescent="0.25">
      <c r="B78" s="85"/>
      <c r="C78" s="55"/>
      <c r="D78" s="55"/>
      <c r="E78" s="86"/>
      <c r="F78" s="87"/>
      <c r="G78" s="88"/>
      <c r="H78" s="66"/>
      <c r="I78" s="66"/>
      <c r="J78" s="67"/>
      <c r="K78" s="92"/>
      <c r="L78" s="93"/>
      <c r="M78" s="94"/>
    </row>
    <row r="79" spans="2:13" s="10" customFormat="1" ht="17.100000000000001" customHeight="1" x14ac:dyDescent="0.25"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</row>
    <row r="80" spans="2:13" s="10" customFormat="1" ht="33" customHeight="1" x14ac:dyDescent="0.25">
      <c r="B80" s="150" t="s">
        <v>104</v>
      </c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2"/>
    </row>
    <row r="81" spans="2:13" s="10" customFormat="1" x14ac:dyDescent="0.25"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</row>
    <row r="82" spans="2:13" s="10" customFormat="1" ht="17.100000000000001" customHeight="1" x14ac:dyDescent="0.25">
      <c r="B82" s="159" t="s">
        <v>8</v>
      </c>
      <c r="C82" s="161" t="s">
        <v>9</v>
      </c>
      <c r="D82" s="159" t="s">
        <v>10</v>
      </c>
      <c r="E82" s="159" t="s">
        <v>11</v>
      </c>
      <c r="F82" s="159" t="s">
        <v>12</v>
      </c>
      <c r="G82" s="140" t="s">
        <v>13</v>
      </c>
      <c r="H82" s="42"/>
      <c r="I82" s="42"/>
      <c r="J82" s="142" t="s">
        <v>14</v>
      </c>
      <c r="K82" s="143"/>
      <c r="L82" s="144" t="s">
        <v>15</v>
      </c>
      <c r="M82" s="145"/>
    </row>
    <row r="83" spans="2:13" s="10" customFormat="1" ht="31.5" x14ac:dyDescent="0.25">
      <c r="B83" s="160"/>
      <c r="C83" s="162"/>
      <c r="D83" s="160"/>
      <c r="E83" s="160"/>
      <c r="F83" s="160"/>
      <c r="G83" s="141"/>
      <c r="H83" s="43" t="s">
        <v>16</v>
      </c>
      <c r="I83" s="44" t="s">
        <v>17</v>
      </c>
      <c r="J83" s="45" t="s">
        <v>18</v>
      </c>
      <c r="K83" s="46" t="s">
        <v>19</v>
      </c>
      <c r="L83" s="47" t="s">
        <v>18</v>
      </c>
      <c r="M83" s="48" t="s">
        <v>19</v>
      </c>
    </row>
    <row r="84" spans="2:13" s="10" customFormat="1" ht="17.100000000000001" customHeight="1" x14ac:dyDescent="0.25">
      <c r="B84" s="49" t="s">
        <v>105</v>
      </c>
      <c r="C84" s="50"/>
      <c r="D84" s="51"/>
      <c r="E84" s="52" t="s">
        <v>21</v>
      </c>
      <c r="F84" s="52"/>
      <c r="G84" s="81"/>
      <c r="H84" s="52"/>
      <c r="I84" s="52"/>
      <c r="J84" s="52"/>
      <c r="K84" s="52"/>
      <c r="L84" s="53"/>
      <c r="M84" s="52"/>
    </row>
    <row r="85" spans="2:13" s="10" customFormat="1" x14ac:dyDescent="0.25">
      <c r="B85" s="85" t="s">
        <v>106</v>
      </c>
      <c r="C85" s="55"/>
      <c r="D85" s="55"/>
      <c r="E85" s="63" t="s">
        <v>23</v>
      </c>
      <c r="F85" s="64" t="s">
        <v>24</v>
      </c>
      <c r="G85" s="65">
        <v>8.75</v>
      </c>
      <c r="H85" s="66"/>
      <c r="I85" s="66"/>
      <c r="J85" s="67">
        <v>98.77</v>
      </c>
      <c r="K85" s="68">
        <v>864.24</v>
      </c>
      <c r="L85" s="129">
        <f>L62</f>
        <v>0</v>
      </c>
      <c r="M85" s="62">
        <f>ROUND(G85*L85,2)</f>
        <v>0</v>
      </c>
    </row>
    <row r="86" spans="2:13" s="10" customFormat="1" ht="30" x14ac:dyDescent="0.25">
      <c r="B86" s="85" t="s">
        <v>107</v>
      </c>
      <c r="C86" s="55"/>
      <c r="D86" s="55"/>
      <c r="E86" s="63" t="s">
        <v>26</v>
      </c>
      <c r="F86" s="64" t="s">
        <v>27</v>
      </c>
      <c r="G86" s="65">
        <v>25</v>
      </c>
      <c r="H86" s="66"/>
      <c r="I86" s="66"/>
      <c r="J86" s="67">
        <v>1.06</v>
      </c>
      <c r="K86" s="68">
        <v>26.5</v>
      </c>
      <c r="L86" s="129">
        <f>L18</f>
        <v>0</v>
      </c>
      <c r="M86" s="62">
        <f t="shared" ref="M86:M88" si="5">ROUND(G86*L86,2)</f>
        <v>0</v>
      </c>
    </row>
    <row r="87" spans="2:13" s="10" customFormat="1" ht="45" x14ac:dyDescent="0.25">
      <c r="B87" s="85" t="s">
        <v>108</v>
      </c>
      <c r="C87" s="55"/>
      <c r="D87" s="55"/>
      <c r="E87" s="63" t="s">
        <v>29</v>
      </c>
      <c r="F87" s="64" t="s">
        <v>27</v>
      </c>
      <c r="G87" s="65">
        <v>15</v>
      </c>
      <c r="H87" s="66"/>
      <c r="I87" s="66"/>
      <c r="J87" s="67">
        <v>48.93</v>
      </c>
      <c r="K87" s="68">
        <v>733.95</v>
      </c>
      <c r="L87" s="129">
        <f>L19</f>
        <v>0</v>
      </c>
      <c r="M87" s="62">
        <f t="shared" si="5"/>
        <v>0</v>
      </c>
    </row>
    <row r="88" spans="2:13" s="10" customFormat="1" ht="30" x14ac:dyDescent="0.25">
      <c r="B88" s="85" t="s">
        <v>109</v>
      </c>
      <c r="C88" s="55"/>
      <c r="D88" s="55"/>
      <c r="E88" s="63" t="s">
        <v>31</v>
      </c>
      <c r="F88" s="64" t="s">
        <v>27</v>
      </c>
      <c r="G88" s="65">
        <v>20</v>
      </c>
      <c r="H88" s="66"/>
      <c r="I88" s="66"/>
      <c r="J88" s="67">
        <v>134.74</v>
      </c>
      <c r="K88" s="68">
        <v>2694.8</v>
      </c>
      <c r="L88" s="129">
        <f>L20</f>
        <v>0</v>
      </c>
      <c r="M88" s="62">
        <f t="shared" si="5"/>
        <v>0</v>
      </c>
    </row>
    <row r="89" spans="2:13" s="10" customFormat="1" ht="17.100000000000001" customHeight="1" x14ac:dyDescent="0.25">
      <c r="B89" s="85"/>
      <c r="C89" s="55"/>
      <c r="D89" s="55"/>
      <c r="E89" s="63"/>
      <c r="F89" s="64"/>
      <c r="G89" s="65"/>
      <c r="H89" s="66"/>
      <c r="I89" s="66"/>
      <c r="J89" s="72" t="s">
        <v>32</v>
      </c>
      <c r="K89" s="73">
        <f>SUM(K85:K88)</f>
        <v>4319.49</v>
      </c>
      <c r="L89" s="73"/>
      <c r="M89" s="80">
        <f>SUM(M85:M88)</f>
        <v>0</v>
      </c>
    </row>
    <row r="90" spans="2:13" s="10" customFormat="1" ht="17.100000000000001" customHeight="1" x14ac:dyDescent="0.25">
      <c r="B90" s="49" t="s">
        <v>110</v>
      </c>
      <c r="C90" s="50"/>
      <c r="D90" s="51"/>
      <c r="E90" s="52" t="s">
        <v>34</v>
      </c>
      <c r="F90" s="52"/>
      <c r="G90" s="81"/>
      <c r="H90" s="52"/>
      <c r="I90" s="52"/>
      <c r="J90" s="52"/>
      <c r="K90" s="52"/>
      <c r="L90" s="53"/>
      <c r="M90" s="52"/>
    </row>
    <row r="91" spans="2:13" s="10" customFormat="1" ht="30" x14ac:dyDescent="0.25">
      <c r="B91" s="85" t="s">
        <v>111</v>
      </c>
      <c r="C91" s="55"/>
      <c r="D91" s="55"/>
      <c r="E91" s="63" t="s">
        <v>94</v>
      </c>
      <c r="F91" s="64" t="s">
        <v>27</v>
      </c>
      <c r="G91" s="65">
        <v>142.85</v>
      </c>
      <c r="H91" s="66"/>
      <c r="I91" s="66"/>
      <c r="J91" s="67">
        <v>3.95</v>
      </c>
      <c r="K91" s="68">
        <v>564.26</v>
      </c>
      <c r="L91" s="129">
        <f>L23</f>
        <v>0</v>
      </c>
      <c r="M91" s="62">
        <f>ROUND(G91*L91,2)</f>
        <v>0</v>
      </c>
    </row>
    <row r="92" spans="2:13" s="10" customFormat="1" ht="45" x14ac:dyDescent="0.25">
      <c r="B92" s="85" t="s">
        <v>112</v>
      </c>
      <c r="C92" s="55"/>
      <c r="D92" s="55"/>
      <c r="E92" s="63" t="s">
        <v>29</v>
      </c>
      <c r="F92" s="64" t="s">
        <v>27</v>
      </c>
      <c r="G92" s="65">
        <v>142.85</v>
      </c>
      <c r="H92" s="66"/>
      <c r="I92" s="66"/>
      <c r="J92" s="67">
        <v>48.93</v>
      </c>
      <c r="K92" s="68">
        <v>6989.65</v>
      </c>
      <c r="L92" s="129">
        <f>L19</f>
        <v>0</v>
      </c>
      <c r="M92" s="62">
        <f t="shared" ref="M92:M94" si="6">ROUND(G92*L92,2)</f>
        <v>0</v>
      </c>
    </row>
    <row r="93" spans="2:13" s="10" customFormat="1" ht="60" x14ac:dyDescent="0.25">
      <c r="B93" s="85" t="s">
        <v>113</v>
      </c>
      <c r="C93" s="55"/>
      <c r="D93" s="55"/>
      <c r="E93" s="63" t="s">
        <v>114</v>
      </c>
      <c r="F93" s="64" t="s">
        <v>27</v>
      </c>
      <c r="G93" s="65">
        <v>142.85</v>
      </c>
      <c r="H93" s="66"/>
      <c r="I93" s="66"/>
      <c r="J93" s="67">
        <v>77.52</v>
      </c>
      <c r="K93" s="68">
        <v>11073.73</v>
      </c>
      <c r="L93" s="111">
        <v>0</v>
      </c>
      <c r="M93" s="62">
        <f t="shared" si="6"/>
        <v>0</v>
      </c>
    </row>
    <row r="94" spans="2:13" s="10" customFormat="1" ht="30" x14ac:dyDescent="0.25">
      <c r="B94" s="85" t="s">
        <v>115</v>
      </c>
      <c r="C94" s="55"/>
      <c r="D94" s="55"/>
      <c r="E94" s="63" t="s">
        <v>116</v>
      </c>
      <c r="F94" s="64" t="s">
        <v>27</v>
      </c>
      <c r="G94" s="65">
        <v>142.85</v>
      </c>
      <c r="H94" s="66"/>
      <c r="I94" s="66"/>
      <c r="J94" s="67">
        <v>508.36</v>
      </c>
      <c r="K94" s="68">
        <v>72619.23</v>
      </c>
      <c r="L94" s="111">
        <v>0</v>
      </c>
      <c r="M94" s="62">
        <f t="shared" si="6"/>
        <v>0</v>
      </c>
    </row>
    <row r="95" spans="2:13" s="10" customFormat="1" ht="17.100000000000001" customHeight="1" x14ac:dyDescent="0.25">
      <c r="B95" s="85"/>
      <c r="C95" s="55"/>
      <c r="D95" s="55"/>
      <c r="E95" s="63"/>
      <c r="F95" s="64"/>
      <c r="G95" s="65"/>
      <c r="H95" s="66"/>
      <c r="I95" s="66"/>
      <c r="J95" s="72" t="s">
        <v>32</v>
      </c>
      <c r="K95" s="73">
        <f>SUM(K91:K94)</f>
        <v>91246.87</v>
      </c>
      <c r="L95" s="73"/>
      <c r="M95" s="80">
        <f>SUM(M91:M94)</f>
        <v>0</v>
      </c>
    </row>
    <row r="96" spans="2:13" s="10" customFormat="1" ht="17.100000000000001" customHeight="1" x14ac:dyDescent="0.25">
      <c r="B96" s="49" t="s">
        <v>117</v>
      </c>
      <c r="C96" s="50"/>
      <c r="D96" s="51"/>
      <c r="E96" s="52" t="s">
        <v>81</v>
      </c>
      <c r="F96" s="52"/>
      <c r="G96" s="81"/>
      <c r="H96" s="52"/>
      <c r="I96" s="52"/>
      <c r="J96" s="52"/>
      <c r="K96" s="52"/>
      <c r="L96" s="53"/>
      <c r="M96" s="52"/>
    </row>
    <row r="97" spans="2:13" s="10" customFormat="1" ht="60" x14ac:dyDescent="0.25">
      <c r="B97" s="85" t="s">
        <v>118</v>
      </c>
      <c r="C97" s="55"/>
      <c r="D97" s="55"/>
      <c r="E97" s="63" t="s">
        <v>119</v>
      </c>
      <c r="F97" s="64" t="s">
        <v>84</v>
      </c>
      <c r="G97" s="65">
        <v>2</v>
      </c>
      <c r="H97" s="66"/>
      <c r="I97" s="66"/>
      <c r="J97" s="67">
        <v>6755.48</v>
      </c>
      <c r="K97" s="68">
        <v>13510.96</v>
      </c>
      <c r="L97" s="111">
        <v>0</v>
      </c>
      <c r="M97" s="62">
        <f>ROUND(G97*L97,2)</f>
        <v>0</v>
      </c>
    </row>
    <row r="98" spans="2:13" s="10" customFormat="1" ht="60" x14ac:dyDescent="0.25">
      <c r="B98" s="85" t="s">
        <v>120</v>
      </c>
      <c r="C98" s="55"/>
      <c r="D98" s="55"/>
      <c r="E98" s="63" t="s">
        <v>121</v>
      </c>
      <c r="F98" s="64" t="s">
        <v>122</v>
      </c>
      <c r="G98" s="65">
        <v>1</v>
      </c>
      <c r="H98" s="66"/>
      <c r="I98" s="66"/>
      <c r="J98" s="67">
        <v>4699.46</v>
      </c>
      <c r="K98" s="68">
        <v>4699.46</v>
      </c>
      <c r="L98" s="111">
        <v>0</v>
      </c>
      <c r="M98" s="62">
        <f t="shared" ref="M98:M101" si="7">ROUND(G98*L98,2)</f>
        <v>0</v>
      </c>
    </row>
    <row r="99" spans="2:13" s="10" customFormat="1" ht="90" x14ac:dyDescent="0.25">
      <c r="B99" s="85" t="s">
        <v>123</v>
      </c>
      <c r="C99" s="55"/>
      <c r="D99" s="55"/>
      <c r="E99" s="63" t="s">
        <v>124</v>
      </c>
      <c r="F99" s="64" t="s">
        <v>122</v>
      </c>
      <c r="G99" s="65">
        <v>1</v>
      </c>
      <c r="H99" s="66"/>
      <c r="I99" s="66"/>
      <c r="J99" s="67">
        <v>17427.18</v>
      </c>
      <c r="K99" s="68">
        <v>17427.18</v>
      </c>
      <c r="L99" s="111">
        <v>0</v>
      </c>
      <c r="M99" s="62">
        <f t="shared" si="7"/>
        <v>0</v>
      </c>
    </row>
    <row r="100" spans="2:13" s="10" customFormat="1" ht="60" x14ac:dyDescent="0.25">
      <c r="B100" s="85" t="s">
        <v>125</v>
      </c>
      <c r="C100" s="55"/>
      <c r="D100" s="55"/>
      <c r="E100" s="63" t="s">
        <v>126</v>
      </c>
      <c r="F100" s="64" t="s">
        <v>122</v>
      </c>
      <c r="G100" s="65">
        <v>1</v>
      </c>
      <c r="H100" s="66"/>
      <c r="I100" s="66"/>
      <c r="J100" s="67">
        <v>4307.84</v>
      </c>
      <c r="K100" s="68">
        <v>4307.84</v>
      </c>
      <c r="L100" s="111">
        <v>0</v>
      </c>
      <c r="M100" s="62">
        <f t="shared" si="7"/>
        <v>0</v>
      </c>
    </row>
    <row r="101" spans="2:13" s="10" customFormat="1" ht="60" x14ac:dyDescent="0.25">
      <c r="B101" s="85" t="s">
        <v>127</v>
      </c>
      <c r="C101" s="55"/>
      <c r="D101" s="55"/>
      <c r="E101" s="63" t="s">
        <v>128</v>
      </c>
      <c r="F101" s="64" t="s">
        <v>122</v>
      </c>
      <c r="G101" s="65">
        <v>6</v>
      </c>
      <c r="H101" s="66"/>
      <c r="I101" s="66"/>
      <c r="J101" s="67">
        <v>1513.09</v>
      </c>
      <c r="K101" s="68">
        <v>9078.5400000000009</v>
      </c>
      <c r="L101" s="111">
        <v>0</v>
      </c>
      <c r="M101" s="62">
        <f t="shared" si="7"/>
        <v>0</v>
      </c>
    </row>
    <row r="102" spans="2:13" s="10" customFormat="1" ht="17.100000000000001" customHeight="1" x14ac:dyDescent="0.25">
      <c r="B102" s="85"/>
      <c r="C102" s="55"/>
      <c r="D102" s="55"/>
      <c r="E102" s="86"/>
      <c r="F102" s="87"/>
      <c r="G102" s="88"/>
      <c r="H102" s="66"/>
      <c r="I102" s="66"/>
      <c r="J102" s="72" t="s">
        <v>32</v>
      </c>
      <c r="K102" s="73">
        <f>SUM(K97:K101)</f>
        <v>49023.98</v>
      </c>
      <c r="L102" s="73"/>
      <c r="M102" s="80">
        <f>SUM(M97:M101)</f>
        <v>0</v>
      </c>
    </row>
    <row r="103" spans="2:13" s="10" customFormat="1" ht="17.100000000000001" customHeight="1" x14ac:dyDescent="0.25">
      <c r="B103" s="85"/>
      <c r="C103" s="55"/>
      <c r="D103" s="55"/>
      <c r="E103" s="86"/>
      <c r="F103" s="87"/>
      <c r="G103" s="88"/>
      <c r="H103" s="66"/>
      <c r="I103" s="66"/>
      <c r="J103" s="67"/>
      <c r="K103" s="68"/>
      <c r="L103" s="89"/>
      <c r="M103" s="62"/>
    </row>
    <row r="104" spans="2:13" s="10" customFormat="1" ht="17.100000000000001" customHeight="1" x14ac:dyDescent="0.25">
      <c r="B104" s="85"/>
      <c r="C104" s="55"/>
      <c r="D104" s="55"/>
      <c r="E104" s="86"/>
      <c r="F104" s="146" t="s">
        <v>129</v>
      </c>
      <c r="G104" s="147"/>
      <c r="H104" s="147"/>
      <c r="I104" s="147"/>
      <c r="J104" s="148"/>
      <c r="K104" s="90">
        <f>SUM(K89,K95,K102)</f>
        <v>144590.34</v>
      </c>
      <c r="L104" s="90"/>
      <c r="M104" s="91">
        <f>SUM(M89,M95,M102)</f>
        <v>0</v>
      </c>
    </row>
    <row r="105" spans="2:13" s="10" customFormat="1" ht="17.100000000000001" customHeight="1" x14ac:dyDescent="0.25">
      <c r="B105" s="85"/>
      <c r="C105" s="55"/>
      <c r="D105" s="55"/>
      <c r="E105" s="86"/>
      <c r="F105" s="87"/>
      <c r="G105" s="88"/>
      <c r="H105" s="66"/>
      <c r="I105" s="66"/>
      <c r="J105" s="67"/>
      <c r="K105" s="92"/>
      <c r="L105" s="93"/>
      <c r="M105" s="94"/>
    </row>
    <row r="106" spans="2:13" s="10" customFormat="1" ht="17.100000000000001" customHeight="1" x14ac:dyDescent="0.25"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</row>
    <row r="107" spans="2:13" s="10" customFormat="1" ht="33" customHeight="1" x14ac:dyDescent="0.25">
      <c r="B107" s="150" t="s">
        <v>130</v>
      </c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2"/>
    </row>
    <row r="108" spans="2:13" s="10" customFormat="1" x14ac:dyDescent="0.25"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7"/>
    </row>
    <row r="109" spans="2:13" s="10" customFormat="1" ht="17.100000000000001" customHeight="1" x14ac:dyDescent="0.25">
      <c r="B109" s="159" t="s">
        <v>8</v>
      </c>
      <c r="C109" s="161" t="s">
        <v>9</v>
      </c>
      <c r="D109" s="159" t="s">
        <v>10</v>
      </c>
      <c r="E109" s="159" t="s">
        <v>11</v>
      </c>
      <c r="F109" s="159" t="s">
        <v>12</v>
      </c>
      <c r="G109" s="140" t="s">
        <v>13</v>
      </c>
      <c r="H109" s="42"/>
      <c r="I109" s="42"/>
      <c r="J109" s="142" t="s">
        <v>14</v>
      </c>
      <c r="K109" s="143"/>
      <c r="L109" s="144" t="s">
        <v>15</v>
      </c>
      <c r="M109" s="145"/>
    </row>
    <row r="110" spans="2:13" s="10" customFormat="1" ht="31.5" x14ac:dyDescent="0.25">
      <c r="B110" s="160"/>
      <c r="C110" s="162"/>
      <c r="D110" s="160"/>
      <c r="E110" s="160"/>
      <c r="F110" s="160"/>
      <c r="G110" s="141"/>
      <c r="H110" s="43" t="s">
        <v>16</v>
      </c>
      <c r="I110" s="44" t="s">
        <v>17</v>
      </c>
      <c r="J110" s="45" t="s">
        <v>18</v>
      </c>
      <c r="K110" s="46" t="s">
        <v>19</v>
      </c>
      <c r="L110" s="47" t="s">
        <v>18</v>
      </c>
      <c r="M110" s="48" t="s">
        <v>19</v>
      </c>
    </row>
    <row r="111" spans="2:13" s="10" customFormat="1" ht="17.100000000000001" customHeight="1" x14ac:dyDescent="0.25">
      <c r="B111" s="49" t="s">
        <v>131</v>
      </c>
      <c r="C111" s="50"/>
      <c r="D111" s="51"/>
      <c r="E111" s="52" t="s">
        <v>34</v>
      </c>
      <c r="F111" s="52"/>
      <c r="G111" s="81"/>
      <c r="H111" s="52"/>
      <c r="I111" s="52"/>
      <c r="J111" s="52"/>
      <c r="K111" s="52"/>
      <c r="L111" s="53"/>
      <c r="M111" s="52"/>
    </row>
    <row r="112" spans="2:13" s="10" customFormat="1" ht="30" x14ac:dyDescent="0.25">
      <c r="B112" s="76" t="s">
        <v>132</v>
      </c>
      <c r="C112" s="55"/>
      <c r="D112" s="55"/>
      <c r="E112" s="63" t="s">
        <v>94</v>
      </c>
      <c r="F112" s="64" t="s">
        <v>27</v>
      </c>
      <c r="G112" s="65">
        <v>643.89</v>
      </c>
      <c r="H112" s="66"/>
      <c r="I112" s="66"/>
      <c r="J112" s="67">
        <v>3.95</v>
      </c>
      <c r="K112" s="68">
        <v>2543.37</v>
      </c>
      <c r="L112" s="129">
        <f>L23</f>
        <v>0</v>
      </c>
      <c r="M112" s="62">
        <f>ROUND(G112*L112,2)</f>
        <v>0</v>
      </c>
    </row>
    <row r="113" spans="2:13" s="10" customFormat="1" ht="45" x14ac:dyDescent="0.25">
      <c r="B113" s="76" t="s">
        <v>133</v>
      </c>
      <c r="C113" s="55"/>
      <c r="D113" s="55"/>
      <c r="E113" s="63" t="s">
        <v>29</v>
      </c>
      <c r="F113" s="64" t="s">
        <v>27</v>
      </c>
      <c r="G113" s="65">
        <v>643.89</v>
      </c>
      <c r="H113" s="66"/>
      <c r="I113" s="66"/>
      <c r="J113" s="67">
        <v>48.93</v>
      </c>
      <c r="K113" s="68">
        <v>31505.54</v>
      </c>
      <c r="L113" s="129">
        <f>L19</f>
        <v>0</v>
      </c>
      <c r="M113" s="62">
        <f t="shared" ref="M113:M114" si="8">ROUND(G113*L113,2)</f>
        <v>0</v>
      </c>
    </row>
    <row r="114" spans="2:13" s="10" customFormat="1" ht="60" x14ac:dyDescent="0.25">
      <c r="B114" s="76" t="s">
        <v>134</v>
      </c>
      <c r="C114" s="55"/>
      <c r="D114" s="55"/>
      <c r="E114" s="63" t="s">
        <v>97</v>
      </c>
      <c r="F114" s="64" t="s">
        <v>27</v>
      </c>
      <c r="G114" s="65">
        <v>643.89</v>
      </c>
      <c r="H114" s="66"/>
      <c r="I114" s="66"/>
      <c r="J114" s="67">
        <v>130.96</v>
      </c>
      <c r="K114" s="68">
        <v>84323.83</v>
      </c>
      <c r="L114" s="129">
        <f>L70</f>
        <v>0</v>
      </c>
      <c r="M114" s="62">
        <f t="shared" si="8"/>
        <v>0</v>
      </c>
    </row>
    <row r="115" spans="2:13" s="10" customFormat="1" ht="17.100000000000001" customHeight="1" x14ac:dyDescent="0.25">
      <c r="B115" s="76"/>
      <c r="C115" s="55"/>
      <c r="D115" s="55"/>
      <c r="E115" s="63"/>
      <c r="F115" s="64"/>
      <c r="G115" s="65"/>
      <c r="H115" s="66"/>
      <c r="I115" s="66"/>
      <c r="J115" s="72" t="s">
        <v>32</v>
      </c>
      <c r="K115" s="73">
        <f>SUM(K112:K114)</f>
        <v>118372.74</v>
      </c>
      <c r="L115" s="73"/>
      <c r="M115" s="80">
        <f>SUM(M112:M114)</f>
        <v>0</v>
      </c>
    </row>
    <row r="116" spans="2:13" s="10" customFormat="1" ht="17.100000000000001" customHeight="1" x14ac:dyDescent="0.25">
      <c r="B116" s="49" t="s">
        <v>135</v>
      </c>
      <c r="C116" s="50"/>
      <c r="D116" s="51"/>
      <c r="E116" s="52" t="s">
        <v>75</v>
      </c>
      <c r="F116" s="52"/>
      <c r="G116" s="81"/>
      <c r="H116" s="52"/>
      <c r="I116" s="52"/>
      <c r="J116" s="52"/>
      <c r="K116" s="52"/>
      <c r="L116" s="53"/>
      <c r="M116" s="52"/>
    </row>
    <row r="117" spans="2:13" s="10" customFormat="1" ht="30" x14ac:dyDescent="0.25">
      <c r="B117" s="76" t="s">
        <v>136</v>
      </c>
      <c r="C117" s="55"/>
      <c r="D117" s="55"/>
      <c r="E117" s="63" t="s">
        <v>137</v>
      </c>
      <c r="F117" s="64" t="s">
        <v>27</v>
      </c>
      <c r="G117" s="65">
        <v>643.89</v>
      </c>
      <c r="H117" s="66"/>
      <c r="I117" s="66"/>
      <c r="J117" s="67">
        <v>96.7</v>
      </c>
      <c r="K117" s="68">
        <v>62264.160000000003</v>
      </c>
      <c r="L117" s="111">
        <v>0</v>
      </c>
      <c r="M117" s="62">
        <f>ROUND(G117*L117,2)</f>
        <v>0</v>
      </c>
    </row>
    <row r="118" spans="2:13" s="10" customFormat="1" ht="30" x14ac:dyDescent="0.25">
      <c r="B118" s="76" t="s">
        <v>138</v>
      </c>
      <c r="C118" s="55"/>
      <c r="D118" s="55"/>
      <c r="E118" s="63" t="s">
        <v>139</v>
      </c>
      <c r="F118" s="64" t="s">
        <v>61</v>
      </c>
      <c r="G118" s="65">
        <v>214.72</v>
      </c>
      <c r="H118" s="66"/>
      <c r="I118" s="66"/>
      <c r="J118" s="67">
        <v>17.66</v>
      </c>
      <c r="K118" s="68">
        <v>3791.96</v>
      </c>
      <c r="L118" s="111">
        <v>0</v>
      </c>
      <c r="M118" s="62">
        <f>ROUND(G118*L118,2)</f>
        <v>0</v>
      </c>
    </row>
    <row r="119" spans="2:13" s="10" customFormat="1" ht="17.100000000000001" customHeight="1" x14ac:dyDescent="0.25">
      <c r="B119" s="85"/>
      <c r="C119" s="55"/>
      <c r="D119" s="55"/>
      <c r="E119" s="86"/>
      <c r="F119" s="87"/>
      <c r="G119" s="88"/>
      <c r="H119" s="66"/>
      <c r="I119" s="66"/>
      <c r="J119" s="72" t="s">
        <v>32</v>
      </c>
      <c r="K119" s="73">
        <f>SUM(K117:K118)</f>
        <v>66056.12000000001</v>
      </c>
      <c r="L119" s="73"/>
      <c r="M119" s="80">
        <f>SUM(M117:M118)</f>
        <v>0</v>
      </c>
    </row>
    <row r="120" spans="2:13" s="10" customFormat="1" ht="17.100000000000001" customHeight="1" x14ac:dyDescent="0.25">
      <c r="B120" s="85"/>
      <c r="C120" s="55"/>
      <c r="D120" s="55"/>
      <c r="E120" s="86"/>
      <c r="F120" s="87"/>
      <c r="G120" s="88"/>
      <c r="H120" s="66"/>
      <c r="I120" s="66"/>
      <c r="J120" s="67"/>
      <c r="K120" s="68"/>
      <c r="L120" s="89"/>
      <c r="M120" s="62"/>
    </row>
    <row r="121" spans="2:13" s="10" customFormat="1" ht="17.100000000000001" customHeight="1" x14ac:dyDescent="0.25">
      <c r="B121" s="85"/>
      <c r="C121" s="55"/>
      <c r="D121" s="55"/>
      <c r="E121" s="86"/>
      <c r="F121" s="146" t="s">
        <v>140</v>
      </c>
      <c r="G121" s="147"/>
      <c r="H121" s="147"/>
      <c r="I121" s="147"/>
      <c r="J121" s="148"/>
      <c r="K121" s="90">
        <f>SUM(K115,K119)</f>
        <v>184428.86000000002</v>
      </c>
      <c r="L121" s="90"/>
      <c r="M121" s="91">
        <f>SUM(M115,M119)</f>
        <v>0</v>
      </c>
    </row>
    <row r="122" spans="2:13" s="10" customFormat="1" ht="17.100000000000001" customHeight="1" x14ac:dyDescent="0.25">
      <c r="B122" s="85"/>
      <c r="C122" s="55"/>
      <c r="D122" s="55"/>
      <c r="E122" s="86"/>
      <c r="F122" s="87"/>
      <c r="G122" s="88"/>
      <c r="H122" s="66"/>
      <c r="I122" s="66"/>
      <c r="J122" s="67"/>
      <c r="K122" s="92"/>
      <c r="L122" s="93"/>
      <c r="M122" s="94"/>
    </row>
    <row r="123" spans="2:13" s="10" customFormat="1" ht="17.100000000000001" customHeight="1" x14ac:dyDescent="0.25"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</row>
    <row r="124" spans="2:13" s="10" customFormat="1" ht="33" customHeight="1" x14ac:dyDescent="0.25">
      <c r="B124" s="150" t="s">
        <v>141</v>
      </c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152"/>
    </row>
    <row r="125" spans="2:13" s="10" customFormat="1" x14ac:dyDescent="0.25">
      <c r="B125" s="149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</row>
    <row r="126" spans="2:13" s="10" customFormat="1" ht="17.100000000000001" customHeight="1" x14ac:dyDescent="0.25">
      <c r="B126" s="159" t="s">
        <v>8</v>
      </c>
      <c r="C126" s="161" t="s">
        <v>9</v>
      </c>
      <c r="D126" s="159" t="s">
        <v>10</v>
      </c>
      <c r="E126" s="159" t="s">
        <v>11</v>
      </c>
      <c r="F126" s="159" t="s">
        <v>12</v>
      </c>
      <c r="G126" s="140" t="s">
        <v>13</v>
      </c>
      <c r="H126" s="42"/>
      <c r="I126" s="42"/>
      <c r="J126" s="142" t="s">
        <v>14</v>
      </c>
      <c r="K126" s="143"/>
      <c r="L126" s="144" t="s">
        <v>15</v>
      </c>
      <c r="M126" s="145"/>
    </row>
    <row r="127" spans="2:13" s="10" customFormat="1" ht="31.5" x14ac:dyDescent="0.25">
      <c r="B127" s="160"/>
      <c r="C127" s="162"/>
      <c r="D127" s="160"/>
      <c r="E127" s="160"/>
      <c r="F127" s="160"/>
      <c r="G127" s="141"/>
      <c r="H127" s="43" t="s">
        <v>16</v>
      </c>
      <c r="I127" s="44" t="s">
        <v>17</v>
      </c>
      <c r="J127" s="45" t="s">
        <v>18</v>
      </c>
      <c r="K127" s="46" t="s">
        <v>19</v>
      </c>
      <c r="L127" s="47" t="s">
        <v>18</v>
      </c>
      <c r="M127" s="48" t="s">
        <v>19</v>
      </c>
    </row>
    <row r="128" spans="2:13" s="10" customFormat="1" ht="15.75" x14ac:dyDescent="0.25">
      <c r="B128" s="49" t="s">
        <v>142</v>
      </c>
      <c r="C128" s="50"/>
      <c r="D128" s="51"/>
      <c r="E128" s="52" t="s">
        <v>34</v>
      </c>
      <c r="F128" s="52"/>
      <c r="G128" s="81"/>
      <c r="H128" s="52"/>
      <c r="I128" s="52"/>
      <c r="J128" s="52"/>
      <c r="K128" s="52"/>
      <c r="L128" s="53"/>
      <c r="M128" s="52"/>
    </row>
    <row r="129" spans="2:13" s="10" customFormat="1" ht="30" x14ac:dyDescent="0.25">
      <c r="B129" s="76" t="s">
        <v>143</v>
      </c>
      <c r="C129" s="55"/>
      <c r="D129" s="55"/>
      <c r="E129" s="63" t="s">
        <v>94</v>
      </c>
      <c r="F129" s="64" t="s">
        <v>27</v>
      </c>
      <c r="G129" s="65">
        <v>139.86000000000001</v>
      </c>
      <c r="H129" s="66"/>
      <c r="I129" s="66"/>
      <c r="J129" s="67">
        <v>3.95</v>
      </c>
      <c r="K129" s="68">
        <v>552.45000000000005</v>
      </c>
      <c r="L129" s="129">
        <f>L23</f>
        <v>0</v>
      </c>
      <c r="M129" s="62">
        <f>ROUND(G129*L129,2)</f>
        <v>0</v>
      </c>
    </row>
    <row r="130" spans="2:13" s="10" customFormat="1" ht="45" x14ac:dyDescent="0.25">
      <c r="B130" s="76" t="s">
        <v>144</v>
      </c>
      <c r="C130" s="55"/>
      <c r="D130" s="55"/>
      <c r="E130" s="63" t="s">
        <v>29</v>
      </c>
      <c r="F130" s="64" t="s">
        <v>27</v>
      </c>
      <c r="G130" s="65">
        <v>139.86000000000001</v>
      </c>
      <c r="H130" s="66"/>
      <c r="I130" s="66"/>
      <c r="J130" s="67">
        <v>48.93</v>
      </c>
      <c r="K130" s="68">
        <v>6843.35</v>
      </c>
      <c r="L130" s="129">
        <f>L19</f>
        <v>0</v>
      </c>
      <c r="M130" s="62">
        <f t="shared" ref="M130:M133" si="9">ROUND(G130*L130,2)</f>
        <v>0</v>
      </c>
    </row>
    <row r="131" spans="2:13" s="10" customFormat="1" ht="60" x14ac:dyDescent="0.25">
      <c r="B131" s="76" t="s">
        <v>145</v>
      </c>
      <c r="C131" s="55"/>
      <c r="D131" s="55"/>
      <c r="E131" s="63" t="s">
        <v>47</v>
      </c>
      <c r="F131" s="64" t="s">
        <v>27</v>
      </c>
      <c r="G131" s="65">
        <v>139.86000000000001</v>
      </c>
      <c r="H131" s="66"/>
      <c r="I131" s="66"/>
      <c r="J131" s="67">
        <v>66.959999999999994</v>
      </c>
      <c r="K131" s="68">
        <v>9365.0300000000007</v>
      </c>
      <c r="L131" s="129">
        <f>L29</f>
        <v>0</v>
      </c>
      <c r="M131" s="62">
        <f t="shared" si="9"/>
        <v>0</v>
      </c>
    </row>
    <row r="132" spans="2:13" s="10" customFormat="1" ht="90" x14ac:dyDescent="0.25">
      <c r="B132" s="76" t="s">
        <v>146</v>
      </c>
      <c r="C132" s="55"/>
      <c r="D132" s="55"/>
      <c r="E132" s="63" t="s">
        <v>147</v>
      </c>
      <c r="F132" s="64" t="s">
        <v>61</v>
      </c>
      <c r="G132" s="65">
        <v>160.9</v>
      </c>
      <c r="H132" s="66"/>
      <c r="I132" s="66"/>
      <c r="J132" s="67">
        <v>72.5</v>
      </c>
      <c r="K132" s="68">
        <v>11665.25</v>
      </c>
      <c r="L132" s="111">
        <v>0</v>
      </c>
      <c r="M132" s="62">
        <f t="shared" si="9"/>
        <v>0</v>
      </c>
    </row>
    <row r="133" spans="2:13" s="10" customFormat="1" ht="30" x14ac:dyDescent="0.25">
      <c r="B133" s="76" t="s">
        <v>148</v>
      </c>
      <c r="C133" s="55"/>
      <c r="D133" s="55"/>
      <c r="E133" s="63" t="s">
        <v>149</v>
      </c>
      <c r="F133" s="64" t="s">
        <v>27</v>
      </c>
      <c r="G133" s="65">
        <v>267.02999999999997</v>
      </c>
      <c r="H133" s="66"/>
      <c r="I133" s="66"/>
      <c r="J133" s="67">
        <v>25.67</v>
      </c>
      <c r="K133" s="68">
        <v>6854.66</v>
      </c>
      <c r="L133" s="111">
        <v>0</v>
      </c>
      <c r="M133" s="62">
        <f t="shared" si="9"/>
        <v>0</v>
      </c>
    </row>
    <row r="134" spans="2:13" s="10" customFormat="1" ht="15.75" x14ac:dyDescent="0.25">
      <c r="B134" s="76"/>
      <c r="C134" s="55"/>
      <c r="D134" s="55"/>
      <c r="E134" s="63"/>
      <c r="F134" s="64"/>
      <c r="G134" s="65"/>
      <c r="H134" s="66"/>
      <c r="I134" s="66"/>
      <c r="J134" s="72" t="s">
        <v>32</v>
      </c>
      <c r="K134" s="73">
        <f>SUM(K129:K133)</f>
        <v>35280.740000000005</v>
      </c>
      <c r="L134" s="95"/>
      <c r="M134" s="80">
        <f>SUM(M129:M133)</f>
        <v>0</v>
      </c>
    </row>
    <row r="135" spans="2:13" s="10" customFormat="1" ht="15.75" x14ac:dyDescent="0.25">
      <c r="B135" s="49" t="s">
        <v>150</v>
      </c>
      <c r="C135" s="50"/>
      <c r="D135" s="51"/>
      <c r="E135" s="52" t="s">
        <v>151</v>
      </c>
      <c r="F135" s="52"/>
      <c r="G135" s="81"/>
      <c r="H135" s="52"/>
      <c r="I135" s="52"/>
      <c r="J135" s="52"/>
      <c r="K135" s="52"/>
      <c r="L135" s="53"/>
      <c r="M135" s="52"/>
    </row>
    <row r="136" spans="2:13" s="10" customFormat="1" ht="60" x14ac:dyDescent="0.25">
      <c r="B136" s="76" t="s">
        <v>152</v>
      </c>
      <c r="C136" s="55"/>
      <c r="D136" s="55"/>
      <c r="E136" s="63" t="s">
        <v>128</v>
      </c>
      <c r="F136" s="64" t="s">
        <v>122</v>
      </c>
      <c r="G136" s="65">
        <v>4</v>
      </c>
      <c r="H136" s="66"/>
      <c r="I136" s="66"/>
      <c r="J136" s="67">
        <v>1513.09</v>
      </c>
      <c r="K136" s="68">
        <v>6052.36</v>
      </c>
      <c r="L136" s="111">
        <v>0</v>
      </c>
      <c r="M136" s="62">
        <f>ROUND(G136*L136,2)</f>
        <v>0</v>
      </c>
    </row>
    <row r="137" spans="2:13" s="10" customFormat="1" ht="60" x14ac:dyDescent="0.25">
      <c r="B137" s="76" t="s">
        <v>153</v>
      </c>
      <c r="C137" s="55"/>
      <c r="D137" s="55"/>
      <c r="E137" s="63" t="s">
        <v>154</v>
      </c>
      <c r="F137" s="64" t="s">
        <v>122</v>
      </c>
      <c r="G137" s="65">
        <v>16</v>
      </c>
      <c r="H137" s="66"/>
      <c r="I137" s="66"/>
      <c r="J137" s="67">
        <v>1103.6600000000001</v>
      </c>
      <c r="K137" s="68">
        <v>17658.560000000001</v>
      </c>
      <c r="L137" s="111">
        <v>0</v>
      </c>
      <c r="M137" s="62">
        <f t="shared" ref="M137:M143" si="10">ROUND(G137*L137,2)</f>
        <v>0</v>
      </c>
    </row>
    <row r="138" spans="2:13" s="10" customFormat="1" ht="75" x14ac:dyDescent="0.25">
      <c r="B138" s="76" t="s">
        <v>155</v>
      </c>
      <c r="C138" s="55"/>
      <c r="D138" s="55"/>
      <c r="E138" s="63" t="s">
        <v>156</v>
      </c>
      <c r="F138" s="64" t="s">
        <v>122</v>
      </c>
      <c r="G138" s="65">
        <v>4</v>
      </c>
      <c r="H138" s="66"/>
      <c r="I138" s="66"/>
      <c r="J138" s="67">
        <v>3471.2</v>
      </c>
      <c r="K138" s="68">
        <v>13884.8</v>
      </c>
      <c r="L138" s="111">
        <v>0</v>
      </c>
      <c r="M138" s="62">
        <f t="shared" si="10"/>
        <v>0</v>
      </c>
    </row>
    <row r="139" spans="2:13" s="10" customFormat="1" ht="75" x14ac:dyDescent="0.25">
      <c r="B139" s="76" t="s">
        <v>157</v>
      </c>
      <c r="C139" s="55"/>
      <c r="D139" s="55"/>
      <c r="E139" s="63" t="s">
        <v>158</v>
      </c>
      <c r="F139" s="64" t="s">
        <v>122</v>
      </c>
      <c r="G139" s="65">
        <v>2</v>
      </c>
      <c r="H139" s="66"/>
      <c r="I139" s="66"/>
      <c r="J139" s="67">
        <v>7476.42</v>
      </c>
      <c r="K139" s="68">
        <v>14952.84</v>
      </c>
      <c r="L139" s="111">
        <v>0</v>
      </c>
      <c r="M139" s="62">
        <f t="shared" si="10"/>
        <v>0</v>
      </c>
    </row>
    <row r="140" spans="2:13" s="10" customFormat="1" ht="45" x14ac:dyDescent="0.25">
      <c r="B140" s="76" t="s">
        <v>159</v>
      </c>
      <c r="C140" s="55"/>
      <c r="D140" s="55"/>
      <c r="E140" s="63" t="s">
        <v>160</v>
      </c>
      <c r="F140" s="64" t="s">
        <v>27</v>
      </c>
      <c r="G140" s="65">
        <v>11.75</v>
      </c>
      <c r="H140" s="66"/>
      <c r="I140" s="66"/>
      <c r="J140" s="67">
        <v>366.62</v>
      </c>
      <c r="K140" s="68">
        <v>4307.79</v>
      </c>
      <c r="L140" s="111">
        <v>0</v>
      </c>
      <c r="M140" s="62">
        <f t="shared" si="10"/>
        <v>0</v>
      </c>
    </row>
    <row r="141" spans="2:13" s="10" customFormat="1" x14ac:dyDescent="0.25">
      <c r="B141" s="76" t="s">
        <v>161</v>
      </c>
      <c r="C141" s="55"/>
      <c r="D141" s="55"/>
      <c r="E141" s="63" t="s">
        <v>162</v>
      </c>
      <c r="F141" s="64" t="s">
        <v>84</v>
      </c>
      <c r="G141" s="65">
        <v>30</v>
      </c>
      <c r="H141" s="66"/>
      <c r="I141" s="66"/>
      <c r="J141" s="67">
        <v>74.48</v>
      </c>
      <c r="K141" s="68">
        <v>2234.4</v>
      </c>
      <c r="L141" s="111">
        <v>0</v>
      </c>
      <c r="M141" s="62">
        <f t="shared" si="10"/>
        <v>0</v>
      </c>
    </row>
    <row r="142" spans="2:13" s="10" customFormat="1" ht="30" x14ac:dyDescent="0.25">
      <c r="B142" s="76" t="s">
        <v>163</v>
      </c>
      <c r="C142" s="55"/>
      <c r="D142" s="55"/>
      <c r="E142" s="63" t="s">
        <v>164</v>
      </c>
      <c r="F142" s="64" t="s">
        <v>84</v>
      </c>
      <c r="G142" s="65">
        <v>24</v>
      </c>
      <c r="H142" s="66"/>
      <c r="I142" s="66"/>
      <c r="J142" s="67">
        <v>129.97</v>
      </c>
      <c r="K142" s="68">
        <v>3119.28</v>
      </c>
      <c r="L142" s="111">
        <v>0</v>
      </c>
      <c r="M142" s="62">
        <f t="shared" si="10"/>
        <v>0</v>
      </c>
    </row>
    <row r="143" spans="2:13" s="10" customFormat="1" ht="30" x14ac:dyDescent="0.25">
      <c r="B143" s="76" t="s">
        <v>165</v>
      </c>
      <c r="C143" s="55"/>
      <c r="D143" s="55"/>
      <c r="E143" s="63" t="s">
        <v>166</v>
      </c>
      <c r="F143" s="64" t="s">
        <v>84</v>
      </c>
      <c r="G143" s="65">
        <v>2</v>
      </c>
      <c r="H143" s="66"/>
      <c r="I143" s="66"/>
      <c r="J143" s="67">
        <v>227.17</v>
      </c>
      <c r="K143" s="68">
        <v>454.34</v>
      </c>
      <c r="L143" s="111">
        <v>0</v>
      </c>
      <c r="M143" s="62">
        <f t="shared" si="10"/>
        <v>0</v>
      </c>
    </row>
    <row r="144" spans="2:13" s="10" customFormat="1" ht="15.75" x14ac:dyDescent="0.25">
      <c r="B144" s="76"/>
      <c r="C144" s="55"/>
      <c r="D144" s="55"/>
      <c r="E144" s="63"/>
      <c r="F144" s="64"/>
      <c r="G144" s="65"/>
      <c r="H144" s="66"/>
      <c r="I144" s="66"/>
      <c r="J144" s="72" t="s">
        <v>32</v>
      </c>
      <c r="K144" s="73">
        <f>SUM(K136:K143)</f>
        <v>62664.369999999995</v>
      </c>
      <c r="L144" s="73"/>
      <c r="M144" s="80">
        <f>SUM(M136:M143)</f>
        <v>0</v>
      </c>
    </row>
    <row r="145" spans="2:13" s="10" customFormat="1" ht="15.75" x14ac:dyDescent="0.25">
      <c r="B145" s="49" t="s">
        <v>167</v>
      </c>
      <c r="C145" s="50"/>
      <c r="D145" s="51"/>
      <c r="E145" s="52" t="s">
        <v>168</v>
      </c>
      <c r="F145" s="52"/>
      <c r="G145" s="81"/>
      <c r="H145" s="52"/>
      <c r="I145" s="52"/>
      <c r="J145" s="52"/>
      <c r="K145" s="52"/>
      <c r="L145" s="53"/>
      <c r="M145" s="52"/>
    </row>
    <row r="146" spans="2:13" s="10" customFormat="1" ht="30" x14ac:dyDescent="0.25">
      <c r="B146" s="76" t="s">
        <v>169</v>
      </c>
      <c r="C146" s="55"/>
      <c r="D146" s="55"/>
      <c r="E146" s="63" t="s">
        <v>170</v>
      </c>
      <c r="F146" s="64" t="s">
        <v>61</v>
      </c>
      <c r="G146" s="65">
        <v>145</v>
      </c>
      <c r="H146" s="66"/>
      <c r="I146" s="66"/>
      <c r="J146" s="67">
        <v>43.08</v>
      </c>
      <c r="K146" s="68">
        <v>6246.6</v>
      </c>
      <c r="L146" s="111">
        <v>0</v>
      </c>
      <c r="M146" s="62">
        <f>ROUND(G146*L146,2)</f>
        <v>0</v>
      </c>
    </row>
    <row r="147" spans="2:13" s="10" customFormat="1" ht="45" x14ac:dyDescent="0.25">
      <c r="B147" s="76" t="s">
        <v>171</v>
      </c>
      <c r="C147" s="55"/>
      <c r="D147" s="55"/>
      <c r="E147" s="63" t="s">
        <v>172</v>
      </c>
      <c r="F147" s="64" t="s">
        <v>61</v>
      </c>
      <c r="G147" s="65">
        <v>70</v>
      </c>
      <c r="H147" s="66"/>
      <c r="I147" s="66"/>
      <c r="J147" s="67">
        <v>14.05</v>
      </c>
      <c r="K147" s="68">
        <v>983.5</v>
      </c>
      <c r="L147" s="111">
        <v>0</v>
      </c>
      <c r="M147" s="62">
        <f t="shared" ref="M147:M171" si="11">ROUND(G147*L147,2)</f>
        <v>0</v>
      </c>
    </row>
    <row r="148" spans="2:13" s="10" customFormat="1" ht="45" x14ac:dyDescent="0.25">
      <c r="B148" s="76" t="s">
        <v>173</v>
      </c>
      <c r="C148" s="55"/>
      <c r="D148" s="55"/>
      <c r="E148" s="63" t="s">
        <v>174</v>
      </c>
      <c r="F148" s="64" t="s">
        <v>61</v>
      </c>
      <c r="G148" s="65">
        <v>200</v>
      </c>
      <c r="H148" s="66"/>
      <c r="I148" s="66"/>
      <c r="J148" s="67">
        <v>19.98</v>
      </c>
      <c r="K148" s="68">
        <v>3996</v>
      </c>
      <c r="L148" s="111">
        <v>0</v>
      </c>
      <c r="M148" s="62">
        <f t="shared" si="11"/>
        <v>0</v>
      </c>
    </row>
    <row r="149" spans="2:13" s="10" customFormat="1" ht="30" x14ac:dyDescent="0.25">
      <c r="B149" s="76" t="s">
        <v>175</v>
      </c>
      <c r="C149" s="55"/>
      <c r="D149" s="55"/>
      <c r="E149" s="63" t="s">
        <v>176</v>
      </c>
      <c r="F149" s="64" t="s">
        <v>61</v>
      </c>
      <c r="G149" s="65">
        <v>6</v>
      </c>
      <c r="H149" s="66"/>
      <c r="I149" s="66"/>
      <c r="J149" s="67">
        <v>64.62</v>
      </c>
      <c r="K149" s="68">
        <v>387.72</v>
      </c>
      <c r="L149" s="111">
        <v>0</v>
      </c>
      <c r="M149" s="62">
        <f t="shared" si="11"/>
        <v>0</v>
      </c>
    </row>
    <row r="150" spans="2:13" s="10" customFormat="1" ht="45" x14ac:dyDescent="0.25">
      <c r="B150" s="76" t="s">
        <v>177</v>
      </c>
      <c r="C150" s="55"/>
      <c r="D150" s="55"/>
      <c r="E150" s="63" t="s">
        <v>178</v>
      </c>
      <c r="F150" s="64" t="s">
        <v>84</v>
      </c>
      <c r="G150" s="65">
        <v>9</v>
      </c>
      <c r="H150" s="66"/>
      <c r="I150" s="66"/>
      <c r="J150" s="67">
        <v>37.42</v>
      </c>
      <c r="K150" s="68">
        <v>336.78</v>
      </c>
      <c r="L150" s="111">
        <v>0</v>
      </c>
      <c r="M150" s="62">
        <f t="shared" si="11"/>
        <v>0</v>
      </c>
    </row>
    <row r="151" spans="2:13" s="10" customFormat="1" ht="30" x14ac:dyDescent="0.25">
      <c r="B151" s="76" t="s">
        <v>179</v>
      </c>
      <c r="C151" s="55"/>
      <c r="D151" s="55"/>
      <c r="E151" s="63" t="s">
        <v>180</v>
      </c>
      <c r="F151" s="64" t="s">
        <v>61</v>
      </c>
      <c r="G151" s="65">
        <v>205</v>
      </c>
      <c r="H151" s="66"/>
      <c r="I151" s="66"/>
      <c r="J151" s="67">
        <v>7.41</v>
      </c>
      <c r="K151" s="68">
        <v>1519.05</v>
      </c>
      <c r="L151" s="111">
        <v>0</v>
      </c>
      <c r="M151" s="62">
        <f t="shared" si="11"/>
        <v>0</v>
      </c>
    </row>
    <row r="152" spans="2:13" s="10" customFormat="1" ht="30" x14ac:dyDescent="0.25">
      <c r="B152" s="76" t="s">
        <v>181</v>
      </c>
      <c r="C152" s="55"/>
      <c r="D152" s="55"/>
      <c r="E152" s="63" t="s">
        <v>182</v>
      </c>
      <c r="F152" s="64" t="s">
        <v>61</v>
      </c>
      <c r="G152" s="65">
        <v>530</v>
      </c>
      <c r="H152" s="66"/>
      <c r="I152" s="66"/>
      <c r="J152" s="67">
        <v>15.18</v>
      </c>
      <c r="K152" s="68">
        <v>8045.4</v>
      </c>
      <c r="L152" s="111">
        <v>0</v>
      </c>
      <c r="M152" s="62">
        <f t="shared" si="11"/>
        <v>0</v>
      </c>
    </row>
    <row r="153" spans="2:13" s="10" customFormat="1" ht="30" x14ac:dyDescent="0.25">
      <c r="B153" s="76" t="s">
        <v>183</v>
      </c>
      <c r="C153" s="55"/>
      <c r="D153" s="55"/>
      <c r="E153" s="63" t="s">
        <v>184</v>
      </c>
      <c r="F153" s="64" t="s">
        <v>61</v>
      </c>
      <c r="G153" s="65">
        <v>1260</v>
      </c>
      <c r="H153" s="66"/>
      <c r="I153" s="66"/>
      <c r="J153" s="67">
        <v>24.13</v>
      </c>
      <c r="K153" s="68">
        <v>30403.8</v>
      </c>
      <c r="L153" s="111">
        <v>0</v>
      </c>
      <c r="M153" s="62">
        <f t="shared" si="11"/>
        <v>0</v>
      </c>
    </row>
    <row r="154" spans="2:13" s="10" customFormat="1" ht="30" x14ac:dyDescent="0.25">
      <c r="B154" s="76" t="s">
        <v>185</v>
      </c>
      <c r="C154" s="55"/>
      <c r="D154" s="55"/>
      <c r="E154" s="63" t="s">
        <v>186</v>
      </c>
      <c r="F154" s="64" t="s">
        <v>61</v>
      </c>
      <c r="G154" s="65">
        <v>20</v>
      </c>
      <c r="H154" s="66"/>
      <c r="I154" s="66"/>
      <c r="J154" s="67">
        <v>37.700000000000003</v>
      </c>
      <c r="K154" s="68">
        <v>754</v>
      </c>
      <c r="L154" s="111">
        <v>0</v>
      </c>
      <c r="M154" s="62">
        <f t="shared" si="11"/>
        <v>0</v>
      </c>
    </row>
    <row r="155" spans="2:13" s="10" customFormat="1" ht="45" x14ac:dyDescent="0.25">
      <c r="B155" s="76" t="s">
        <v>187</v>
      </c>
      <c r="C155" s="55"/>
      <c r="D155" s="55"/>
      <c r="E155" s="63" t="s">
        <v>188</v>
      </c>
      <c r="F155" s="64" t="s">
        <v>84</v>
      </c>
      <c r="G155" s="65">
        <v>8</v>
      </c>
      <c r="H155" s="66"/>
      <c r="I155" s="66"/>
      <c r="J155" s="67">
        <v>57.43</v>
      </c>
      <c r="K155" s="68">
        <v>459.44</v>
      </c>
      <c r="L155" s="111">
        <v>0</v>
      </c>
      <c r="M155" s="62">
        <f t="shared" si="11"/>
        <v>0</v>
      </c>
    </row>
    <row r="156" spans="2:13" s="10" customFormat="1" ht="45" x14ac:dyDescent="0.25">
      <c r="B156" s="76" t="s">
        <v>189</v>
      </c>
      <c r="C156" s="55"/>
      <c r="D156" s="55"/>
      <c r="E156" s="63" t="s">
        <v>190</v>
      </c>
      <c r="F156" s="64" t="s">
        <v>84</v>
      </c>
      <c r="G156" s="65">
        <v>9</v>
      </c>
      <c r="H156" s="66"/>
      <c r="I156" s="66"/>
      <c r="J156" s="67">
        <v>53.16</v>
      </c>
      <c r="K156" s="68">
        <v>478.44</v>
      </c>
      <c r="L156" s="111">
        <v>0</v>
      </c>
      <c r="M156" s="62">
        <f t="shared" si="11"/>
        <v>0</v>
      </c>
    </row>
    <row r="157" spans="2:13" s="10" customFormat="1" ht="45" x14ac:dyDescent="0.25">
      <c r="B157" s="76" t="s">
        <v>191</v>
      </c>
      <c r="C157" s="55"/>
      <c r="D157" s="55"/>
      <c r="E157" s="63" t="s">
        <v>192</v>
      </c>
      <c r="F157" s="64" t="s">
        <v>84</v>
      </c>
      <c r="G157" s="65">
        <v>3</v>
      </c>
      <c r="H157" s="66"/>
      <c r="I157" s="66"/>
      <c r="J157" s="67">
        <v>76.75</v>
      </c>
      <c r="K157" s="68">
        <v>230.25</v>
      </c>
      <c r="L157" s="111">
        <v>0</v>
      </c>
      <c r="M157" s="62">
        <f t="shared" si="11"/>
        <v>0</v>
      </c>
    </row>
    <row r="158" spans="2:13" s="10" customFormat="1" ht="60" x14ac:dyDescent="0.25">
      <c r="B158" s="76" t="s">
        <v>193</v>
      </c>
      <c r="C158" s="55"/>
      <c r="D158" s="55"/>
      <c r="E158" s="63" t="s">
        <v>194</v>
      </c>
      <c r="F158" s="64" t="s">
        <v>84</v>
      </c>
      <c r="G158" s="65">
        <v>1</v>
      </c>
      <c r="H158" s="66"/>
      <c r="I158" s="66"/>
      <c r="J158" s="67">
        <v>5587.91</v>
      </c>
      <c r="K158" s="68">
        <v>5587.91</v>
      </c>
      <c r="L158" s="111">
        <v>0</v>
      </c>
      <c r="M158" s="62">
        <f t="shared" si="11"/>
        <v>0</v>
      </c>
    </row>
    <row r="159" spans="2:13" s="10" customFormat="1" ht="60" x14ac:dyDescent="0.25">
      <c r="B159" s="76" t="s">
        <v>195</v>
      </c>
      <c r="C159" s="55"/>
      <c r="D159" s="55"/>
      <c r="E159" s="63" t="s">
        <v>196</v>
      </c>
      <c r="F159" s="64" t="s">
        <v>84</v>
      </c>
      <c r="G159" s="65">
        <v>1</v>
      </c>
      <c r="H159" s="66"/>
      <c r="I159" s="66"/>
      <c r="J159" s="67">
        <v>607.62</v>
      </c>
      <c r="K159" s="68">
        <v>607.62</v>
      </c>
      <c r="L159" s="111">
        <v>0</v>
      </c>
      <c r="M159" s="62">
        <f t="shared" si="11"/>
        <v>0</v>
      </c>
    </row>
    <row r="160" spans="2:13" s="10" customFormat="1" ht="30" x14ac:dyDescent="0.25">
      <c r="B160" s="76" t="s">
        <v>197</v>
      </c>
      <c r="C160" s="55"/>
      <c r="D160" s="55"/>
      <c r="E160" s="63" t="s">
        <v>198</v>
      </c>
      <c r="F160" s="64" t="s">
        <v>84</v>
      </c>
      <c r="G160" s="65">
        <v>3</v>
      </c>
      <c r="H160" s="66"/>
      <c r="I160" s="66"/>
      <c r="J160" s="67">
        <v>16.82</v>
      </c>
      <c r="K160" s="68">
        <v>50.46</v>
      </c>
      <c r="L160" s="111">
        <v>0</v>
      </c>
      <c r="M160" s="62">
        <f t="shared" si="11"/>
        <v>0</v>
      </c>
    </row>
    <row r="161" spans="2:13" s="10" customFormat="1" ht="30" x14ac:dyDescent="0.25">
      <c r="B161" s="76" t="s">
        <v>199</v>
      </c>
      <c r="C161" s="55"/>
      <c r="D161" s="55"/>
      <c r="E161" s="63" t="s">
        <v>200</v>
      </c>
      <c r="F161" s="64" t="s">
        <v>84</v>
      </c>
      <c r="G161" s="65">
        <v>1</v>
      </c>
      <c r="H161" s="66"/>
      <c r="I161" s="66"/>
      <c r="J161" s="67">
        <v>19.059999999999999</v>
      </c>
      <c r="K161" s="68">
        <v>19.059999999999999</v>
      </c>
      <c r="L161" s="111">
        <v>0</v>
      </c>
      <c r="M161" s="62">
        <f t="shared" si="11"/>
        <v>0</v>
      </c>
    </row>
    <row r="162" spans="2:13" s="10" customFormat="1" ht="30" x14ac:dyDescent="0.25">
      <c r="B162" s="76" t="s">
        <v>201</v>
      </c>
      <c r="C162" s="55"/>
      <c r="D162" s="55"/>
      <c r="E162" s="63" t="s">
        <v>202</v>
      </c>
      <c r="F162" s="64" t="s">
        <v>84</v>
      </c>
      <c r="G162" s="65">
        <v>1</v>
      </c>
      <c r="H162" s="66"/>
      <c r="I162" s="66"/>
      <c r="J162" s="67">
        <v>108.93</v>
      </c>
      <c r="K162" s="68">
        <v>108.93</v>
      </c>
      <c r="L162" s="111">
        <v>0</v>
      </c>
      <c r="M162" s="62">
        <f t="shared" si="11"/>
        <v>0</v>
      </c>
    </row>
    <row r="163" spans="2:13" s="10" customFormat="1" ht="30" x14ac:dyDescent="0.25">
      <c r="B163" s="76" t="s">
        <v>203</v>
      </c>
      <c r="C163" s="55"/>
      <c r="D163" s="55"/>
      <c r="E163" s="63" t="s">
        <v>204</v>
      </c>
      <c r="F163" s="64" t="s">
        <v>84</v>
      </c>
      <c r="G163" s="65">
        <v>4</v>
      </c>
      <c r="H163" s="66"/>
      <c r="I163" s="66"/>
      <c r="J163" s="67">
        <v>145.16999999999999</v>
      </c>
      <c r="K163" s="68">
        <v>580.67999999999995</v>
      </c>
      <c r="L163" s="111">
        <v>0</v>
      </c>
      <c r="M163" s="62">
        <f t="shared" si="11"/>
        <v>0</v>
      </c>
    </row>
    <row r="164" spans="2:13" s="10" customFormat="1" ht="30" x14ac:dyDescent="0.25">
      <c r="B164" s="76" t="s">
        <v>205</v>
      </c>
      <c r="C164" s="55"/>
      <c r="D164" s="55"/>
      <c r="E164" s="63" t="s">
        <v>206</v>
      </c>
      <c r="F164" s="64" t="s">
        <v>61</v>
      </c>
      <c r="G164" s="65">
        <v>19</v>
      </c>
      <c r="H164" s="66"/>
      <c r="I164" s="66"/>
      <c r="J164" s="67">
        <v>134.26</v>
      </c>
      <c r="K164" s="68">
        <v>2550.94</v>
      </c>
      <c r="L164" s="111">
        <v>0</v>
      </c>
      <c r="M164" s="62">
        <f t="shared" si="11"/>
        <v>0</v>
      </c>
    </row>
    <row r="165" spans="2:13" s="10" customFormat="1" ht="30" x14ac:dyDescent="0.25">
      <c r="B165" s="76" t="s">
        <v>207</v>
      </c>
      <c r="C165" s="55"/>
      <c r="D165" s="55"/>
      <c r="E165" s="63" t="s">
        <v>208</v>
      </c>
      <c r="F165" s="64" t="s">
        <v>84</v>
      </c>
      <c r="G165" s="65">
        <v>5</v>
      </c>
      <c r="H165" s="66"/>
      <c r="I165" s="66"/>
      <c r="J165" s="67">
        <v>189.3</v>
      </c>
      <c r="K165" s="68">
        <v>946.5</v>
      </c>
      <c r="L165" s="111">
        <v>0</v>
      </c>
      <c r="M165" s="62">
        <f t="shared" si="11"/>
        <v>0</v>
      </c>
    </row>
    <row r="166" spans="2:13" s="10" customFormat="1" ht="30" x14ac:dyDescent="0.25">
      <c r="B166" s="76" t="s">
        <v>209</v>
      </c>
      <c r="C166" s="55"/>
      <c r="D166" s="55"/>
      <c r="E166" s="63" t="s">
        <v>210</v>
      </c>
      <c r="F166" s="64" t="s">
        <v>84</v>
      </c>
      <c r="G166" s="65">
        <v>5</v>
      </c>
      <c r="H166" s="66"/>
      <c r="I166" s="66"/>
      <c r="J166" s="67">
        <v>74.47</v>
      </c>
      <c r="K166" s="68">
        <v>372.35</v>
      </c>
      <c r="L166" s="111">
        <v>0</v>
      </c>
      <c r="M166" s="62">
        <f t="shared" si="11"/>
        <v>0</v>
      </c>
    </row>
    <row r="167" spans="2:13" s="10" customFormat="1" ht="30" x14ac:dyDescent="0.25">
      <c r="B167" s="76" t="s">
        <v>211</v>
      </c>
      <c r="C167" s="55"/>
      <c r="D167" s="55"/>
      <c r="E167" s="63" t="s">
        <v>212</v>
      </c>
      <c r="F167" s="64" t="s">
        <v>84</v>
      </c>
      <c r="G167" s="65">
        <v>8</v>
      </c>
      <c r="H167" s="66"/>
      <c r="I167" s="66"/>
      <c r="J167" s="67">
        <v>52.06</v>
      </c>
      <c r="K167" s="68">
        <v>416.48</v>
      </c>
      <c r="L167" s="111">
        <v>0</v>
      </c>
      <c r="M167" s="62">
        <f t="shared" si="11"/>
        <v>0</v>
      </c>
    </row>
    <row r="168" spans="2:13" s="10" customFormat="1" ht="45" x14ac:dyDescent="0.25">
      <c r="B168" s="76" t="s">
        <v>213</v>
      </c>
      <c r="C168" s="55"/>
      <c r="D168" s="55"/>
      <c r="E168" s="63" t="s">
        <v>214</v>
      </c>
      <c r="F168" s="64" t="s">
        <v>84</v>
      </c>
      <c r="G168" s="65">
        <v>16</v>
      </c>
      <c r="H168" s="66"/>
      <c r="I168" s="66"/>
      <c r="J168" s="67">
        <v>100.31</v>
      </c>
      <c r="K168" s="68">
        <v>1604.96</v>
      </c>
      <c r="L168" s="111">
        <v>0</v>
      </c>
      <c r="M168" s="62">
        <f t="shared" si="11"/>
        <v>0</v>
      </c>
    </row>
    <row r="169" spans="2:13" s="10" customFormat="1" ht="45" x14ac:dyDescent="0.25">
      <c r="B169" s="76" t="s">
        <v>215</v>
      </c>
      <c r="C169" s="55"/>
      <c r="D169" s="55"/>
      <c r="E169" s="63" t="s">
        <v>216</v>
      </c>
      <c r="F169" s="64" t="s">
        <v>84</v>
      </c>
      <c r="G169" s="65">
        <v>13</v>
      </c>
      <c r="H169" s="66"/>
      <c r="I169" s="66"/>
      <c r="J169" s="67">
        <v>227.33</v>
      </c>
      <c r="K169" s="68">
        <v>2955.29</v>
      </c>
      <c r="L169" s="111">
        <v>0</v>
      </c>
      <c r="M169" s="62">
        <f t="shared" si="11"/>
        <v>0</v>
      </c>
    </row>
    <row r="170" spans="2:13" s="10" customFormat="1" ht="60" x14ac:dyDescent="0.25">
      <c r="B170" s="76" t="s">
        <v>217</v>
      </c>
      <c r="C170" s="55"/>
      <c r="D170" s="55"/>
      <c r="E170" s="63" t="s">
        <v>218</v>
      </c>
      <c r="F170" s="64" t="s">
        <v>84</v>
      </c>
      <c r="G170" s="65">
        <v>6</v>
      </c>
      <c r="H170" s="66"/>
      <c r="I170" s="66"/>
      <c r="J170" s="67">
        <v>3785.38</v>
      </c>
      <c r="K170" s="68">
        <v>22712.28</v>
      </c>
      <c r="L170" s="111">
        <v>0</v>
      </c>
      <c r="M170" s="62">
        <f t="shared" si="11"/>
        <v>0</v>
      </c>
    </row>
    <row r="171" spans="2:13" s="10" customFormat="1" ht="60" x14ac:dyDescent="0.25">
      <c r="B171" s="76" t="s">
        <v>219</v>
      </c>
      <c r="C171" s="55"/>
      <c r="D171" s="55"/>
      <c r="E171" s="63" t="s">
        <v>220</v>
      </c>
      <c r="F171" s="64" t="s">
        <v>84</v>
      </c>
      <c r="G171" s="65">
        <v>2</v>
      </c>
      <c r="H171" s="66"/>
      <c r="I171" s="66"/>
      <c r="J171" s="67">
        <v>4623.07</v>
      </c>
      <c r="K171" s="68">
        <v>9246.16</v>
      </c>
      <c r="L171" s="111">
        <v>0</v>
      </c>
      <c r="M171" s="62">
        <f t="shared" si="11"/>
        <v>0</v>
      </c>
    </row>
    <row r="172" spans="2:13" s="10" customFormat="1" ht="15.75" x14ac:dyDescent="0.25">
      <c r="B172" s="76"/>
      <c r="C172" s="55"/>
      <c r="D172" s="55"/>
      <c r="E172" s="63"/>
      <c r="F172" s="64"/>
      <c r="G172" s="65"/>
      <c r="H172" s="66"/>
      <c r="I172" s="66"/>
      <c r="J172" s="72" t="s">
        <v>32</v>
      </c>
      <c r="K172" s="73">
        <f>SUM(K146:K171)</f>
        <v>101600.6</v>
      </c>
      <c r="L172" s="73"/>
      <c r="M172" s="80">
        <f>SUM(M146:M171)</f>
        <v>0</v>
      </c>
    </row>
    <row r="173" spans="2:13" s="10" customFormat="1" ht="15.75" x14ac:dyDescent="0.25">
      <c r="B173" s="49" t="s">
        <v>221</v>
      </c>
      <c r="C173" s="50"/>
      <c r="D173" s="51"/>
      <c r="E173" s="52" t="s">
        <v>222</v>
      </c>
      <c r="F173" s="52"/>
      <c r="G173" s="81"/>
      <c r="H173" s="52"/>
      <c r="I173" s="52"/>
      <c r="J173" s="52"/>
      <c r="K173" s="52"/>
      <c r="L173" s="53"/>
      <c r="M173" s="52"/>
    </row>
    <row r="174" spans="2:13" s="10" customFormat="1" ht="30" x14ac:dyDescent="0.25">
      <c r="B174" s="76" t="s">
        <v>223</v>
      </c>
      <c r="C174" s="55"/>
      <c r="D174" s="55"/>
      <c r="E174" s="63" t="s">
        <v>224</v>
      </c>
      <c r="F174" s="64" t="s">
        <v>61</v>
      </c>
      <c r="G174" s="65">
        <v>66</v>
      </c>
      <c r="H174" s="66"/>
      <c r="I174" s="66"/>
      <c r="J174" s="67">
        <v>36.72</v>
      </c>
      <c r="K174" s="68">
        <v>2423.52</v>
      </c>
      <c r="L174" s="111">
        <v>0</v>
      </c>
      <c r="M174" s="62">
        <f>ROUND(G174*L174,2)</f>
        <v>0</v>
      </c>
    </row>
    <row r="175" spans="2:13" s="10" customFormat="1" ht="30" x14ac:dyDescent="0.25">
      <c r="B175" s="76" t="s">
        <v>225</v>
      </c>
      <c r="C175" s="55"/>
      <c r="D175" s="55"/>
      <c r="E175" s="63" t="s">
        <v>226</v>
      </c>
      <c r="F175" s="64" t="s">
        <v>61</v>
      </c>
      <c r="G175" s="65">
        <v>21</v>
      </c>
      <c r="H175" s="66"/>
      <c r="I175" s="66"/>
      <c r="J175" s="67">
        <v>50.95</v>
      </c>
      <c r="K175" s="68">
        <v>1069.95</v>
      </c>
      <c r="L175" s="111">
        <v>0</v>
      </c>
      <c r="M175" s="62">
        <f t="shared" ref="M175:M181" si="12">ROUND(G175*L175,2)</f>
        <v>0</v>
      </c>
    </row>
    <row r="176" spans="2:13" s="10" customFormat="1" ht="30" x14ac:dyDescent="0.25">
      <c r="B176" s="76" t="s">
        <v>227</v>
      </c>
      <c r="C176" s="55"/>
      <c r="D176" s="55"/>
      <c r="E176" s="63" t="s">
        <v>228</v>
      </c>
      <c r="F176" s="64" t="s">
        <v>84</v>
      </c>
      <c r="G176" s="65">
        <v>4</v>
      </c>
      <c r="H176" s="66"/>
      <c r="I176" s="66"/>
      <c r="J176" s="67">
        <v>14.47</v>
      </c>
      <c r="K176" s="68">
        <v>57.88</v>
      </c>
      <c r="L176" s="111">
        <v>0</v>
      </c>
      <c r="M176" s="62">
        <f t="shared" si="12"/>
        <v>0</v>
      </c>
    </row>
    <row r="177" spans="2:13" s="10" customFormat="1" ht="45" x14ac:dyDescent="0.25">
      <c r="B177" s="76" t="s">
        <v>229</v>
      </c>
      <c r="C177" s="55"/>
      <c r="D177" s="55"/>
      <c r="E177" s="63" t="s">
        <v>230</v>
      </c>
      <c r="F177" s="64" t="s">
        <v>84</v>
      </c>
      <c r="G177" s="65">
        <v>3</v>
      </c>
      <c r="H177" s="66"/>
      <c r="I177" s="66"/>
      <c r="J177" s="67">
        <v>25.95</v>
      </c>
      <c r="K177" s="68">
        <v>77.849999999999994</v>
      </c>
      <c r="L177" s="111">
        <v>0</v>
      </c>
      <c r="M177" s="62">
        <f t="shared" si="12"/>
        <v>0</v>
      </c>
    </row>
    <row r="178" spans="2:13" s="10" customFormat="1" ht="30" x14ac:dyDescent="0.25">
      <c r="B178" s="76" t="s">
        <v>231</v>
      </c>
      <c r="C178" s="55"/>
      <c r="D178" s="55"/>
      <c r="E178" s="63" t="s">
        <v>232</v>
      </c>
      <c r="F178" s="64" t="s">
        <v>84</v>
      </c>
      <c r="G178" s="65">
        <v>1</v>
      </c>
      <c r="H178" s="66"/>
      <c r="I178" s="66"/>
      <c r="J178" s="67">
        <v>18.32</v>
      </c>
      <c r="K178" s="68">
        <v>18.32</v>
      </c>
      <c r="L178" s="111">
        <v>0</v>
      </c>
      <c r="M178" s="62">
        <f t="shared" si="12"/>
        <v>0</v>
      </c>
    </row>
    <row r="179" spans="2:13" s="10" customFormat="1" ht="30" x14ac:dyDescent="0.25">
      <c r="B179" s="76" t="s">
        <v>233</v>
      </c>
      <c r="C179" s="55"/>
      <c r="D179" s="55"/>
      <c r="E179" s="63" t="s">
        <v>234</v>
      </c>
      <c r="F179" s="64" t="s">
        <v>84</v>
      </c>
      <c r="G179" s="65">
        <v>2</v>
      </c>
      <c r="H179" s="66"/>
      <c r="I179" s="66"/>
      <c r="J179" s="67">
        <v>31.23</v>
      </c>
      <c r="K179" s="68">
        <v>62.46</v>
      </c>
      <c r="L179" s="111">
        <v>0</v>
      </c>
      <c r="M179" s="62">
        <f t="shared" si="12"/>
        <v>0</v>
      </c>
    </row>
    <row r="180" spans="2:13" s="10" customFormat="1" ht="30" x14ac:dyDescent="0.25">
      <c r="B180" s="76" t="s">
        <v>235</v>
      </c>
      <c r="C180" s="55"/>
      <c r="D180" s="55"/>
      <c r="E180" s="63" t="s">
        <v>236</v>
      </c>
      <c r="F180" s="64" t="s">
        <v>84</v>
      </c>
      <c r="G180" s="65">
        <v>2</v>
      </c>
      <c r="H180" s="66"/>
      <c r="I180" s="66"/>
      <c r="J180" s="67">
        <v>15.66</v>
      </c>
      <c r="K180" s="68">
        <v>31.32</v>
      </c>
      <c r="L180" s="111">
        <v>0</v>
      </c>
      <c r="M180" s="62">
        <f t="shared" si="12"/>
        <v>0</v>
      </c>
    </row>
    <row r="181" spans="2:13" s="10" customFormat="1" ht="30" x14ac:dyDescent="0.25">
      <c r="B181" s="76" t="s">
        <v>237</v>
      </c>
      <c r="C181" s="55"/>
      <c r="D181" s="55"/>
      <c r="E181" s="63" t="s">
        <v>238</v>
      </c>
      <c r="F181" s="64" t="s">
        <v>84</v>
      </c>
      <c r="G181" s="65">
        <v>3</v>
      </c>
      <c r="H181" s="66"/>
      <c r="I181" s="66"/>
      <c r="J181" s="67">
        <v>57.56</v>
      </c>
      <c r="K181" s="68">
        <v>172.68</v>
      </c>
      <c r="L181" s="111">
        <v>0</v>
      </c>
      <c r="M181" s="62">
        <f t="shared" si="12"/>
        <v>0</v>
      </c>
    </row>
    <row r="182" spans="2:13" s="10" customFormat="1" ht="15.75" x14ac:dyDescent="0.25">
      <c r="B182" s="76"/>
      <c r="C182" s="55"/>
      <c r="D182" s="55"/>
      <c r="E182" s="63"/>
      <c r="F182" s="64"/>
      <c r="G182" s="65"/>
      <c r="H182" s="66"/>
      <c r="I182" s="66"/>
      <c r="J182" s="72" t="s">
        <v>32</v>
      </c>
      <c r="K182" s="73">
        <f>SUM(K174:K181)</f>
        <v>3913.9800000000005</v>
      </c>
      <c r="L182" s="73"/>
      <c r="M182" s="80">
        <f>SUM(M174:M181)</f>
        <v>0</v>
      </c>
    </row>
    <row r="183" spans="2:13" s="10" customFormat="1" ht="15.75" x14ac:dyDescent="0.25">
      <c r="B183" s="49" t="s">
        <v>239</v>
      </c>
      <c r="C183" s="50"/>
      <c r="D183" s="51"/>
      <c r="E183" s="52" t="s">
        <v>240</v>
      </c>
      <c r="F183" s="52"/>
      <c r="G183" s="81"/>
      <c r="H183" s="52"/>
      <c r="I183" s="52"/>
      <c r="J183" s="52"/>
      <c r="K183" s="52"/>
      <c r="L183" s="53"/>
      <c r="M183" s="52"/>
    </row>
    <row r="184" spans="2:13" s="10" customFormat="1" ht="30" x14ac:dyDescent="0.25">
      <c r="B184" s="76" t="s">
        <v>241</v>
      </c>
      <c r="C184" s="55"/>
      <c r="D184" s="55"/>
      <c r="E184" s="63" t="s">
        <v>242</v>
      </c>
      <c r="F184" s="64" t="s">
        <v>61</v>
      </c>
      <c r="G184" s="65">
        <v>39</v>
      </c>
      <c r="H184" s="66"/>
      <c r="I184" s="66"/>
      <c r="J184" s="67">
        <v>79.319999999999993</v>
      </c>
      <c r="K184" s="68">
        <v>3093.48</v>
      </c>
      <c r="L184" s="111">
        <v>0</v>
      </c>
      <c r="M184" s="62">
        <f>ROUND(G184*L184,2)</f>
        <v>0</v>
      </c>
    </row>
    <row r="185" spans="2:13" s="10" customFormat="1" ht="30" x14ac:dyDescent="0.25">
      <c r="B185" s="76" t="s">
        <v>243</v>
      </c>
      <c r="C185" s="55"/>
      <c r="D185" s="55"/>
      <c r="E185" s="63" t="s">
        <v>244</v>
      </c>
      <c r="F185" s="64" t="s">
        <v>84</v>
      </c>
      <c r="G185" s="65">
        <v>10</v>
      </c>
      <c r="H185" s="66"/>
      <c r="I185" s="66"/>
      <c r="J185" s="67">
        <v>124.58</v>
      </c>
      <c r="K185" s="68">
        <v>1245.8</v>
      </c>
      <c r="L185" s="111">
        <v>0</v>
      </c>
      <c r="M185" s="62">
        <f t="shared" ref="M185:M187" si="13">ROUND(G185*L185,2)</f>
        <v>0</v>
      </c>
    </row>
    <row r="186" spans="2:13" s="10" customFormat="1" ht="60" x14ac:dyDescent="0.25">
      <c r="B186" s="76" t="s">
        <v>245</v>
      </c>
      <c r="C186" s="55"/>
      <c r="D186" s="55"/>
      <c r="E186" s="63" t="s">
        <v>246</v>
      </c>
      <c r="F186" s="64" t="s">
        <v>84</v>
      </c>
      <c r="G186" s="65">
        <v>2</v>
      </c>
      <c r="H186" s="66"/>
      <c r="I186" s="66"/>
      <c r="J186" s="67">
        <v>1124.48</v>
      </c>
      <c r="K186" s="68">
        <v>2248.96</v>
      </c>
      <c r="L186" s="111">
        <v>0</v>
      </c>
      <c r="M186" s="62">
        <f t="shared" si="13"/>
        <v>0</v>
      </c>
    </row>
    <row r="187" spans="2:13" s="10" customFormat="1" ht="60" x14ac:dyDescent="0.25">
      <c r="B187" s="76" t="s">
        <v>247</v>
      </c>
      <c r="C187" s="55"/>
      <c r="D187" s="55"/>
      <c r="E187" s="63" t="s">
        <v>248</v>
      </c>
      <c r="F187" s="64" t="s">
        <v>61</v>
      </c>
      <c r="G187" s="65">
        <v>360</v>
      </c>
      <c r="H187" s="66"/>
      <c r="I187" s="66"/>
      <c r="J187" s="67">
        <v>117.21</v>
      </c>
      <c r="K187" s="68">
        <v>42195.6</v>
      </c>
      <c r="L187" s="111">
        <v>0</v>
      </c>
      <c r="M187" s="62">
        <f t="shared" si="13"/>
        <v>0</v>
      </c>
    </row>
    <row r="188" spans="2:13" s="10" customFormat="1" ht="15.75" x14ac:dyDescent="0.25">
      <c r="B188" s="76"/>
      <c r="C188" s="55"/>
      <c r="D188" s="55"/>
      <c r="E188" s="63"/>
      <c r="F188" s="64"/>
      <c r="G188" s="65"/>
      <c r="H188" s="66"/>
      <c r="I188" s="66"/>
      <c r="J188" s="72" t="s">
        <v>32</v>
      </c>
      <c r="K188" s="73">
        <f>SUM(K184:K187)</f>
        <v>48783.839999999997</v>
      </c>
      <c r="L188" s="73"/>
      <c r="M188" s="80">
        <f>SUM(M184:M187)</f>
        <v>0</v>
      </c>
    </row>
    <row r="189" spans="2:13" s="10" customFormat="1" ht="15.75" x14ac:dyDescent="0.25">
      <c r="B189" s="49" t="s">
        <v>249</v>
      </c>
      <c r="C189" s="50"/>
      <c r="D189" s="51"/>
      <c r="E189" s="52" t="s">
        <v>250</v>
      </c>
      <c r="F189" s="52"/>
      <c r="G189" s="81"/>
      <c r="H189" s="52"/>
      <c r="I189" s="52"/>
      <c r="J189" s="52"/>
      <c r="K189" s="52"/>
      <c r="L189" s="53"/>
      <c r="M189" s="52"/>
    </row>
    <row r="190" spans="2:13" s="10" customFormat="1" ht="60" x14ac:dyDescent="0.25">
      <c r="B190" s="76" t="s">
        <v>251</v>
      </c>
      <c r="C190" s="55"/>
      <c r="D190" s="55"/>
      <c r="E190" s="63" t="s">
        <v>252</v>
      </c>
      <c r="F190" s="64" t="s">
        <v>24</v>
      </c>
      <c r="G190" s="65">
        <v>450</v>
      </c>
      <c r="H190" s="66"/>
      <c r="I190" s="66"/>
      <c r="J190" s="67">
        <v>11.47</v>
      </c>
      <c r="K190" s="68">
        <v>5161.5</v>
      </c>
      <c r="L190" s="111">
        <v>0</v>
      </c>
      <c r="M190" s="62">
        <f>ROUND(G190*L190,2)</f>
        <v>0</v>
      </c>
    </row>
    <row r="191" spans="2:13" s="10" customFormat="1" ht="45" x14ac:dyDescent="0.25">
      <c r="B191" s="76" t="s">
        <v>253</v>
      </c>
      <c r="C191" s="55"/>
      <c r="D191" s="55"/>
      <c r="E191" s="63" t="s">
        <v>254</v>
      </c>
      <c r="F191" s="64" t="s">
        <v>255</v>
      </c>
      <c r="G191" s="65">
        <v>4500</v>
      </c>
      <c r="H191" s="66"/>
      <c r="I191" s="66"/>
      <c r="J191" s="67">
        <v>2.36</v>
      </c>
      <c r="K191" s="68">
        <v>10620</v>
      </c>
      <c r="L191" s="111">
        <v>0</v>
      </c>
      <c r="M191" s="62">
        <f>ROUND(G191*L191,2)</f>
        <v>0</v>
      </c>
    </row>
    <row r="192" spans="2:13" s="10" customFormat="1" ht="17.100000000000001" customHeight="1" x14ac:dyDescent="0.25">
      <c r="B192" s="85"/>
      <c r="C192" s="55"/>
      <c r="D192" s="55"/>
      <c r="E192" s="86"/>
      <c r="F192" s="87"/>
      <c r="G192" s="88"/>
      <c r="H192" s="66"/>
      <c r="I192" s="66"/>
      <c r="J192" s="72" t="s">
        <v>32</v>
      </c>
      <c r="K192" s="73">
        <f>SUM(K190:K191)</f>
        <v>15781.5</v>
      </c>
      <c r="L192" s="73"/>
      <c r="M192" s="80">
        <f>SUM(M190:M191)</f>
        <v>0</v>
      </c>
    </row>
    <row r="193" spans="2:13" s="10" customFormat="1" ht="17.100000000000001" customHeight="1" x14ac:dyDescent="0.25">
      <c r="B193" s="85"/>
      <c r="C193" s="55"/>
      <c r="D193" s="55"/>
      <c r="E193" s="86"/>
      <c r="F193" s="87"/>
      <c r="G193" s="88"/>
      <c r="H193" s="66"/>
      <c r="I193" s="66"/>
      <c r="J193" s="67"/>
      <c r="K193" s="68"/>
      <c r="L193" s="89"/>
      <c r="M193" s="62"/>
    </row>
    <row r="194" spans="2:13" s="10" customFormat="1" ht="17.100000000000001" customHeight="1" x14ac:dyDescent="0.25">
      <c r="B194" s="85"/>
      <c r="C194" s="55"/>
      <c r="D194" s="55"/>
      <c r="E194" s="86"/>
      <c r="F194" s="146" t="s">
        <v>256</v>
      </c>
      <c r="G194" s="147"/>
      <c r="H194" s="147"/>
      <c r="I194" s="147"/>
      <c r="J194" s="148"/>
      <c r="K194" s="90">
        <f>SUM(K134,K144,K172,K188,K192,K182)</f>
        <v>268025.03000000003</v>
      </c>
      <c r="L194" s="90"/>
      <c r="M194" s="91">
        <f>SUM(M134,M144,M172,M188,M192,M182)</f>
        <v>0</v>
      </c>
    </row>
    <row r="195" spans="2:13" s="10" customFormat="1" ht="17.100000000000001" customHeight="1" x14ac:dyDescent="0.25">
      <c r="B195" s="85"/>
      <c r="C195" s="55"/>
      <c r="D195" s="55"/>
      <c r="E195" s="86"/>
      <c r="F195" s="87"/>
      <c r="G195" s="88"/>
      <c r="H195" s="66"/>
      <c r="I195" s="66"/>
      <c r="J195" s="67"/>
      <c r="K195" s="92"/>
      <c r="L195" s="93"/>
      <c r="M195" s="94"/>
    </row>
    <row r="196" spans="2:13" s="10" customFormat="1" ht="17.100000000000001" customHeight="1" x14ac:dyDescent="0.25">
      <c r="B196" s="149"/>
      <c r="C196" s="149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</row>
    <row r="197" spans="2:13" s="10" customFormat="1" ht="33" customHeight="1" x14ac:dyDescent="0.25">
      <c r="B197" s="150" t="s">
        <v>257</v>
      </c>
      <c r="C197" s="151"/>
      <c r="D197" s="151"/>
      <c r="E197" s="151"/>
      <c r="F197" s="151"/>
      <c r="G197" s="151"/>
      <c r="H197" s="151"/>
      <c r="I197" s="151"/>
      <c r="J197" s="151"/>
      <c r="K197" s="151"/>
      <c r="L197" s="151"/>
      <c r="M197" s="152"/>
    </row>
    <row r="198" spans="2:13" s="10" customFormat="1" x14ac:dyDescent="0.25">
      <c r="B198" s="149"/>
      <c r="C198" s="149"/>
      <c r="D198" s="149"/>
      <c r="E198" s="149"/>
      <c r="F198" s="149"/>
      <c r="G198" s="149"/>
      <c r="H198" s="149"/>
      <c r="I198" s="149"/>
      <c r="J198" s="149"/>
      <c r="K198" s="149"/>
      <c r="L198" s="149"/>
      <c r="M198" s="149"/>
    </row>
    <row r="199" spans="2:13" s="10" customFormat="1" ht="17.100000000000001" customHeight="1" x14ac:dyDescent="0.25">
      <c r="B199" s="159" t="s">
        <v>8</v>
      </c>
      <c r="C199" s="161" t="s">
        <v>9</v>
      </c>
      <c r="D199" s="159" t="s">
        <v>10</v>
      </c>
      <c r="E199" s="159" t="s">
        <v>11</v>
      </c>
      <c r="F199" s="159" t="s">
        <v>12</v>
      </c>
      <c r="G199" s="140" t="s">
        <v>13</v>
      </c>
      <c r="H199" s="42"/>
      <c r="I199" s="42"/>
      <c r="J199" s="142" t="s">
        <v>14</v>
      </c>
      <c r="K199" s="143"/>
      <c r="L199" s="144" t="s">
        <v>15</v>
      </c>
      <c r="M199" s="145"/>
    </row>
    <row r="200" spans="2:13" s="10" customFormat="1" ht="31.5" x14ac:dyDescent="0.25">
      <c r="B200" s="160"/>
      <c r="C200" s="162"/>
      <c r="D200" s="160"/>
      <c r="E200" s="160"/>
      <c r="F200" s="160"/>
      <c r="G200" s="141"/>
      <c r="H200" s="43" t="s">
        <v>16</v>
      </c>
      <c r="I200" s="44" t="s">
        <v>17</v>
      </c>
      <c r="J200" s="45" t="s">
        <v>18</v>
      </c>
      <c r="K200" s="46" t="s">
        <v>19</v>
      </c>
      <c r="L200" s="47" t="s">
        <v>18</v>
      </c>
      <c r="M200" s="48" t="s">
        <v>19</v>
      </c>
    </row>
    <row r="201" spans="2:13" s="10" customFormat="1" ht="15.75" x14ac:dyDescent="0.25">
      <c r="B201" s="49" t="s">
        <v>258</v>
      </c>
      <c r="C201" s="50"/>
      <c r="D201" s="51"/>
      <c r="E201" s="52" t="s">
        <v>259</v>
      </c>
      <c r="F201" s="52"/>
      <c r="G201" s="81"/>
      <c r="H201" s="52"/>
      <c r="I201" s="52"/>
      <c r="J201" s="52"/>
      <c r="K201" s="52"/>
      <c r="L201" s="53"/>
      <c r="M201" s="52"/>
    </row>
    <row r="202" spans="2:13" s="10" customFormat="1" ht="45" x14ac:dyDescent="0.25">
      <c r="B202" s="69" t="s">
        <v>260</v>
      </c>
      <c r="C202" s="55"/>
      <c r="D202" s="55"/>
      <c r="E202" s="96" t="s">
        <v>261</v>
      </c>
      <c r="F202" s="69" t="s">
        <v>27</v>
      </c>
      <c r="G202" s="97">
        <v>6</v>
      </c>
      <c r="H202" s="66"/>
      <c r="I202" s="66"/>
      <c r="J202" s="67">
        <v>596.73</v>
      </c>
      <c r="K202" s="68">
        <v>3580.38</v>
      </c>
      <c r="L202" s="111">
        <v>0</v>
      </c>
      <c r="M202" s="62">
        <f>ROUND(G202*L202,2)</f>
        <v>0</v>
      </c>
    </row>
    <row r="203" spans="2:13" s="10" customFormat="1" ht="45" x14ac:dyDescent="0.25">
      <c r="B203" s="69" t="s">
        <v>262</v>
      </c>
      <c r="C203" s="55"/>
      <c r="D203" s="55"/>
      <c r="E203" s="96" t="s">
        <v>263</v>
      </c>
      <c r="F203" s="69" t="s">
        <v>61</v>
      </c>
      <c r="G203" s="97">
        <f>75+40+75+40</f>
        <v>230</v>
      </c>
      <c r="H203" s="66"/>
      <c r="I203" s="66"/>
      <c r="J203" s="67">
        <v>96.9</v>
      </c>
      <c r="K203" s="68">
        <v>22287</v>
      </c>
      <c r="L203" s="111">
        <v>0</v>
      </c>
      <c r="M203" s="62">
        <f t="shared" ref="M203:M212" si="14">ROUND(G203*L203,2)</f>
        <v>0</v>
      </c>
    </row>
    <row r="204" spans="2:13" s="10" customFormat="1" ht="30" x14ac:dyDescent="0.25">
      <c r="B204" s="69" t="s">
        <v>264</v>
      </c>
      <c r="C204" s="55"/>
      <c r="D204" s="55"/>
      <c r="E204" s="96" t="s">
        <v>265</v>
      </c>
      <c r="F204" s="69" t="s">
        <v>84</v>
      </c>
      <c r="G204" s="97">
        <v>1</v>
      </c>
      <c r="H204" s="66"/>
      <c r="I204" s="66"/>
      <c r="J204" s="67">
        <v>8147.4</v>
      </c>
      <c r="K204" s="68">
        <v>8147.4</v>
      </c>
      <c r="L204" s="111">
        <v>0</v>
      </c>
      <c r="M204" s="62">
        <f t="shared" si="14"/>
        <v>0</v>
      </c>
    </row>
    <row r="205" spans="2:13" s="10" customFormat="1" ht="30" x14ac:dyDescent="0.25">
      <c r="B205" s="69" t="s">
        <v>266</v>
      </c>
      <c r="C205" s="55"/>
      <c r="D205" s="55"/>
      <c r="E205" s="96" t="s">
        <v>267</v>
      </c>
      <c r="F205" s="69" t="s">
        <v>84</v>
      </c>
      <c r="G205" s="97">
        <v>1</v>
      </c>
      <c r="H205" s="66"/>
      <c r="I205" s="66"/>
      <c r="J205" s="67">
        <v>870.67</v>
      </c>
      <c r="K205" s="68">
        <v>870.67</v>
      </c>
      <c r="L205" s="111">
        <v>0</v>
      </c>
      <c r="M205" s="62">
        <f t="shared" si="14"/>
        <v>0</v>
      </c>
    </row>
    <row r="206" spans="2:13" s="10" customFormat="1" ht="60" x14ac:dyDescent="0.25">
      <c r="B206" s="69" t="s">
        <v>268</v>
      </c>
      <c r="C206" s="55"/>
      <c r="D206" s="55"/>
      <c r="E206" s="96" t="s">
        <v>269</v>
      </c>
      <c r="F206" s="69" t="s">
        <v>84</v>
      </c>
      <c r="G206" s="97">
        <v>1</v>
      </c>
      <c r="H206" s="66"/>
      <c r="I206" s="66"/>
      <c r="J206" s="67">
        <v>584.38</v>
      </c>
      <c r="K206" s="68">
        <v>584.38</v>
      </c>
      <c r="L206" s="111">
        <v>0</v>
      </c>
      <c r="M206" s="62">
        <f t="shared" si="14"/>
        <v>0</v>
      </c>
    </row>
    <row r="207" spans="2:13" s="10" customFormat="1" ht="60" x14ac:dyDescent="0.25">
      <c r="B207" s="69" t="s">
        <v>270</v>
      </c>
      <c r="C207" s="55"/>
      <c r="D207" s="98"/>
      <c r="E207" s="96" t="s">
        <v>271</v>
      </c>
      <c r="F207" s="69" t="s">
        <v>84</v>
      </c>
      <c r="G207" s="97">
        <v>1</v>
      </c>
      <c r="H207" s="66"/>
      <c r="I207" s="66"/>
      <c r="J207" s="67">
        <v>3397.08</v>
      </c>
      <c r="K207" s="68">
        <v>3397.08</v>
      </c>
      <c r="L207" s="111">
        <v>0</v>
      </c>
      <c r="M207" s="62">
        <f t="shared" si="14"/>
        <v>0</v>
      </c>
    </row>
    <row r="208" spans="2:13" s="10" customFormat="1" x14ac:dyDescent="0.25">
      <c r="B208" s="69" t="s">
        <v>272</v>
      </c>
      <c r="C208" s="55"/>
      <c r="D208" s="55"/>
      <c r="E208" s="96" t="s">
        <v>273</v>
      </c>
      <c r="F208" s="69" t="s">
        <v>27</v>
      </c>
      <c r="G208" s="97">
        <f>G203*2.1</f>
        <v>483</v>
      </c>
      <c r="H208" s="66"/>
      <c r="I208" s="66"/>
      <c r="J208" s="67">
        <v>119.69</v>
      </c>
      <c r="K208" s="68">
        <v>57810.27</v>
      </c>
      <c r="L208" s="111">
        <v>0</v>
      </c>
      <c r="M208" s="62">
        <f t="shared" si="14"/>
        <v>0</v>
      </c>
    </row>
    <row r="209" spans="2:13" s="10" customFormat="1" ht="45" x14ac:dyDescent="0.25">
      <c r="B209" s="69" t="s">
        <v>274</v>
      </c>
      <c r="C209" s="55"/>
      <c r="D209" s="55"/>
      <c r="E209" s="96" t="s">
        <v>275</v>
      </c>
      <c r="F209" s="69" t="s">
        <v>276</v>
      </c>
      <c r="G209" s="97">
        <v>6</v>
      </c>
      <c r="H209" s="66"/>
      <c r="I209" s="66"/>
      <c r="J209" s="67">
        <v>1241.7</v>
      </c>
      <c r="K209" s="68">
        <v>7450.2</v>
      </c>
      <c r="L209" s="111">
        <v>0</v>
      </c>
      <c r="M209" s="62">
        <f t="shared" si="14"/>
        <v>0</v>
      </c>
    </row>
    <row r="210" spans="2:13" s="10" customFormat="1" ht="60" x14ac:dyDescent="0.25">
      <c r="B210" s="69" t="s">
        <v>277</v>
      </c>
      <c r="C210" s="55"/>
      <c r="D210" s="55"/>
      <c r="E210" s="96" t="s">
        <v>278</v>
      </c>
      <c r="F210" s="69" t="s">
        <v>279</v>
      </c>
      <c r="G210" s="97">
        <v>287.5</v>
      </c>
      <c r="H210" s="66"/>
      <c r="I210" s="66"/>
      <c r="J210" s="67">
        <v>1.46</v>
      </c>
      <c r="K210" s="68">
        <v>419.75</v>
      </c>
      <c r="L210" s="111">
        <v>0</v>
      </c>
      <c r="M210" s="62">
        <f t="shared" si="14"/>
        <v>0</v>
      </c>
    </row>
    <row r="211" spans="2:13" s="10" customFormat="1" ht="45" x14ac:dyDescent="0.25">
      <c r="B211" s="69" t="s">
        <v>280</v>
      </c>
      <c r="C211" s="55"/>
      <c r="D211" s="55"/>
      <c r="E211" s="96" t="s">
        <v>281</v>
      </c>
      <c r="F211" s="69" t="s">
        <v>276</v>
      </c>
      <c r="G211" s="97">
        <v>6</v>
      </c>
      <c r="H211" s="66"/>
      <c r="I211" s="66"/>
      <c r="J211" s="67">
        <v>1804.6</v>
      </c>
      <c r="K211" s="68">
        <v>10827.6</v>
      </c>
      <c r="L211" s="111">
        <v>0</v>
      </c>
      <c r="M211" s="62">
        <f t="shared" si="14"/>
        <v>0</v>
      </c>
    </row>
    <row r="212" spans="2:13" s="10" customFormat="1" ht="60" x14ac:dyDescent="0.25">
      <c r="B212" s="69" t="s">
        <v>282</v>
      </c>
      <c r="C212" s="55"/>
      <c r="D212" s="55"/>
      <c r="E212" s="96" t="str">
        <f>E210</f>
        <v xml:space="preserve">TRANSPORTE COM CAMINHÃO CARROCERIA COM GUINDAUTO (MUNCK), MOMENTO MÁXIMO DE CARGA 11,7 TM, EM VIA URBANA PAVIMENTADA, ADICIONAL PARA DMT EXCEDENTE A 30 KM (UNIDADE: TXKM). </v>
      </c>
      <c r="F212" s="69" t="s">
        <v>279</v>
      </c>
      <c r="G212" s="97">
        <v>345</v>
      </c>
      <c r="H212" s="66"/>
      <c r="I212" s="66"/>
      <c r="J212" s="67">
        <v>1.46</v>
      </c>
      <c r="K212" s="68">
        <v>503.7</v>
      </c>
      <c r="L212" s="111">
        <v>0</v>
      </c>
      <c r="M212" s="62">
        <f t="shared" si="14"/>
        <v>0</v>
      </c>
    </row>
    <row r="213" spans="2:13" s="10" customFormat="1" ht="17.100000000000001" customHeight="1" x14ac:dyDescent="0.25">
      <c r="B213" s="85"/>
      <c r="C213" s="55"/>
      <c r="D213" s="55"/>
      <c r="E213" s="86"/>
      <c r="F213" s="87"/>
      <c r="G213" s="88"/>
      <c r="H213" s="66"/>
      <c r="I213" s="66"/>
      <c r="J213" s="72" t="s">
        <v>32</v>
      </c>
      <c r="K213" s="73">
        <f>SUM(K202:K212)</f>
        <v>115878.43</v>
      </c>
      <c r="L213" s="73"/>
      <c r="M213" s="80">
        <f>SUM(M202:M212)</f>
        <v>0</v>
      </c>
    </row>
    <row r="214" spans="2:13" s="10" customFormat="1" ht="17.100000000000001" customHeight="1" x14ac:dyDescent="0.25">
      <c r="B214" s="85"/>
      <c r="C214" s="55"/>
      <c r="D214" s="55"/>
      <c r="E214" s="86"/>
      <c r="F214" s="87"/>
      <c r="G214" s="88"/>
      <c r="H214" s="66"/>
      <c r="I214" s="66"/>
      <c r="J214" s="67"/>
      <c r="K214" s="68"/>
      <c r="L214" s="89"/>
      <c r="M214" s="62"/>
    </row>
    <row r="215" spans="2:13" s="10" customFormat="1" ht="17.100000000000001" customHeight="1" x14ac:dyDescent="0.25">
      <c r="B215" s="85"/>
      <c r="C215" s="55"/>
      <c r="D215" s="55"/>
      <c r="E215" s="86"/>
      <c r="F215" s="146" t="s">
        <v>283</v>
      </c>
      <c r="G215" s="147"/>
      <c r="H215" s="147"/>
      <c r="I215" s="147"/>
      <c r="J215" s="148"/>
      <c r="K215" s="90">
        <f>SUM(K213)</f>
        <v>115878.43</v>
      </c>
      <c r="L215" s="90"/>
      <c r="M215" s="91">
        <f>SUM(M213)</f>
        <v>0</v>
      </c>
    </row>
    <row r="216" spans="2:13" s="10" customFormat="1" ht="17.100000000000001" customHeight="1" x14ac:dyDescent="0.25">
      <c r="B216" s="85"/>
      <c r="C216" s="55"/>
      <c r="D216" s="55"/>
      <c r="E216" s="86"/>
      <c r="F216" s="87"/>
      <c r="G216" s="88"/>
      <c r="H216" s="66"/>
      <c r="I216" s="66"/>
      <c r="J216" s="67"/>
      <c r="K216" s="92"/>
      <c r="L216" s="93"/>
      <c r="M216" s="62"/>
    </row>
    <row r="217" spans="2:13" s="10" customFormat="1" ht="17.100000000000001" customHeight="1" x14ac:dyDescent="0.25">
      <c r="B217" s="168"/>
      <c r="C217" s="169"/>
      <c r="D217" s="169"/>
      <c r="E217" s="169"/>
      <c r="F217" s="169"/>
      <c r="G217" s="169"/>
      <c r="H217" s="169"/>
      <c r="I217" s="169"/>
      <c r="J217" s="169"/>
      <c r="K217" s="169"/>
      <c r="L217" s="169"/>
      <c r="M217" s="170"/>
    </row>
    <row r="218" spans="2:13" s="10" customFormat="1" ht="33" customHeight="1" x14ac:dyDescent="0.25">
      <c r="B218" s="171" t="s">
        <v>284</v>
      </c>
      <c r="C218" s="171"/>
      <c r="D218" s="171"/>
      <c r="E218" s="171"/>
      <c r="F218" s="171"/>
      <c r="G218" s="171"/>
      <c r="H218" s="171"/>
      <c r="I218" s="171"/>
      <c r="J218" s="171"/>
      <c r="K218" s="171"/>
      <c r="L218" s="171"/>
      <c r="M218" s="171"/>
    </row>
    <row r="219" spans="2:13" s="10" customFormat="1" ht="33" customHeight="1" x14ac:dyDescent="0.25">
      <c r="B219" s="171" t="s">
        <v>285</v>
      </c>
      <c r="C219" s="171"/>
      <c r="D219" s="171"/>
      <c r="E219" s="171"/>
      <c r="F219" s="171"/>
      <c r="G219" s="171"/>
      <c r="H219" s="99"/>
      <c r="I219" s="99"/>
      <c r="J219" s="172" t="s">
        <v>14</v>
      </c>
      <c r="K219" s="173"/>
      <c r="L219" s="144" t="s">
        <v>15</v>
      </c>
      <c r="M219" s="145"/>
    </row>
    <row r="220" spans="2:13" s="10" customFormat="1" ht="17.100000000000001" customHeight="1" x14ac:dyDescent="0.25">
      <c r="B220" s="174" t="str">
        <f>F54</f>
        <v>TOTAL CAMPO DE FUTEBOL &gt;&gt;&gt;&gt;&gt;</v>
      </c>
      <c r="C220" s="174"/>
      <c r="D220" s="174"/>
      <c r="E220" s="174"/>
      <c r="F220" s="174"/>
      <c r="G220" s="174"/>
      <c r="H220" s="100"/>
      <c r="I220" s="100"/>
      <c r="J220" s="175">
        <f>K54</f>
        <v>691387.01</v>
      </c>
      <c r="K220" s="175"/>
      <c r="L220" s="175">
        <f>M54</f>
        <v>0</v>
      </c>
      <c r="M220" s="175"/>
    </row>
    <row r="221" spans="2:13" s="10" customFormat="1" ht="17.100000000000001" customHeight="1" x14ac:dyDescent="0.25">
      <c r="B221" s="174" t="str">
        <f>F77</f>
        <v>TOTAL MEIA QUADRA BASQUETE &gt;&gt;&gt;&gt;&gt;</v>
      </c>
      <c r="C221" s="174">
        <f>G77</f>
        <v>0</v>
      </c>
      <c r="D221" s="174">
        <f>H77</f>
        <v>0</v>
      </c>
      <c r="E221" s="174"/>
      <c r="F221" s="174"/>
      <c r="G221" s="174"/>
      <c r="H221" s="100"/>
      <c r="I221" s="100"/>
      <c r="J221" s="175">
        <f>K77</f>
        <v>176415.1</v>
      </c>
      <c r="K221" s="175"/>
      <c r="L221" s="175">
        <f>M77</f>
        <v>0</v>
      </c>
      <c r="M221" s="175"/>
    </row>
    <row r="222" spans="2:13" s="10" customFormat="1" ht="17.100000000000001" customHeight="1" x14ac:dyDescent="0.25">
      <c r="B222" s="174" t="str">
        <f>F104</f>
        <v>TOTAL PARQUINHO INFANTIL &gt;&gt;&gt;&gt;&gt;</v>
      </c>
      <c r="C222" s="174">
        <f>G104</f>
        <v>0</v>
      </c>
      <c r="D222" s="174">
        <f>H104</f>
        <v>0</v>
      </c>
      <c r="E222" s="174"/>
      <c r="F222" s="174"/>
      <c r="G222" s="174"/>
      <c r="H222" s="100"/>
      <c r="I222" s="100"/>
      <c r="J222" s="175">
        <f>K104</f>
        <v>144590.34</v>
      </c>
      <c r="K222" s="175"/>
      <c r="L222" s="175">
        <f>M104</f>
        <v>0</v>
      </c>
      <c r="M222" s="175"/>
    </row>
    <row r="223" spans="2:13" s="10" customFormat="1" ht="17.100000000000001" customHeight="1" x14ac:dyDescent="0.25">
      <c r="B223" s="174" t="str">
        <f>F121</f>
        <v>TOTAL PISTA DE CAMINHADA &gt;&gt;&gt;&gt;&gt;</v>
      </c>
      <c r="C223" s="174">
        <f>G121</f>
        <v>0</v>
      </c>
      <c r="D223" s="174">
        <f>H121</f>
        <v>0</v>
      </c>
      <c r="E223" s="174"/>
      <c r="F223" s="174"/>
      <c r="G223" s="174"/>
      <c r="H223" s="100"/>
      <c r="I223" s="100"/>
      <c r="J223" s="175">
        <f>K121</f>
        <v>184428.86000000002</v>
      </c>
      <c r="K223" s="175"/>
      <c r="L223" s="175">
        <f>M121</f>
        <v>0</v>
      </c>
      <c r="M223" s="175"/>
    </row>
    <row r="224" spans="2:13" s="10" customFormat="1" ht="17.100000000000001" customHeight="1" x14ac:dyDescent="0.25">
      <c r="B224" s="174" t="str">
        <f>F194</f>
        <v>TOTAL IMPLANTAÇÃO &gt;&gt;&gt;&gt;&gt;</v>
      </c>
      <c r="C224" s="174">
        <f>G194</f>
        <v>0</v>
      </c>
      <c r="D224" s="174">
        <f>H194</f>
        <v>0</v>
      </c>
      <c r="E224" s="174"/>
      <c r="F224" s="174"/>
      <c r="G224" s="174"/>
      <c r="H224" s="100"/>
      <c r="I224" s="100"/>
      <c r="J224" s="175">
        <f>K194</f>
        <v>268025.03000000003</v>
      </c>
      <c r="K224" s="175"/>
      <c r="L224" s="175">
        <f>M194</f>
        <v>0</v>
      </c>
      <c r="M224" s="175"/>
    </row>
    <row r="225" spans="2:17" s="10" customFormat="1" ht="17.100000000000001" customHeight="1" x14ac:dyDescent="0.25">
      <c r="B225" s="174" t="str">
        <f>F215</f>
        <v>TOTAL CANTEIRO DE OBRAS &gt;&gt;&gt;&gt;&gt;</v>
      </c>
      <c r="C225" s="174">
        <f>G215</f>
        <v>0</v>
      </c>
      <c r="D225" s="174">
        <f>H215</f>
        <v>0</v>
      </c>
      <c r="E225" s="174"/>
      <c r="F225" s="174"/>
      <c r="G225" s="174"/>
      <c r="H225" s="100"/>
      <c r="I225" s="100"/>
      <c r="J225" s="175">
        <f>K215</f>
        <v>115878.43</v>
      </c>
      <c r="K225" s="175"/>
      <c r="L225" s="175">
        <f>M215</f>
        <v>0</v>
      </c>
      <c r="M225" s="175"/>
    </row>
    <row r="226" spans="2:17" s="10" customFormat="1" ht="33" customHeight="1" x14ac:dyDescent="0.25">
      <c r="B226" s="178" t="s">
        <v>286</v>
      </c>
      <c r="C226" s="178"/>
      <c r="D226" s="178"/>
      <c r="E226" s="178"/>
      <c r="F226" s="178"/>
      <c r="G226" s="178"/>
      <c r="H226" s="101"/>
      <c r="I226" s="101"/>
      <c r="J226" s="179">
        <f>SUM(J220:K225)</f>
        <v>1580724.77</v>
      </c>
      <c r="K226" s="179"/>
      <c r="L226" s="179">
        <f>SUM(L220:M225)</f>
        <v>0</v>
      </c>
      <c r="M226" s="179"/>
    </row>
    <row r="227" spans="2:17" ht="21" customHeight="1" x14ac:dyDescent="0.2">
      <c r="B227" s="180" t="s">
        <v>287</v>
      </c>
      <c r="C227" s="181"/>
      <c r="D227" s="181"/>
      <c r="E227" s="181"/>
      <c r="F227" s="181"/>
      <c r="G227" s="102"/>
      <c r="H227" s="103"/>
      <c r="I227" s="103"/>
      <c r="J227" s="103"/>
      <c r="K227" s="103"/>
      <c r="L227" s="103"/>
      <c r="M227" s="104"/>
      <c r="N227" s="12"/>
      <c r="O227" s="12"/>
      <c r="P227" s="12"/>
      <c r="Q227" s="12"/>
    </row>
    <row r="228" spans="2:17" x14ac:dyDescent="0.2">
      <c r="B228" s="105"/>
      <c r="C228" s="106"/>
      <c r="D228" s="107"/>
      <c r="E228" s="33"/>
      <c r="F228" s="107"/>
      <c r="G228" s="107"/>
      <c r="H228" s="103"/>
      <c r="I228" s="103"/>
      <c r="J228" s="103"/>
      <c r="K228" s="103"/>
      <c r="L228" s="103"/>
      <c r="M228" s="104"/>
    </row>
    <row r="229" spans="2:17" x14ac:dyDescent="0.2">
      <c r="B229" s="105"/>
      <c r="C229" s="106"/>
      <c r="D229" s="107"/>
      <c r="E229" s="33"/>
      <c r="F229" s="107"/>
      <c r="G229" s="107"/>
      <c r="H229" s="103"/>
      <c r="I229" s="103"/>
      <c r="J229" s="103"/>
      <c r="K229" s="103"/>
      <c r="L229" s="103"/>
      <c r="M229" s="104"/>
    </row>
    <row r="230" spans="2:17" ht="15.75" customHeight="1" x14ac:dyDescent="0.25">
      <c r="B230" s="105"/>
      <c r="C230" s="106"/>
      <c r="D230" s="107"/>
      <c r="E230" s="33"/>
      <c r="F230" s="107"/>
      <c r="G230" s="107"/>
      <c r="H230" s="103"/>
      <c r="I230" s="103"/>
      <c r="J230" s="103"/>
      <c r="K230" s="182" t="s">
        <v>288</v>
      </c>
      <c r="L230" s="182"/>
      <c r="M230" s="183"/>
    </row>
    <row r="231" spans="2:17" ht="15.75" customHeight="1" x14ac:dyDescent="0.25">
      <c r="B231" s="105"/>
      <c r="C231" s="106"/>
      <c r="D231" s="107"/>
      <c r="E231" s="33"/>
      <c r="F231" s="107"/>
      <c r="G231" s="107"/>
      <c r="H231" s="103"/>
      <c r="I231" s="103"/>
      <c r="J231" s="103"/>
      <c r="K231" s="184" t="s">
        <v>289</v>
      </c>
      <c r="L231" s="184"/>
      <c r="M231" s="185"/>
    </row>
    <row r="232" spans="2:17" x14ac:dyDescent="0.2">
      <c r="B232" s="105"/>
      <c r="C232" s="106"/>
      <c r="D232" s="107"/>
      <c r="E232" s="33"/>
      <c r="F232" s="107"/>
      <c r="G232" s="108"/>
      <c r="H232" s="109"/>
      <c r="I232" s="109"/>
      <c r="J232" s="109"/>
      <c r="K232" s="176"/>
      <c r="L232" s="176"/>
      <c r="M232" s="177"/>
    </row>
    <row r="233" spans="2:17" x14ac:dyDescent="0.2"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</row>
    <row r="234" spans="2:17" x14ac:dyDescent="0.2">
      <c r="B234" s="10"/>
      <c r="C234" s="13"/>
      <c r="D234" s="14"/>
      <c r="F234" s="14"/>
      <c r="K234" s="14"/>
    </row>
    <row r="235" spans="2:17" x14ac:dyDescent="0.2">
      <c r="B235" s="10"/>
      <c r="C235" s="13"/>
      <c r="D235" s="14"/>
      <c r="F235" s="14"/>
      <c r="K235" s="14"/>
    </row>
    <row r="236" spans="2:17" x14ac:dyDescent="0.2">
      <c r="B236" s="10"/>
      <c r="C236" s="13"/>
      <c r="D236" s="14"/>
      <c r="F236" s="14"/>
      <c r="K236" s="14"/>
    </row>
    <row r="237" spans="2:17" x14ac:dyDescent="0.2">
      <c r="B237" s="10"/>
      <c r="C237" s="13"/>
      <c r="D237" s="14"/>
      <c r="F237" s="14"/>
      <c r="K237" s="14"/>
    </row>
    <row r="238" spans="2:17" x14ac:dyDescent="0.2">
      <c r="B238" s="10"/>
      <c r="C238" s="13"/>
      <c r="D238" s="14"/>
      <c r="F238" s="14"/>
      <c r="K238" s="14"/>
    </row>
    <row r="239" spans="2:17" x14ac:dyDescent="0.2"/>
    <row r="240" spans="2:17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</sheetData>
  <sheetProtection algorithmName="SHA-512" hashValue="s+wOltDoSEkV4+uOhNMC+M5iSPK0JC1GXSsdvYBZhZpt3bZ80//dwjSzmeZHxFPkyCjIYB1/AOkMgnk7GHcv5g==" saltValue="nzYNP6MWLoBI2FNxT/UQtA==" spinCount="100000" sheet="1" objects="1" scenarios="1"/>
  <mergeCells count="106">
    <mergeCell ref="K232:M232"/>
    <mergeCell ref="B233:M233"/>
    <mergeCell ref="B226:G226"/>
    <mergeCell ref="J226:K226"/>
    <mergeCell ref="L226:M226"/>
    <mergeCell ref="B227:F227"/>
    <mergeCell ref="K230:M230"/>
    <mergeCell ref="K231:M231"/>
    <mergeCell ref="B224:G224"/>
    <mergeCell ref="J224:K224"/>
    <mergeCell ref="L224:M224"/>
    <mergeCell ref="B225:G225"/>
    <mergeCell ref="J225:K225"/>
    <mergeCell ref="L225:M225"/>
    <mergeCell ref="B222:G222"/>
    <mergeCell ref="J222:K222"/>
    <mergeCell ref="L222:M222"/>
    <mergeCell ref="B223:G223"/>
    <mergeCell ref="J223:K223"/>
    <mergeCell ref="L223:M223"/>
    <mergeCell ref="B220:G220"/>
    <mergeCell ref="J220:K220"/>
    <mergeCell ref="L220:M220"/>
    <mergeCell ref="B221:G221"/>
    <mergeCell ref="J221:K221"/>
    <mergeCell ref="L221:M221"/>
    <mergeCell ref="J199:K199"/>
    <mergeCell ref="L199:M199"/>
    <mergeCell ref="F215:J215"/>
    <mergeCell ref="B217:M217"/>
    <mergeCell ref="B218:M218"/>
    <mergeCell ref="B219:G219"/>
    <mergeCell ref="J219:K219"/>
    <mergeCell ref="L219:M219"/>
    <mergeCell ref="B199:B200"/>
    <mergeCell ref="C199:C200"/>
    <mergeCell ref="D199:D200"/>
    <mergeCell ref="E199:E200"/>
    <mergeCell ref="F199:F200"/>
    <mergeCell ref="G199:G200"/>
    <mergeCell ref="J126:K126"/>
    <mergeCell ref="L126:M126"/>
    <mergeCell ref="F194:J194"/>
    <mergeCell ref="B196:M196"/>
    <mergeCell ref="B197:M197"/>
    <mergeCell ref="B198:M198"/>
    <mergeCell ref="B126:B127"/>
    <mergeCell ref="C126:C127"/>
    <mergeCell ref="D126:D127"/>
    <mergeCell ref="E126:E127"/>
    <mergeCell ref="F126:F127"/>
    <mergeCell ref="G126:G127"/>
    <mergeCell ref="F121:J121"/>
    <mergeCell ref="B123:M123"/>
    <mergeCell ref="B124:M124"/>
    <mergeCell ref="B125:M125"/>
    <mergeCell ref="B109:B110"/>
    <mergeCell ref="C109:C110"/>
    <mergeCell ref="D109:D110"/>
    <mergeCell ref="E109:E110"/>
    <mergeCell ref="F109:F110"/>
    <mergeCell ref="G109:G110"/>
    <mergeCell ref="J82:K82"/>
    <mergeCell ref="L82:M82"/>
    <mergeCell ref="F104:J104"/>
    <mergeCell ref="B106:M106"/>
    <mergeCell ref="B107:M107"/>
    <mergeCell ref="B108:M108"/>
    <mergeCell ref="J109:K109"/>
    <mergeCell ref="L109:M109"/>
    <mergeCell ref="F77:J77"/>
    <mergeCell ref="B79:M79"/>
    <mergeCell ref="B80:M80"/>
    <mergeCell ref="B81:M81"/>
    <mergeCell ref="B82:B83"/>
    <mergeCell ref="C82:C83"/>
    <mergeCell ref="D82:D83"/>
    <mergeCell ref="E82:E83"/>
    <mergeCell ref="F82:F83"/>
    <mergeCell ref="G82:G83"/>
    <mergeCell ref="B58:M58"/>
    <mergeCell ref="B59:B60"/>
    <mergeCell ref="C59:C60"/>
    <mergeCell ref="D59:D60"/>
    <mergeCell ref="E59:E60"/>
    <mergeCell ref="F59:F60"/>
    <mergeCell ref="G59:G60"/>
    <mergeCell ref="J59:K59"/>
    <mergeCell ref="L59:M59"/>
    <mergeCell ref="G14:G15"/>
    <mergeCell ref="J14:K14"/>
    <mergeCell ref="L14:M14"/>
    <mergeCell ref="F54:J54"/>
    <mergeCell ref="B56:M56"/>
    <mergeCell ref="B57:M57"/>
    <mergeCell ref="B2:M2"/>
    <mergeCell ref="B9:M9"/>
    <mergeCell ref="B10:M10"/>
    <mergeCell ref="B12:M12"/>
    <mergeCell ref="B13:M13"/>
    <mergeCell ref="B14:B15"/>
    <mergeCell ref="C14:C15"/>
    <mergeCell ref="D14:D15"/>
    <mergeCell ref="E14:E15"/>
    <mergeCell ref="F14:F15"/>
    <mergeCell ref="B11:M11"/>
  </mergeCells>
  <printOptions horizontalCentered="1" verticalCentered="1"/>
  <pageMargins left="0.51181102362204722" right="0.51181102362204722" top="1.7716535433070868" bottom="1.3779527559055118" header="0.31496062992125984" footer="0.31496062992125984"/>
  <pageSetup paperSize="9" scale="52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44"/>
  <sheetViews>
    <sheetView showGridLines="0" topLeftCell="A43" zoomScale="70" zoomScaleNormal="70" workbookViewId="0">
      <selection activeCell="N76" sqref="N76"/>
    </sheetView>
  </sheetViews>
  <sheetFormatPr defaultColWidth="0" defaultRowHeight="15" zeroHeight="1" x14ac:dyDescent="0.2"/>
  <cols>
    <col min="1" max="1" width="3.7109375" style="1" customWidth="1"/>
    <col min="2" max="2" width="9.28515625" style="1" customWidth="1"/>
    <col min="3" max="3" width="10.140625" style="1" customWidth="1"/>
    <col min="4" max="4" width="12" style="1" customWidth="1"/>
    <col min="5" max="5" width="12.28515625" style="1" customWidth="1"/>
    <col min="6" max="6" width="18.28515625" style="1" bestFit="1" customWidth="1"/>
    <col min="7" max="7" width="16.7109375" style="1" customWidth="1"/>
    <col min="8" max="14" width="19.5703125" style="1" bestFit="1" customWidth="1"/>
    <col min="15" max="15" width="19.5703125" style="21" bestFit="1" customWidth="1"/>
    <col min="16" max="17" width="19.5703125" style="1" bestFit="1" customWidth="1"/>
    <col min="18" max="18" width="19.28515625" style="1" bestFit="1" customWidth="1"/>
    <col min="19" max="19" width="20.85546875" style="1" customWidth="1"/>
    <col min="20" max="21" width="11.5703125" style="1" hidden="1" customWidth="1"/>
    <col min="22" max="22" width="37.140625" style="1" hidden="1" customWidth="1"/>
    <col min="23" max="16384" width="11.5703125" style="1" hidden="1"/>
  </cols>
  <sheetData>
    <row r="1" spans="2:23" x14ac:dyDescent="0.2"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</row>
    <row r="2" spans="2:23" ht="15.75" x14ac:dyDescent="0.25">
      <c r="B2" s="27" t="str">
        <f>[1]PROPOSTA!B3</f>
        <v>OBRA: CENTRO ESPORTIVO DA VIÇOSINHA</v>
      </c>
      <c r="C2" s="35"/>
      <c r="D2" s="29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4"/>
    </row>
    <row r="3" spans="2:23" ht="15.75" x14ac:dyDescent="0.25">
      <c r="B3" s="27" t="str">
        <f>[1]PROPOSTA!E4</f>
        <v>CONSTRUÇÃO DE CAMPO DE FUTEBOL COM GRAMA SINTÉTICA, MEIA QUADRA DE BASQUETE, PARQUINHO INFANTIL E PISTA DE CAMINHADA (TIPO B)</v>
      </c>
      <c r="C3" s="35"/>
      <c r="D3" s="29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</row>
    <row r="4" spans="2:23" ht="15.75" x14ac:dyDescent="0.25">
      <c r="B4" s="27" t="str">
        <f>[1]PROPOSTA!B5</f>
        <v>LOCAL: COMUNIDADE DA VIÇOSINHA</v>
      </c>
      <c r="C4" s="35"/>
      <c r="D4" s="29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4"/>
    </row>
    <row r="5" spans="2:23" ht="20.25" x14ac:dyDescent="0.25">
      <c r="B5" s="27" t="str">
        <f>[2]PROPOSTA!B5</f>
        <v>PROPRIETÁRIO: PREFEITURA MUNICIPAL DE VENDA NOVA DO IMIGRANTE</v>
      </c>
      <c r="C5" s="113"/>
      <c r="D5" s="113"/>
      <c r="E5" s="33"/>
      <c r="F5" s="33"/>
      <c r="G5" s="33"/>
      <c r="H5" s="33"/>
      <c r="I5" s="33"/>
      <c r="J5" s="187" t="s">
        <v>290</v>
      </c>
      <c r="K5" s="187"/>
      <c r="L5" s="187"/>
      <c r="M5" s="187"/>
      <c r="N5" s="33"/>
      <c r="O5" s="33"/>
      <c r="P5" s="33"/>
      <c r="Q5" s="33"/>
      <c r="R5" s="34"/>
    </row>
    <row r="6" spans="2:23" ht="15.75" x14ac:dyDescent="0.25">
      <c r="B6" s="27" t="str">
        <f>[2]PROPOSTA!$B$8</f>
        <v>DATA BASE: SET/2025</v>
      </c>
      <c r="C6" s="35"/>
      <c r="D6" s="114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4"/>
    </row>
    <row r="7" spans="2:23" ht="15.75" x14ac:dyDescent="0.25">
      <c r="B7" s="115" t="s">
        <v>303</v>
      </c>
      <c r="C7" s="116"/>
      <c r="D7" s="117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9"/>
    </row>
    <row r="8" spans="2:23" x14ac:dyDescent="0.2"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</row>
    <row r="9" spans="2:23" ht="39.75" customHeight="1" x14ac:dyDescent="0.2">
      <c r="B9" s="120" t="s">
        <v>8</v>
      </c>
      <c r="C9" s="188" t="s">
        <v>291</v>
      </c>
      <c r="D9" s="188"/>
      <c r="E9" s="188"/>
      <c r="F9" s="120" t="s">
        <v>284</v>
      </c>
      <c r="G9" s="189" t="s">
        <v>292</v>
      </c>
      <c r="H9" s="190"/>
      <c r="I9" s="189" t="s">
        <v>293</v>
      </c>
      <c r="J9" s="190"/>
      <c r="K9" s="189" t="s">
        <v>294</v>
      </c>
      <c r="L9" s="190"/>
      <c r="M9" s="189" t="s">
        <v>295</v>
      </c>
      <c r="N9" s="190"/>
      <c r="O9" s="189" t="s">
        <v>296</v>
      </c>
      <c r="P9" s="190"/>
      <c r="Q9" s="189" t="s">
        <v>297</v>
      </c>
      <c r="R9" s="190"/>
    </row>
    <row r="10" spans="2:23" ht="25.5" customHeight="1" x14ac:dyDescent="0.2">
      <c r="B10" s="193" t="s">
        <v>7</v>
      </c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5"/>
    </row>
    <row r="11" spans="2:23" ht="20.25" customHeight="1" x14ac:dyDescent="0.2">
      <c r="B11" s="196" t="s">
        <v>20</v>
      </c>
      <c r="C11" s="197" t="str">
        <f>VLOOKUP(B11,[1]PROPOSTA!$B$16:$E$191,4,0)</f>
        <v>FUNDAÇÃO</v>
      </c>
      <c r="D11" s="197"/>
      <c r="E11" s="197"/>
      <c r="F11" s="198">
        <f>PROPOSTA!M21</f>
        <v>0</v>
      </c>
      <c r="G11" s="199">
        <v>1</v>
      </c>
      <c r="H11" s="200"/>
      <c r="I11" s="199"/>
      <c r="J11" s="200"/>
      <c r="K11" s="199"/>
      <c r="L11" s="200"/>
      <c r="M11" s="199"/>
      <c r="N11" s="200"/>
      <c r="O11" s="199"/>
      <c r="P11" s="200"/>
      <c r="Q11" s="199"/>
      <c r="R11" s="200"/>
      <c r="S11" s="17">
        <f>SUM(G11:R11)</f>
        <v>1</v>
      </c>
    </row>
    <row r="12" spans="2:23" ht="21.75" customHeight="1" x14ac:dyDescent="0.2">
      <c r="B12" s="196"/>
      <c r="C12" s="197"/>
      <c r="D12" s="197"/>
      <c r="E12" s="197"/>
      <c r="F12" s="198"/>
      <c r="G12" s="191">
        <f>ROUND($F$11*G11,3)</f>
        <v>0</v>
      </c>
      <c r="H12" s="192"/>
      <c r="I12" s="191"/>
      <c r="J12" s="192"/>
      <c r="K12" s="191"/>
      <c r="L12" s="192"/>
      <c r="M12" s="191"/>
      <c r="N12" s="192"/>
      <c r="O12" s="191"/>
      <c r="P12" s="192"/>
      <c r="Q12" s="191"/>
      <c r="R12" s="192"/>
      <c r="S12" s="18">
        <f t="shared" ref="S12:S59" si="0">SUM(G12:R12)</f>
        <v>0</v>
      </c>
    </row>
    <row r="13" spans="2:23" ht="23.25" customHeight="1" x14ac:dyDescent="0.2">
      <c r="B13" s="196" t="s">
        <v>33</v>
      </c>
      <c r="C13" s="197" t="str">
        <f>VLOOKUP(B13,[1]PROPOSTA!$B$16:$E$191,4,0)</f>
        <v>PAVIMENTAÇÃO</v>
      </c>
      <c r="D13" s="197"/>
      <c r="E13" s="197"/>
      <c r="F13" s="198">
        <f>PROPOSTA!M30</f>
        <v>0</v>
      </c>
      <c r="G13" s="199">
        <v>0.2</v>
      </c>
      <c r="H13" s="200"/>
      <c r="I13" s="199">
        <v>0.2</v>
      </c>
      <c r="J13" s="200"/>
      <c r="K13" s="199">
        <v>0.2</v>
      </c>
      <c r="L13" s="200"/>
      <c r="M13" s="199">
        <v>0.2</v>
      </c>
      <c r="N13" s="200"/>
      <c r="O13" s="199">
        <v>0.1</v>
      </c>
      <c r="P13" s="200"/>
      <c r="Q13" s="199">
        <v>0.1</v>
      </c>
      <c r="R13" s="200"/>
      <c r="S13" s="17">
        <f>SUM(G13:R13)</f>
        <v>1</v>
      </c>
    </row>
    <row r="14" spans="2:23" ht="24" customHeight="1" x14ac:dyDescent="0.2">
      <c r="B14" s="196"/>
      <c r="C14" s="197"/>
      <c r="D14" s="197"/>
      <c r="E14" s="197"/>
      <c r="F14" s="198"/>
      <c r="G14" s="191">
        <f>ROUND($F$13*G13,3)</f>
        <v>0</v>
      </c>
      <c r="H14" s="192">
        <f t="shared" ref="H14:R14" si="1">$F$13*H13</f>
        <v>0</v>
      </c>
      <c r="I14" s="191">
        <f>ROUND($F$13*I13,3)</f>
        <v>0</v>
      </c>
      <c r="J14" s="192">
        <f t="shared" si="1"/>
        <v>0</v>
      </c>
      <c r="K14" s="191">
        <f>ROUND($F$13*K13,3)</f>
        <v>0</v>
      </c>
      <c r="L14" s="192">
        <f t="shared" si="1"/>
        <v>0</v>
      </c>
      <c r="M14" s="191">
        <f>ROUND($F$13*M13,3)</f>
        <v>0</v>
      </c>
      <c r="N14" s="192">
        <f t="shared" si="1"/>
        <v>0</v>
      </c>
      <c r="O14" s="191">
        <f>ROUND($F$13*O13,3)</f>
        <v>0</v>
      </c>
      <c r="P14" s="192">
        <f t="shared" si="1"/>
        <v>0</v>
      </c>
      <c r="Q14" s="191">
        <f>F13-SUM(G14:P14)</f>
        <v>0</v>
      </c>
      <c r="R14" s="192">
        <f t="shared" si="1"/>
        <v>0</v>
      </c>
      <c r="S14" s="18">
        <f t="shared" si="0"/>
        <v>0</v>
      </c>
    </row>
    <row r="15" spans="2:23" ht="21" customHeight="1" x14ac:dyDescent="0.2">
      <c r="B15" s="196" t="s">
        <v>48</v>
      </c>
      <c r="C15" s="197" t="str">
        <f>VLOOKUP(B15,[1]PROPOSTA!$B$16:$E$191,4,0)</f>
        <v>ESTRUTURA</v>
      </c>
      <c r="D15" s="197"/>
      <c r="E15" s="197"/>
      <c r="F15" s="198">
        <f>PROPOSTA!M37</f>
        <v>0</v>
      </c>
      <c r="G15" s="199">
        <v>0.6</v>
      </c>
      <c r="H15" s="200"/>
      <c r="I15" s="199">
        <v>0.4</v>
      </c>
      <c r="J15" s="200"/>
      <c r="K15" s="199"/>
      <c r="L15" s="200"/>
      <c r="M15" s="199"/>
      <c r="N15" s="200"/>
      <c r="O15" s="199"/>
      <c r="P15" s="200"/>
      <c r="Q15" s="199"/>
      <c r="R15" s="200"/>
      <c r="S15" s="17">
        <f t="shared" si="0"/>
        <v>1</v>
      </c>
      <c r="V15" s="19"/>
      <c r="W15" s="19"/>
    </row>
    <row r="16" spans="2:23" ht="21" customHeight="1" x14ac:dyDescent="0.2">
      <c r="B16" s="196"/>
      <c r="C16" s="197"/>
      <c r="D16" s="197"/>
      <c r="E16" s="197"/>
      <c r="F16" s="198"/>
      <c r="G16" s="191">
        <f>ROUND($F$15*G15,3)</f>
        <v>0</v>
      </c>
      <c r="H16" s="192">
        <f>$F$15*H15</f>
        <v>0</v>
      </c>
      <c r="I16" s="191">
        <f>F15-G16</f>
        <v>0</v>
      </c>
      <c r="J16" s="192">
        <f>$F$15*J15</f>
        <v>0</v>
      </c>
      <c r="K16" s="191"/>
      <c r="L16" s="192"/>
      <c r="M16" s="191"/>
      <c r="N16" s="192"/>
      <c r="O16" s="191"/>
      <c r="P16" s="192"/>
      <c r="Q16" s="191"/>
      <c r="R16" s="192"/>
      <c r="S16" s="18">
        <f t="shared" si="0"/>
        <v>0</v>
      </c>
      <c r="V16" s="19"/>
      <c r="W16" s="19"/>
    </row>
    <row r="17" spans="2:23" ht="21" customHeight="1" x14ac:dyDescent="0.2">
      <c r="B17" s="196" t="s">
        <v>62</v>
      </c>
      <c r="C17" s="197" t="str">
        <f>VLOOKUP(B17,[1]PROPOSTA!$B$16:$E$191,4,0)</f>
        <v>ALVENARIA E FECHAMENTO</v>
      </c>
      <c r="D17" s="197"/>
      <c r="E17" s="197"/>
      <c r="F17" s="198">
        <f>PROPOSTA!M41</f>
        <v>0</v>
      </c>
      <c r="G17" s="199"/>
      <c r="H17" s="200"/>
      <c r="I17" s="199">
        <v>0.2</v>
      </c>
      <c r="J17" s="200"/>
      <c r="K17" s="199">
        <v>0.2</v>
      </c>
      <c r="L17" s="200"/>
      <c r="M17" s="199">
        <v>0.2</v>
      </c>
      <c r="N17" s="200"/>
      <c r="O17" s="199">
        <v>0.2</v>
      </c>
      <c r="P17" s="200"/>
      <c r="Q17" s="199">
        <v>0.2</v>
      </c>
      <c r="R17" s="200"/>
      <c r="S17" s="17">
        <f t="shared" si="0"/>
        <v>1</v>
      </c>
    </row>
    <row r="18" spans="2:23" ht="21" customHeight="1" x14ac:dyDescent="0.2">
      <c r="B18" s="196"/>
      <c r="C18" s="197"/>
      <c r="D18" s="197"/>
      <c r="E18" s="197"/>
      <c r="F18" s="198"/>
      <c r="G18" s="191"/>
      <c r="H18" s="192"/>
      <c r="I18" s="191">
        <f>ROUND($F$17*I17,3)</f>
        <v>0</v>
      </c>
      <c r="J18" s="192">
        <f t="shared" ref="J18:R18" si="2">$F$17*J17</f>
        <v>0</v>
      </c>
      <c r="K18" s="191">
        <f>ROUND($F$17*K17,3)</f>
        <v>0</v>
      </c>
      <c r="L18" s="192">
        <f t="shared" si="2"/>
        <v>0</v>
      </c>
      <c r="M18" s="191">
        <f>ROUND($F$17*M17,3)</f>
        <v>0</v>
      </c>
      <c r="N18" s="192">
        <f t="shared" si="2"/>
        <v>0</v>
      </c>
      <c r="O18" s="191">
        <f>ROUND($F$17*O17,3)</f>
        <v>0</v>
      </c>
      <c r="P18" s="192">
        <f t="shared" si="2"/>
        <v>0</v>
      </c>
      <c r="Q18" s="191">
        <f>F17-SUM(G18:P18)</f>
        <v>0</v>
      </c>
      <c r="R18" s="192">
        <f t="shared" si="2"/>
        <v>0</v>
      </c>
      <c r="S18" s="18">
        <f t="shared" si="0"/>
        <v>0</v>
      </c>
    </row>
    <row r="19" spans="2:23" ht="21" customHeight="1" x14ac:dyDescent="0.2">
      <c r="B19" s="196" t="s">
        <v>68</v>
      </c>
      <c r="C19" s="197" t="str">
        <f>VLOOKUP(B19,[1]PROPOSTA!$B$16:$E$191,4,0)</f>
        <v>REVESTIMENTO</v>
      </c>
      <c r="D19" s="197"/>
      <c r="E19" s="197"/>
      <c r="F19" s="198">
        <f>PROPOSTA!M45</f>
        <v>0</v>
      </c>
      <c r="G19" s="199"/>
      <c r="H19" s="200"/>
      <c r="I19" s="199">
        <v>0.2</v>
      </c>
      <c r="J19" s="200"/>
      <c r="K19" s="199">
        <v>0.2</v>
      </c>
      <c r="L19" s="200"/>
      <c r="M19" s="199">
        <v>0.2</v>
      </c>
      <c r="N19" s="200"/>
      <c r="O19" s="199">
        <v>0.2</v>
      </c>
      <c r="P19" s="200"/>
      <c r="Q19" s="199">
        <v>0.2</v>
      </c>
      <c r="R19" s="200"/>
      <c r="S19" s="17">
        <f t="shared" si="0"/>
        <v>1</v>
      </c>
      <c r="V19" s="19"/>
      <c r="W19" s="19"/>
    </row>
    <row r="20" spans="2:23" ht="21" customHeight="1" x14ac:dyDescent="0.2">
      <c r="B20" s="196"/>
      <c r="C20" s="197"/>
      <c r="D20" s="197"/>
      <c r="E20" s="197"/>
      <c r="F20" s="198"/>
      <c r="G20" s="191"/>
      <c r="H20" s="192"/>
      <c r="I20" s="191">
        <f>ROUND($F$19*I19,3)</f>
        <v>0</v>
      </c>
      <c r="J20" s="192">
        <f t="shared" ref="J20:R20" si="3">$F$19*J19</f>
        <v>0</v>
      </c>
      <c r="K20" s="191">
        <f>ROUND($F$19*K19,3)</f>
        <v>0</v>
      </c>
      <c r="L20" s="192">
        <f t="shared" si="3"/>
        <v>0</v>
      </c>
      <c r="M20" s="191">
        <f>ROUND($F$19*M19,3)</f>
        <v>0</v>
      </c>
      <c r="N20" s="192">
        <f t="shared" si="3"/>
        <v>0</v>
      </c>
      <c r="O20" s="191">
        <f>ROUND($F$19*O19,3)</f>
        <v>0</v>
      </c>
      <c r="P20" s="192">
        <f t="shared" si="3"/>
        <v>0</v>
      </c>
      <c r="Q20" s="191">
        <f>F19-SUM(I20:P20)</f>
        <v>0</v>
      </c>
      <c r="R20" s="192">
        <f t="shared" si="3"/>
        <v>0</v>
      </c>
      <c r="S20" s="18">
        <f t="shared" si="0"/>
        <v>0</v>
      </c>
      <c r="V20" s="19"/>
      <c r="W20" s="19"/>
    </row>
    <row r="21" spans="2:23" ht="21" customHeight="1" x14ac:dyDescent="0.2">
      <c r="B21" s="196" t="s">
        <v>74</v>
      </c>
      <c r="C21" s="197" t="str">
        <f>VLOOKUP(B21,[1]PROPOSTA!$B$16:$E$191,4,0)</f>
        <v>PINTURA</v>
      </c>
      <c r="D21" s="197"/>
      <c r="E21" s="197"/>
      <c r="F21" s="198">
        <f>PROPOSTA!M49</f>
        <v>0</v>
      </c>
      <c r="G21" s="199"/>
      <c r="H21" s="200"/>
      <c r="I21" s="199"/>
      <c r="J21" s="200"/>
      <c r="K21" s="199"/>
      <c r="L21" s="200"/>
      <c r="M21" s="199"/>
      <c r="N21" s="200"/>
      <c r="O21" s="199"/>
      <c r="P21" s="200"/>
      <c r="Q21" s="199">
        <v>1</v>
      </c>
      <c r="R21" s="200"/>
      <c r="S21" s="17">
        <f t="shared" si="0"/>
        <v>1</v>
      </c>
      <c r="V21" s="19"/>
      <c r="W21" s="19"/>
    </row>
    <row r="22" spans="2:23" ht="21" customHeight="1" x14ac:dyDescent="0.2">
      <c r="B22" s="196"/>
      <c r="C22" s="197"/>
      <c r="D22" s="197"/>
      <c r="E22" s="197"/>
      <c r="F22" s="198"/>
      <c r="G22" s="191"/>
      <c r="H22" s="192"/>
      <c r="I22" s="191"/>
      <c r="J22" s="192"/>
      <c r="K22" s="191"/>
      <c r="L22" s="192"/>
      <c r="M22" s="191"/>
      <c r="N22" s="192"/>
      <c r="O22" s="191"/>
      <c r="P22" s="192"/>
      <c r="Q22" s="191">
        <f>ROUND($F$21*Q21,3)</f>
        <v>0</v>
      </c>
      <c r="R22" s="192">
        <f>$F$21*R21</f>
        <v>0</v>
      </c>
      <c r="S22" s="18">
        <f t="shared" si="0"/>
        <v>0</v>
      </c>
      <c r="V22" s="19"/>
      <c r="W22" s="19"/>
    </row>
    <row r="23" spans="2:23" ht="21" customHeight="1" x14ac:dyDescent="0.2">
      <c r="B23" s="196" t="s">
        <v>80</v>
      </c>
      <c r="C23" s="197" t="str">
        <f>VLOOKUP(B23,[1]PROPOSTA!$B$16:$E$191,4,0)</f>
        <v>EQUIPAMENTOS</v>
      </c>
      <c r="D23" s="197"/>
      <c r="E23" s="197"/>
      <c r="F23" s="198">
        <f>PROPOSTA!M52</f>
        <v>0</v>
      </c>
      <c r="G23" s="199"/>
      <c r="H23" s="200"/>
      <c r="I23" s="199"/>
      <c r="J23" s="200"/>
      <c r="K23" s="199"/>
      <c r="L23" s="200"/>
      <c r="M23" s="199"/>
      <c r="N23" s="200"/>
      <c r="O23" s="199"/>
      <c r="P23" s="200"/>
      <c r="Q23" s="199">
        <v>1</v>
      </c>
      <c r="R23" s="200"/>
      <c r="S23" s="17">
        <f t="shared" si="0"/>
        <v>1</v>
      </c>
      <c r="V23" s="19"/>
      <c r="W23" s="19"/>
    </row>
    <row r="24" spans="2:23" ht="21" customHeight="1" x14ac:dyDescent="0.2">
      <c r="B24" s="196"/>
      <c r="C24" s="197"/>
      <c r="D24" s="197"/>
      <c r="E24" s="197"/>
      <c r="F24" s="198"/>
      <c r="G24" s="191"/>
      <c r="H24" s="192"/>
      <c r="I24" s="191"/>
      <c r="J24" s="192"/>
      <c r="K24" s="191"/>
      <c r="L24" s="192"/>
      <c r="M24" s="191"/>
      <c r="N24" s="192"/>
      <c r="O24" s="191"/>
      <c r="P24" s="192"/>
      <c r="Q24" s="191">
        <f>ROUND($F$23*Q23,3)</f>
        <v>0</v>
      </c>
      <c r="R24" s="192">
        <f>$F$23*R23</f>
        <v>0</v>
      </c>
      <c r="S24" s="18">
        <f t="shared" si="0"/>
        <v>0</v>
      </c>
      <c r="V24" s="19"/>
      <c r="W24" s="19"/>
    </row>
    <row r="25" spans="2:23" ht="21" customHeight="1" x14ac:dyDescent="0.2">
      <c r="B25" s="193" t="s">
        <v>86</v>
      </c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5"/>
      <c r="S25" s="17"/>
      <c r="V25" s="19"/>
      <c r="W25" s="19"/>
    </row>
    <row r="26" spans="2:23" ht="21" customHeight="1" x14ac:dyDescent="0.2">
      <c r="B26" s="196" t="s">
        <v>87</v>
      </c>
      <c r="C26" s="197" t="str">
        <f>VLOOKUP(B26,[1]PROPOSTA!$B$16:$E$191,4,0)</f>
        <v>FUNDAÇÃO</v>
      </c>
      <c r="D26" s="197"/>
      <c r="E26" s="197"/>
      <c r="F26" s="198">
        <f>PROPOSTA!M66</f>
        <v>0</v>
      </c>
      <c r="G26" s="199"/>
      <c r="H26" s="200"/>
      <c r="I26" s="199"/>
      <c r="J26" s="200"/>
      <c r="K26" s="199">
        <v>1</v>
      </c>
      <c r="L26" s="200"/>
      <c r="M26" s="199"/>
      <c r="N26" s="200"/>
      <c r="O26" s="199"/>
      <c r="P26" s="200"/>
      <c r="Q26" s="199"/>
      <c r="R26" s="200"/>
      <c r="S26" s="17">
        <f t="shared" si="0"/>
        <v>1</v>
      </c>
      <c r="V26" s="19"/>
      <c r="W26" s="19"/>
    </row>
    <row r="27" spans="2:23" ht="21" customHeight="1" x14ac:dyDescent="0.2">
      <c r="B27" s="196"/>
      <c r="C27" s="197"/>
      <c r="D27" s="197"/>
      <c r="E27" s="197"/>
      <c r="F27" s="198"/>
      <c r="G27" s="191"/>
      <c r="H27" s="192"/>
      <c r="I27" s="191"/>
      <c r="J27" s="192"/>
      <c r="K27" s="191">
        <f>ROUND($F$26*K26,3)</f>
        <v>0</v>
      </c>
      <c r="L27" s="192">
        <f>$F$26*L26</f>
        <v>0</v>
      </c>
      <c r="M27" s="191"/>
      <c r="N27" s="192"/>
      <c r="O27" s="191"/>
      <c r="P27" s="192"/>
      <c r="Q27" s="191"/>
      <c r="R27" s="192"/>
      <c r="S27" s="18">
        <f t="shared" si="0"/>
        <v>0</v>
      </c>
      <c r="V27" s="19"/>
      <c r="W27" s="19"/>
    </row>
    <row r="28" spans="2:23" ht="21" customHeight="1" x14ac:dyDescent="0.2">
      <c r="B28" s="196" t="s">
        <v>92</v>
      </c>
      <c r="C28" s="197" t="str">
        <f>VLOOKUP(B28,[1]PROPOSTA!$B$16:$E$191,4,0)</f>
        <v>PAVIMENTAÇÃO</v>
      </c>
      <c r="D28" s="197"/>
      <c r="E28" s="197"/>
      <c r="F28" s="198">
        <f>PROPOSTA!M72</f>
        <v>0</v>
      </c>
      <c r="G28" s="199"/>
      <c r="H28" s="200"/>
      <c r="I28" s="199"/>
      <c r="J28" s="200"/>
      <c r="K28" s="199"/>
      <c r="L28" s="200"/>
      <c r="M28" s="199">
        <v>0.5</v>
      </c>
      <c r="N28" s="200"/>
      <c r="O28" s="199">
        <v>0.5</v>
      </c>
      <c r="P28" s="200"/>
      <c r="Q28" s="199"/>
      <c r="R28" s="200"/>
      <c r="S28" s="17">
        <f t="shared" si="0"/>
        <v>1</v>
      </c>
      <c r="V28" s="19"/>
      <c r="W28" s="19"/>
    </row>
    <row r="29" spans="2:23" ht="21" customHeight="1" x14ac:dyDescent="0.2">
      <c r="B29" s="196"/>
      <c r="C29" s="197"/>
      <c r="D29" s="197"/>
      <c r="E29" s="197"/>
      <c r="F29" s="198"/>
      <c r="G29" s="191"/>
      <c r="H29" s="192"/>
      <c r="I29" s="191"/>
      <c r="J29" s="192"/>
      <c r="K29" s="191"/>
      <c r="L29" s="192"/>
      <c r="M29" s="191">
        <f>ROUND($F$28*M28,3)</f>
        <v>0</v>
      </c>
      <c r="N29" s="192">
        <f>$F$28*N28</f>
        <v>0</v>
      </c>
      <c r="O29" s="191">
        <f>F28-M29</f>
        <v>0</v>
      </c>
      <c r="P29" s="192">
        <f>$F$28*P28</f>
        <v>0</v>
      </c>
      <c r="Q29" s="191"/>
      <c r="R29" s="192"/>
      <c r="S29" s="18">
        <f t="shared" si="0"/>
        <v>0</v>
      </c>
      <c r="V29" s="19"/>
      <c r="W29" s="19"/>
    </row>
    <row r="30" spans="2:23" ht="21" customHeight="1" x14ac:dyDescent="0.2">
      <c r="B30" s="196" t="s">
        <v>100</v>
      </c>
      <c r="C30" s="197" t="str">
        <f>VLOOKUP(B30,[1]PROPOSTA!$B$16:$E$191,4,0)</f>
        <v>EQUIPAMENTOS</v>
      </c>
      <c r="D30" s="197"/>
      <c r="E30" s="197"/>
      <c r="F30" s="198">
        <f>PROPOSTA!M75</f>
        <v>0</v>
      </c>
      <c r="G30" s="199"/>
      <c r="H30" s="200"/>
      <c r="I30" s="199"/>
      <c r="J30" s="200"/>
      <c r="K30" s="199"/>
      <c r="L30" s="200"/>
      <c r="M30" s="199"/>
      <c r="N30" s="200"/>
      <c r="O30" s="199"/>
      <c r="P30" s="200"/>
      <c r="Q30" s="199">
        <v>1</v>
      </c>
      <c r="R30" s="200"/>
      <c r="S30" s="17">
        <f t="shared" si="0"/>
        <v>1</v>
      </c>
      <c r="V30" s="19"/>
      <c r="W30" s="19"/>
    </row>
    <row r="31" spans="2:23" ht="21" customHeight="1" x14ac:dyDescent="0.2">
      <c r="B31" s="196"/>
      <c r="C31" s="197"/>
      <c r="D31" s="197"/>
      <c r="E31" s="197"/>
      <c r="F31" s="198"/>
      <c r="G31" s="191"/>
      <c r="H31" s="192"/>
      <c r="I31" s="191"/>
      <c r="J31" s="192"/>
      <c r="K31" s="191"/>
      <c r="L31" s="192"/>
      <c r="M31" s="191"/>
      <c r="N31" s="192"/>
      <c r="O31" s="191"/>
      <c r="P31" s="192"/>
      <c r="Q31" s="191">
        <f>ROUND($F$30*Q30,3)</f>
        <v>0</v>
      </c>
      <c r="R31" s="192">
        <f>$F$30*R30</f>
        <v>0</v>
      </c>
      <c r="S31" s="18">
        <f t="shared" si="0"/>
        <v>0</v>
      </c>
      <c r="V31" s="19"/>
      <c r="W31" s="19"/>
    </row>
    <row r="32" spans="2:23" ht="21" customHeight="1" x14ac:dyDescent="0.2">
      <c r="B32" s="193" t="s">
        <v>104</v>
      </c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5"/>
      <c r="S32" s="17"/>
      <c r="V32" s="19"/>
      <c r="W32" s="19"/>
    </row>
    <row r="33" spans="2:23" ht="21" customHeight="1" x14ac:dyDescent="0.2">
      <c r="B33" s="196" t="s">
        <v>105</v>
      </c>
      <c r="C33" s="197" t="str">
        <f>VLOOKUP(B33,[1]PROPOSTA!$B$16:$E$191,4,0)</f>
        <v>FUNDAÇÃO</v>
      </c>
      <c r="D33" s="197"/>
      <c r="E33" s="197"/>
      <c r="F33" s="198">
        <f>PROPOSTA!M89</f>
        <v>0</v>
      </c>
      <c r="G33" s="199"/>
      <c r="H33" s="200"/>
      <c r="I33" s="199">
        <v>0.5</v>
      </c>
      <c r="J33" s="200"/>
      <c r="K33" s="199">
        <v>0.5</v>
      </c>
      <c r="L33" s="200"/>
      <c r="M33" s="199"/>
      <c r="N33" s="200"/>
      <c r="O33" s="199"/>
      <c r="P33" s="200"/>
      <c r="Q33" s="199"/>
      <c r="R33" s="200"/>
      <c r="S33" s="17">
        <f t="shared" si="0"/>
        <v>1</v>
      </c>
      <c r="V33" s="19"/>
      <c r="W33" s="19"/>
    </row>
    <row r="34" spans="2:23" ht="21" customHeight="1" x14ac:dyDescent="0.2">
      <c r="B34" s="196"/>
      <c r="C34" s="197"/>
      <c r="D34" s="197"/>
      <c r="E34" s="197"/>
      <c r="F34" s="198"/>
      <c r="G34" s="191"/>
      <c r="H34" s="192"/>
      <c r="I34" s="191">
        <f>ROUND($F$33*I33,3)</f>
        <v>0</v>
      </c>
      <c r="J34" s="192">
        <f>$F$33*J33</f>
        <v>0</v>
      </c>
      <c r="K34" s="191">
        <f>F33-I34</f>
        <v>0</v>
      </c>
      <c r="L34" s="192">
        <f>$F$33*L33</f>
        <v>0</v>
      </c>
      <c r="M34" s="191"/>
      <c r="N34" s="192"/>
      <c r="O34" s="191"/>
      <c r="P34" s="192"/>
      <c r="Q34" s="191"/>
      <c r="R34" s="192"/>
      <c r="S34" s="18">
        <f t="shared" si="0"/>
        <v>0</v>
      </c>
      <c r="V34" s="19"/>
      <c r="W34" s="19"/>
    </row>
    <row r="35" spans="2:23" ht="21" customHeight="1" x14ac:dyDescent="0.2">
      <c r="B35" s="196" t="s">
        <v>110</v>
      </c>
      <c r="C35" s="197" t="str">
        <f>VLOOKUP(B35,[1]PROPOSTA!$B$16:$E$191,4,0)</f>
        <v>PAVIMENTAÇÃO</v>
      </c>
      <c r="D35" s="197"/>
      <c r="E35" s="197"/>
      <c r="F35" s="198">
        <f>PROPOSTA!M95</f>
        <v>0</v>
      </c>
      <c r="G35" s="199"/>
      <c r="H35" s="200"/>
      <c r="I35" s="199"/>
      <c r="J35" s="200"/>
      <c r="K35" s="199"/>
      <c r="L35" s="200"/>
      <c r="M35" s="199"/>
      <c r="N35" s="200"/>
      <c r="O35" s="199">
        <v>0.3</v>
      </c>
      <c r="P35" s="200"/>
      <c r="Q35" s="199">
        <v>0.7</v>
      </c>
      <c r="R35" s="200"/>
      <c r="S35" s="17">
        <f t="shared" si="0"/>
        <v>1</v>
      </c>
      <c r="V35" s="19"/>
      <c r="W35" s="19"/>
    </row>
    <row r="36" spans="2:23" ht="21" customHeight="1" x14ac:dyDescent="0.2">
      <c r="B36" s="196"/>
      <c r="C36" s="197"/>
      <c r="D36" s="197"/>
      <c r="E36" s="197"/>
      <c r="F36" s="198"/>
      <c r="G36" s="191"/>
      <c r="H36" s="192"/>
      <c r="I36" s="191"/>
      <c r="J36" s="192"/>
      <c r="K36" s="191"/>
      <c r="L36" s="192"/>
      <c r="M36" s="191"/>
      <c r="N36" s="192"/>
      <c r="O36" s="191">
        <f>ROUND($F$35*O35,)</f>
        <v>0</v>
      </c>
      <c r="P36" s="192">
        <f>$F$35*P35</f>
        <v>0</v>
      </c>
      <c r="Q36" s="191">
        <f>F35-O36</f>
        <v>0</v>
      </c>
      <c r="R36" s="192">
        <f>$F$35*R35</f>
        <v>0</v>
      </c>
      <c r="S36" s="18">
        <f t="shared" si="0"/>
        <v>0</v>
      </c>
      <c r="V36" s="19"/>
      <c r="W36" s="19"/>
    </row>
    <row r="37" spans="2:23" ht="21" customHeight="1" x14ac:dyDescent="0.2">
      <c r="B37" s="196" t="s">
        <v>117</v>
      </c>
      <c r="C37" s="197" t="str">
        <f>VLOOKUP(B37,[1]PROPOSTA!$B$16:$E$191,4,0)</f>
        <v>EQUIPAMENTOS</v>
      </c>
      <c r="D37" s="197"/>
      <c r="E37" s="197"/>
      <c r="F37" s="198">
        <f>PROPOSTA!M102</f>
        <v>0</v>
      </c>
      <c r="G37" s="199"/>
      <c r="H37" s="200"/>
      <c r="I37" s="199"/>
      <c r="J37" s="200"/>
      <c r="K37" s="199"/>
      <c r="L37" s="200"/>
      <c r="M37" s="199"/>
      <c r="N37" s="200"/>
      <c r="O37" s="199"/>
      <c r="P37" s="200"/>
      <c r="Q37" s="199">
        <v>1</v>
      </c>
      <c r="R37" s="200"/>
      <c r="S37" s="17">
        <f t="shared" si="0"/>
        <v>1</v>
      </c>
      <c r="V37" s="19"/>
      <c r="W37" s="19"/>
    </row>
    <row r="38" spans="2:23" ht="21" customHeight="1" x14ac:dyDescent="0.2">
      <c r="B38" s="196"/>
      <c r="C38" s="197"/>
      <c r="D38" s="197"/>
      <c r="E38" s="197"/>
      <c r="F38" s="198"/>
      <c r="G38" s="191"/>
      <c r="H38" s="192"/>
      <c r="I38" s="191"/>
      <c r="J38" s="192"/>
      <c r="K38" s="191"/>
      <c r="L38" s="192"/>
      <c r="M38" s="191"/>
      <c r="N38" s="192"/>
      <c r="O38" s="191"/>
      <c r="P38" s="192"/>
      <c r="Q38" s="191">
        <f>ROUND($F$37*Q37,3)</f>
        <v>0</v>
      </c>
      <c r="R38" s="192">
        <f>$F$37*R37</f>
        <v>0</v>
      </c>
      <c r="S38" s="18">
        <f t="shared" si="0"/>
        <v>0</v>
      </c>
      <c r="V38" s="19"/>
      <c r="W38" s="19"/>
    </row>
    <row r="39" spans="2:23" ht="21" customHeight="1" x14ac:dyDescent="0.2">
      <c r="B39" s="193" t="s">
        <v>130</v>
      </c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5"/>
      <c r="S39" s="18"/>
      <c r="V39" s="19"/>
      <c r="W39" s="19"/>
    </row>
    <row r="40" spans="2:23" ht="21" customHeight="1" x14ac:dyDescent="0.2">
      <c r="B40" s="196" t="s">
        <v>131</v>
      </c>
      <c r="C40" s="197" t="str">
        <f>VLOOKUP(B40,[1]PROPOSTA!$B$16:$E$191,4,0)</f>
        <v>PAVIMENTAÇÃO</v>
      </c>
      <c r="D40" s="197"/>
      <c r="E40" s="197"/>
      <c r="F40" s="198">
        <f>PROPOSTA!M115</f>
        <v>0</v>
      </c>
      <c r="G40" s="199">
        <v>0.2</v>
      </c>
      <c r="H40" s="200"/>
      <c r="I40" s="199">
        <v>0.2</v>
      </c>
      <c r="J40" s="200"/>
      <c r="K40" s="199">
        <v>0.2</v>
      </c>
      <c r="L40" s="200"/>
      <c r="M40" s="199">
        <v>0.2</v>
      </c>
      <c r="N40" s="200"/>
      <c r="O40" s="199">
        <v>0.2</v>
      </c>
      <c r="P40" s="200"/>
      <c r="Q40" s="199"/>
      <c r="R40" s="200"/>
      <c r="S40" s="17">
        <f t="shared" si="0"/>
        <v>1</v>
      </c>
      <c r="V40" s="19"/>
      <c r="W40" s="19"/>
    </row>
    <row r="41" spans="2:23" ht="21" customHeight="1" x14ac:dyDescent="0.2">
      <c r="B41" s="196"/>
      <c r="C41" s="197"/>
      <c r="D41" s="197"/>
      <c r="E41" s="197"/>
      <c r="F41" s="198"/>
      <c r="G41" s="191">
        <f>ROUND($F$40*G40,3)</f>
        <v>0</v>
      </c>
      <c r="H41" s="192">
        <f t="shared" ref="H41:P41" si="4">$F$40*H40</f>
        <v>0</v>
      </c>
      <c r="I41" s="191">
        <f>ROUND($F$40*I40,3)</f>
        <v>0</v>
      </c>
      <c r="J41" s="192">
        <f t="shared" si="4"/>
        <v>0</v>
      </c>
      <c r="K41" s="191">
        <f>ROUND($F$40*K40,3)</f>
        <v>0</v>
      </c>
      <c r="L41" s="192">
        <f t="shared" si="4"/>
        <v>0</v>
      </c>
      <c r="M41" s="191">
        <f>ROUND($F$40*M40,3)</f>
        <v>0</v>
      </c>
      <c r="N41" s="192">
        <f t="shared" si="4"/>
        <v>0</v>
      </c>
      <c r="O41" s="191">
        <f>F40-SUM(G41:N41)</f>
        <v>0</v>
      </c>
      <c r="P41" s="192">
        <f t="shared" si="4"/>
        <v>0</v>
      </c>
      <c r="Q41" s="191"/>
      <c r="R41" s="192"/>
      <c r="S41" s="18">
        <f t="shared" si="0"/>
        <v>0</v>
      </c>
      <c r="V41" s="19"/>
      <c r="W41" s="19"/>
    </row>
    <row r="42" spans="2:23" ht="21" customHeight="1" x14ac:dyDescent="0.2">
      <c r="B42" s="196" t="s">
        <v>135</v>
      </c>
      <c r="C42" s="197" t="str">
        <f>VLOOKUP(B42,[1]PROPOSTA!$B$16:$E$191,4,0)</f>
        <v>PINTURA</v>
      </c>
      <c r="D42" s="197"/>
      <c r="E42" s="197"/>
      <c r="F42" s="198">
        <f>PROPOSTA!M119</f>
        <v>0</v>
      </c>
      <c r="G42" s="199"/>
      <c r="H42" s="200"/>
      <c r="I42" s="199"/>
      <c r="J42" s="200"/>
      <c r="K42" s="199"/>
      <c r="L42" s="200"/>
      <c r="M42" s="199"/>
      <c r="N42" s="200"/>
      <c r="O42" s="199">
        <v>0.2</v>
      </c>
      <c r="P42" s="200"/>
      <c r="Q42" s="199">
        <v>0.8</v>
      </c>
      <c r="R42" s="200"/>
      <c r="S42" s="17">
        <f t="shared" si="0"/>
        <v>1</v>
      </c>
      <c r="V42" s="19"/>
      <c r="W42" s="19"/>
    </row>
    <row r="43" spans="2:23" ht="21" customHeight="1" x14ac:dyDescent="0.2">
      <c r="B43" s="196"/>
      <c r="C43" s="197"/>
      <c r="D43" s="197"/>
      <c r="E43" s="197"/>
      <c r="F43" s="198"/>
      <c r="G43" s="191"/>
      <c r="H43" s="192"/>
      <c r="I43" s="191"/>
      <c r="J43" s="192"/>
      <c r="K43" s="191"/>
      <c r="L43" s="192"/>
      <c r="M43" s="191"/>
      <c r="N43" s="192"/>
      <c r="O43" s="191">
        <f>ROUND($F$42*O42,3)</f>
        <v>0</v>
      </c>
      <c r="P43" s="192">
        <f>$F$42*P42</f>
        <v>0</v>
      </c>
      <c r="Q43" s="191">
        <f>F42-O43</f>
        <v>0</v>
      </c>
      <c r="R43" s="192">
        <f>$F$42*R42</f>
        <v>0</v>
      </c>
      <c r="S43" s="18">
        <f t="shared" si="0"/>
        <v>0</v>
      </c>
      <c r="V43" s="19"/>
      <c r="W43" s="19"/>
    </row>
    <row r="44" spans="2:23" ht="21" customHeight="1" x14ac:dyDescent="0.2">
      <c r="B44" s="193" t="s">
        <v>141</v>
      </c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5"/>
      <c r="S44" s="17"/>
      <c r="V44" s="19"/>
      <c r="W44" s="19"/>
    </row>
    <row r="45" spans="2:23" ht="21" customHeight="1" x14ac:dyDescent="0.2">
      <c r="B45" s="196" t="s">
        <v>142</v>
      </c>
      <c r="C45" s="197" t="str">
        <f>VLOOKUP(B45,[1]PROPOSTA!$B$16:$E$191,4,0)</f>
        <v>PAVIMENTAÇÃO</v>
      </c>
      <c r="D45" s="197"/>
      <c r="E45" s="197"/>
      <c r="F45" s="198">
        <f>PROPOSTA!M134</f>
        <v>0</v>
      </c>
      <c r="G45" s="199">
        <v>0.2</v>
      </c>
      <c r="H45" s="200"/>
      <c r="I45" s="199">
        <v>0.2</v>
      </c>
      <c r="J45" s="200"/>
      <c r="K45" s="199">
        <v>0.2</v>
      </c>
      <c r="L45" s="200"/>
      <c r="M45" s="199">
        <v>0.2</v>
      </c>
      <c r="N45" s="200"/>
      <c r="O45" s="199">
        <v>0.2</v>
      </c>
      <c r="P45" s="200"/>
      <c r="Q45" s="199"/>
      <c r="R45" s="200"/>
      <c r="S45" s="17">
        <f t="shared" si="0"/>
        <v>1</v>
      </c>
      <c r="V45" s="19"/>
      <c r="W45" s="19"/>
    </row>
    <row r="46" spans="2:23" ht="21" customHeight="1" x14ac:dyDescent="0.2">
      <c r="B46" s="196"/>
      <c r="C46" s="197"/>
      <c r="D46" s="197"/>
      <c r="E46" s="197"/>
      <c r="F46" s="198"/>
      <c r="G46" s="191">
        <f>ROUND($F$45*G45,3)</f>
        <v>0</v>
      </c>
      <c r="H46" s="192">
        <f t="shared" ref="H46:P46" si="5">$F$45*H45</f>
        <v>0</v>
      </c>
      <c r="I46" s="191">
        <f>ROUND($F$45*I45,3)</f>
        <v>0</v>
      </c>
      <c r="J46" s="192">
        <f t="shared" si="5"/>
        <v>0</v>
      </c>
      <c r="K46" s="191">
        <f>ROUND($F$45*K45,3)</f>
        <v>0</v>
      </c>
      <c r="L46" s="192">
        <f t="shared" si="5"/>
        <v>0</v>
      </c>
      <c r="M46" s="191">
        <f>ROUND($F$45*M45,3)</f>
        <v>0</v>
      </c>
      <c r="N46" s="192">
        <f t="shared" si="5"/>
        <v>0</v>
      </c>
      <c r="O46" s="191">
        <f>F45-SUM(G46:N46)</f>
        <v>0</v>
      </c>
      <c r="P46" s="192">
        <f t="shared" si="5"/>
        <v>0</v>
      </c>
      <c r="Q46" s="191"/>
      <c r="R46" s="192"/>
      <c r="S46" s="18">
        <f t="shared" si="0"/>
        <v>0</v>
      </c>
      <c r="V46" s="19"/>
      <c r="W46" s="19"/>
    </row>
    <row r="47" spans="2:23" ht="21" customHeight="1" x14ac:dyDescent="0.2">
      <c r="B47" s="196" t="s">
        <v>150</v>
      </c>
      <c r="C47" s="197" t="str">
        <f>VLOOKUP(B47,[1]PROPOSTA!$B$16:$E$191,4,0)</f>
        <v>URBANIZAÇÃO E PAISAGISMO</v>
      </c>
      <c r="D47" s="197"/>
      <c r="E47" s="197"/>
      <c r="F47" s="198">
        <f>PROPOSTA!M144</f>
        <v>0</v>
      </c>
      <c r="G47" s="199"/>
      <c r="H47" s="200"/>
      <c r="I47" s="199"/>
      <c r="J47" s="200"/>
      <c r="K47" s="199"/>
      <c r="L47" s="200"/>
      <c r="M47" s="199"/>
      <c r="N47" s="200"/>
      <c r="O47" s="199">
        <v>0.5</v>
      </c>
      <c r="P47" s="200"/>
      <c r="Q47" s="199">
        <v>0.5</v>
      </c>
      <c r="R47" s="200"/>
      <c r="S47" s="17">
        <f t="shared" si="0"/>
        <v>1</v>
      </c>
      <c r="V47" s="19"/>
      <c r="W47" s="19"/>
    </row>
    <row r="48" spans="2:23" ht="21" customHeight="1" x14ac:dyDescent="0.2">
      <c r="B48" s="196"/>
      <c r="C48" s="197"/>
      <c r="D48" s="197"/>
      <c r="E48" s="197"/>
      <c r="F48" s="198"/>
      <c r="G48" s="191"/>
      <c r="H48" s="192"/>
      <c r="I48" s="191"/>
      <c r="J48" s="192"/>
      <c r="K48" s="191"/>
      <c r="L48" s="192"/>
      <c r="M48" s="191"/>
      <c r="N48" s="192"/>
      <c r="O48" s="191">
        <f>ROUND($F$47*O47,3)</f>
        <v>0</v>
      </c>
      <c r="P48" s="192">
        <f>$F$47*P47</f>
        <v>0</v>
      </c>
      <c r="Q48" s="191">
        <f>F47-O48</f>
        <v>0</v>
      </c>
      <c r="R48" s="192">
        <f>$F$47*R47</f>
        <v>0</v>
      </c>
      <c r="S48" s="18">
        <f t="shared" si="0"/>
        <v>0</v>
      </c>
      <c r="V48" s="19"/>
      <c r="W48" s="19"/>
    </row>
    <row r="49" spans="2:23" ht="21" customHeight="1" x14ac:dyDescent="0.2">
      <c r="B49" s="196" t="s">
        <v>167</v>
      </c>
      <c r="C49" s="197" t="str">
        <f>VLOOKUP(B49,[1]PROPOSTA!$B$16:$E$191,4,0)</f>
        <v>INSTALAÇÕES ELÉTRICAS</v>
      </c>
      <c r="D49" s="197"/>
      <c r="E49" s="197"/>
      <c r="F49" s="198">
        <f>PROPOSTA!M172</f>
        <v>0</v>
      </c>
      <c r="G49" s="199">
        <v>0.2</v>
      </c>
      <c r="H49" s="200"/>
      <c r="I49" s="199">
        <v>0.2</v>
      </c>
      <c r="J49" s="200"/>
      <c r="K49" s="199">
        <v>0.2</v>
      </c>
      <c r="L49" s="200"/>
      <c r="M49" s="199">
        <v>0.2</v>
      </c>
      <c r="N49" s="200"/>
      <c r="O49" s="199">
        <v>0.1</v>
      </c>
      <c r="P49" s="200"/>
      <c r="Q49" s="199">
        <v>0.1</v>
      </c>
      <c r="R49" s="200"/>
      <c r="S49" s="17">
        <f t="shared" si="0"/>
        <v>1</v>
      </c>
      <c r="V49" s="19"/>
      <c r="W49" s="19"/>
    </row>
    <row r="50" spans="2:23" ht="21" customHeight="1" x14ac:dyDescent="0.2">
      <c r="B50" s="196"/>
      <c r="C50" s="197"/>
      <c r="D50" s="197"/>
      <c r="E50" s="197"/>
      <c r="F50" s="198"/>
      <c r="G50" s="191">
        <f>ROUND($F$49*G49,3)</f>
        <v>0</v>
      </c>
      <c r="H50" s="192">
        <f t="shared" ref="H50:R50" si="6">$F$49*H49</f>
        <v>0</v>
      </c>
      <c r="I50" s="191">
        <f>ROUND($F$49*I49,3)</f>
        <v>0</v>
      </c>
      <c r="J50" s="192">
        <f t="shared" si="6"/>
        <v>0</v>
      </c>
      <c r="K50" s="191">
        <f>ROUND($F$49*K49,3)</f>
        <v>0</v>
      </c>
      <c r="L50" s="192">
        <f t="shared" si="6"/>
        <v>0</v>
      </c>
      <c r="M50" s="191">
        <f>ROUND($F$49*M49,3)</f>
        <v>0</v>
      </c>
      <c r="N50" s="192">
        <f t="shared" si="6"/>
        <v>0</v>
      </c>
      <c r="O50" s="191">
        <f>ROUND($F$49*O49,3)</f>
        <v>0</v>
      </c>
      <c r="P50" s="192">
        <f t="shared" si="6"/>
        <v>0</v>
      </c>
      <c r="Q50" s="191">
        <f>F49-SUM(G50:P50)</f>
        <v>0</v>
      </c>
      <c r="R50" s="192">
        <f t="shared" si="6"/>
        <v>0</v>
      </c>
      <c r="S50" s="18">
        <f t="shared" si="0"/>
        <v>0</v>
      </c>
      <c r="V50" s="19"/>
      <c r="W50" s="19"/>
    </row>
    <row r="51" spans="2:23" ht="21" customHeight="1" x14ac:dyDescent="0.2">
      <c r="B51" s="196" t="s">
        <v>221</v>
      </c>
      <c r="C51" s="197" t="str">
        <f>VLOOKUP(B51,[1]PROPOSTA!$B$16:$E$191,4,0)</f>
        <v>INSTALAÇÕES HIDRÁULICAS</v>
      </c>
      <c r="D51" s="197"/>
      <c r="E51" s="197"/>
      <c r="F51" s="198">
        <f>PROPOSTA!M182</f>
        <v>0</v>
      </c>
      <c r="G51" s="199">
        <v>0.4</v>
      </c>
      <c r="H51" s="200"/>
      <c r="I51" s="199">
        <v>0.4</v>
      </c>
      <c r="J51" s="200"/>
      <c r="K51" s="199">
        <v>0.2</v>
      </c>
      <c r="L51" s="200"/>
      <c r="M51" s="199"/>
      <c r="N51" s="200"/>
      <c r="O51" s="199"/>
      <c r="P51" s="200"/>
      <c r="Q51" s="199"/>
      <c r="R51" s="200"/>
      <c r="S51" s="17">
        <f t="shared" si="0"/>
        <v>1</v>
      </c>
      <c r="V51" s="19"/>
      <c r="W51" s="19"/>
    </row>
    <row r="52" spans="2:23" ht="21" customHeight="1" x14ac:dyDescent="0.2">
      <c r="B52" s="196"/>
      <c r="C52" s="197"/>
      <c r="D52" s="197"/>
      <c r="E52" s="197"/>
      <c r="F52" s="198"/>
      <c r="G52" s="191">
        <f>ROUND($F$51*G51,3)</f>
        <v>0</v>
      </c>
      <c r="H52" s="192">
        <f>$F$51*H51</f>
        <v>0</v>
      </c>
      <c r="I52" s="191">
        <f>ROUND($F$51*I51,3)</f>
        <v>0</v>
      </c>
      <c r="J52" s="192">
        <f>$F$51*J51</f>
        <v>0</v>
      </c>
      <c r="K52" s="191">
        <f>F51-SUM(G52:J52)</f>
        <v>0</v>
      </c>
      <c r="L52" s="192">
        <f>$F$51*L51</f>
        <v>0</v>
      </c>
      <c r="M52" s="191"/>
      <c r="N52" s="192"/>
      <c r="O52" s="191"/>
      <c r="P52" s="192"/>
      <c r="Q52" s="191"/>
      <c r="R52" s="192"/>
      <c r="S52" s="18">
        <f t="shared" si="0"/>
        <v>0</v>
      </c>
      <c r="V52" s="19"/>
      <c r="W52" s="19"/>
    </row>
    <row r="53" spans="2:23" ht="21" customHeight="1" x14ac:dyDescent="0.2">
      <c r="B53" s="196" t="s">
        <v>239</v>
      </c>
      <c r="C53" s="197" t="str">
        <f>VLOOKUP(B53,[1]PROPOSTA!$B$16:$E$191,4,0)</f>
        <v>DRENAGEM</v>
      </c>
      <c r="D53" s="197"/>
      <c r="E53" s="197"/>
      <c r="F53" s="198">
        <f>PROPOSTA!M188</f>
        <v>0</v>
      </c>
      <c r="G53" s="199">
        <v>0.8</v>
      </c>
      <c r="H53" s="200"/>
      <c r="I53" s="199">
        <v>0.2</v>
      </c>
      <c r="J53" s="200"/>
      <c r="K53" s="199"/>
      <c r="L53" s="200"/>
      <c r="M53" s="199"/>
      <c r="N53" s="200"/>
      <c r="O53" s="199"/>
      <c r="P53" s="200"/>
      <c r="Q53" s="199"/>
      <c r="R53" s="200"/>
      <c r="S53" s="17">
        <f t="shared" si="0"/>
        <v>1</v>
      </c>
      <c r="V53" s="19"/>
      <c r="W53" s="19"/>
    </row>
    <row r="54" spans="2:23" ht="21" customHeight="1" x14ac:dyDescent="0.2">
      <c r="B54" s="196"/>
      <c r="C54" s="197"/>
      <c r="D54" s="197"/>
      <c r="E54" s="197"/>
      <c r="F54" s="198"/>
      <c r="G54" s="191">
        <f>ROUND($F$53*G53,3)</f>
        <v>0</v>
      </c>
      <c r="H54" s="192">
        <f>$F$53*H53</f>
        <v>0</v>
      </c>
      <c r="I54" s="191">
        <f>F53-G54</f>
        <v>0</v>
      </c>
      <c r="J54" s="192">
        <f>$F$53*J53</f>
        <v>0</v>
      </c>
      <c r="K54" s="191"/>
      <c r="L54" s="192"/>
      <c r="M54" s="191"/>
      <c r="N54" s="192"/>
      <c r="O54" s="191"/>
      <c r="P54" s="192"/>
      <c r="Q54" s="191"/>
      <c r="R54" s="192"/>
      <c r="S54" s="18">
        <f t="shared" si="0"/>
        <v>0</v>
      </c>
      <c r="V54" s="19"/>
      <c r="W54" s="19"/>
    </row>
    <row r="55" spans="2:23" ht="21" customHeight="1" x14ac:dyDescent="0.2">
      <c r="B55" s="196" t="s">
        <v>249</v>
      </c>
      <c r="C55" s="197" t="str">
        <f>VLOOKUP(B55,[1]PROPOSTA!$B$16:$E$191,4,0)</f>
        <v>SERVIÇOS COMPLEMENTARES</v>
      </c>
      <c r="D55" s="197"/>
      <c r="E55" s="197"/>
      <c r="F55" s="198">
        <f>PROPOSTA!M192</f>
        <v>0</v>
      </c>
      <c r="G55" s="199"/>
      <c r="H55" s="200"/>
      <c r="I55" s="199"/>
      <c r="J55" s="200"/>
      <c r="K55" s="199"/>
      <c r="L55" s="200"/>
      <c r="M55" s="199"/>
      <c r="N55" s="200"/>
      <c r="O55" s="199"/>
      <c r="P55" s="200"/>
      <c r="Q55" s="199">
        <v>1</v>
      </c>
      <c r="R55" s="200"/>
      <c r="S55" s="17">
        <f t="shared" si="0"/>
        <v>1</v>
      </c>
      <c r="V55" s="19"/>
      <c r="W55" s="19"/>
    </row>
    <row r="56" spans="2:23" ht="21" customHeight="1" x14ac:dyDescent="0.2">
      <c r="B56" s="196"/>
      <c r="C56" s="197"/>
      <c r="D56" s="197"/>
      <c r="E56" s="197"/>
      <c r="F56" s="198"/>
      <c r="G56" s="191"/>
      <c r="H56" s="192"/>
      <c r="I56" s="191"/>
      <c r="J56" s="192"/>
      <c r="K56" s="191"/>
      <c r="L56" s="192"/>
      <c r="M56" s="191"/>
      <c r="N56" s="192"/>
      <c r="O56" s="191"/>
      <c r="P56" s="192"/>
      <c r="Q56" s="191">
        <f>ROUND($F$55*Q55,3)</f>
        <v>0</v>
      </c>
      <c r="R56" s="192">
        <f>$F$55*R55</f>
        <v>0</v>
      </c>
      <c r="S56" s="18">
        <f t="shared" si="0"/>
        <v>0</v>
      </c>
      <c r="V56" s="19"/>
      <c r="W56" s="19"/>
    </row>
    <row r="57" spans="2:23" ht="21" customHeight="1" x14ac:dyDescent="0.2">
      <c r="B57" s="193" t="s">
        <v>257</v>
      </c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5"/>
      <c r="S57" s="18"/>
      <c r="V57" s="19"/>
      <c r="W57" s="19"/>
    </row>
    <row r="58" spans="2:23" ht="21.75" customHeight="1" x14ac:dyDescent="0.2">
      <c r="B58" s="196" t="s">
        <v>258</v>
      </c>
      <c r="C58" s="197" t="str">
        <f>VLOOKUP(B58,[1]PROPOSTA!$B$16:$E$212,4,0)</f>
        <v>SERVIÇOS PRELIMINARES</v>
      </c>
      <c r="D58" s="197"/>
      <c r="E58" s="197"/>
      <c r="F58" s="198">
        <f>PROPOSTA!M213</f>
        <v>0</v>
      </c>
      <c r="G58" s="199">
        <v>0.2</v>
      </c>
      <c r="H58" s="200"/>
      <c r="I58" s="199">
        <v>0.15</v>
      </c>
      <c r="J58" s="200"/>
      <c r="K58" s="199">
        <v>0.15</v>
      </c>
      <c r="L58" s="200"/>
      <c r="M58" s="199">
        <v>0.15</v>
      </c>
      <c r="N58" s="200"/>
      <c r="O58" s="199">
        <v>0.15</v>
      </c>
      <c r="P58" s="200"/>
      <c r="Q58" s="199">
        <v>0.2</v>
      </c>
      <c r="R58" s="200"/>
      <c r="S58" s="17">
        <f t="shared" si="0"/>
        <v>1</v>
      </c>
      <c r="V58" s="19"/>
      <c r="W58" s="19"/>
    </row>
    <row r="59" spans="2:23" ht="18.75" customHeight="1" x14ac:dyDescent="0.2">
      <c r="B59" s="196"/>
      <c r="C59" s="197"/>
      <c r="D59" s="197"/>
      <c r="E59" s="197"/>
      <c r="F59" s="198"/>
      <c r="G59" s="191">
        <f>ROUND($F$58*G58,3)</f>
        <v>0</v>
      </c>
      <c r="H59" s="192">
        <f t="shared" ref="H59:R59" si="7">$F$58*H58</f>
        <v>0</v>
      </c>
      <c r="I59" s="191">
        <f>ROUND($F$58*I58,3)</f>
        <v>0</v>
      </c>
      <c r="J59" s="192">
        <f t="shared" si="7"/>
        <v>0</v>
      </c>
      <c r="K59" s="191">
        <f>ROUND($F$58*K58,3)</f>
        <v>0</v>
      </c>
      <c r="L59" s="192">
        <f t="shared" si="7"/>
        <v>0</v>
      </c>
      <c r="M59" s="191">
        <f>ROUND($F$58*M58,3)</f>
        <v>0</v>
      </c>
      <c r="N59" s="192">
        <f t="shared" si="7"/>
        <v>0</v>
      </c>
      <c r="O59" s="191">
        <f>ROUND($F$58*O58,3)</f>
        <v>0</v>
      </c>
      <c r="P59" s="192">
        <f t="shared" si="7"/>
        <v>0</v>
      </c>
      <c r="Q59" s="191">
        <f>F58-SUM(G59:P59)</f>
        <v>0</v>
      </c>
      <c r="R59" s="192">
        <f t="shared" si="7"/>
        <v>0</v>
      </c>
      <c r="S59" s="18">
        <f t="shared" si="0"/>
        <v>0</v>
      </c>
      <c r="V59" s="19"/>
      <c r="W59" s="19"/>
    </row>
    <row r="60" spans="2:23" ht="18.75" customHeight="1" x14ac:dyDescent="0.2">
      <c r="B60" s="206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8"/>
      <c r="S60" s="18"/>
      <c r="V60" s="19"/>
      <c r="W60" s="19"/>
    </row>
    <row r="61" spans="2:23" ht="29.25" customHeight="1" x14ac:dyDescent="0.2">
      <c r="B61" s="188" t="s">
        <v>284</v>
      </c>
      <c r="C61" s="188"/>
      <c r="D61" s="188"/>
      <c r="E61" s="188"/>
      <c r="F61" s="203">
        <f>ROUND(SUM(F11:F59),2)</f>
        <v>0</v>
      </c>
      <c r="G61" s="204">
        <f>G12+G14+G16+G18+G20+G22+G24+G27+G29+G31+G34+G36+G38+G41+G43+G46+G48+G50+G52+G54+G56+G59</f>
        <v>0</v>
      </c>
      <c r="H61" s="205"/>
      <c r="I61" s="204">
        <f t="shared" ref="I61:Q61" si="8">I12+I14+I16+I18+I20+I22+I24+I27+I29+I31+I34+I36+I38+I41+I43+I46+I48+I50+I52+I54+I56+I59</f>
        <v>0</v>
      </c>
      <c r="J61" s="205"/>
      <c r="K61" s="204">
        <f t="shared" si="8"/>
        <v>0</v>
      </c>
      <c r="L61" s="205"/>
      <c r="M61" s="204">
        <f t="shared" si="8"/>
        <v>0</v>
      </c>
      <c r="N61" s="205"/>
      <c r="O61" s="204">
        <f t="shared" si="8"/>
        <v>0</v>
      </c>
      <c r="P61" s="205"/>
      <c r="Q61" s="204">
        <f t="shared" si="8"/>
        <v>0</v>
      </c>
      <c r="R61" s="205"/>
      <c r="S61" s="20"/>
    </row>
    <row r="62" spans="2:23" ht="24" customHeight="1" x14ac:dyDescent="0.2">
      <c r="B62" s="188" t="s">
        <v>298</v>
      </c>
      <c r="C62" s="188"/>
      <c r="D62" s="188"/>
      <c r="E62" s="188"/>
      <c r="F62" s="203"/>
      <c r="G62" s="201">
        <f>G61</f>
        <v>0</v>
      </c>
      <c r="H62" s="202"/>
      <c r="I62" s="201">
        <f>G62+I61</f>
        <v>0</v>
      </c>
      <c r="J62" s="202"/>
      <c r="K62" s="201">
        <f>I62+K61</f>
        <v>0</v>
      </c>
      <c r="L62" s="202"/>
      <c r="M62" s="201">
        <f>K62+M61</f>
        <v>0</v>
      </c>
      <c r="N62" s="202"/>
      <c r="O62" s="201">
        <f>M62+O61</f>
        <v>0</v>
      </c>
      <c r="P62" s="202"/>
      <c r="Q62" s="201">
        <f>O62+Q61</f>
        <v>0</v>
      </c>
      <c r="R62" s="202"/>
    </row>
    <row r="63" spans="2:23" ht="24.75" customHeight="1" x14ac:dyDescent="0.2">
      <c r="B63" s="188" t="s">
        <v>299</v>
      </c>
      <c r="C63" s="188"/>
      <c r="D63" s="188"/>
      <c r="E63" s="188"/>
      <c r="F63" s="220" t="e">
        <f>F61/F61</f>
        <v>#DIV/0!</v>
      </c>
      <c r="G63" s="216" t="e">
        <f t="shared" ref="G63:Q64" si="9">ROUND(G61/$F$61,4)</f>
        <v>#DIV/0!</v>
      </c>
      <c r="H63" s="217"/>
      <c r="I63" s="216" t="e">
        <f t="shared" si="9"/>
        <v>#DIV/0!</v>
      </c>
      <c r="J63" s="217"/>
      <c r="K63" s="216" t="e">
        <f t="shared" si="9"/>
        <v>#DIV/0!</v>
      </c>
      <c r="L63" s="217"/>
      <c r="M63" s="216" t="e">
        <f t="shared" si="9"/>
        <v>#DIV/0!</v>
      </c>
      <c r="N63" s="217"/>
      <c r="O63" s="216" t="e">
        <f t="shared" si="9"/>
        <v>#DIV/0!</v>
      </c>
      <c r="P63" s="217"/>
      <c r="Q63" s="216" t="e">
        <f t="shared" si="9"/>
        <v>#DIV/0!</v>
      </c>
      <c r="R63" s="217"/>
    </row>
    <row r="64" spans="2:23" ht="25.5" customHeight="1" x14ac:dyDescent="0.2">
      <c r="B64" s="188" t="s">
        <v>300</v>
      </c>
      <c r="C64" s="188"/>
      <c r="D64" s="188"/>
      <c r="E64" s="188"/>
      <c r="F64" s="220"/>
      <c r="G64" s="218" t="e">
        <f t="shared" si="9"/>
        <v>#DIV/0!</v>
      </c>
      <c r="H64" s="219"/>
      <c r="I64" s="218" t="e">
        <f t="shared" si="9"/>
        <v>#DIV/0!</v>
      </c>
      <c r="J64" s="219"/>
      <c r="K64" s="218" t="e">
        <f t="shared" si="9"/>
        <v>#DIV/0!</v>
      </c>
      <c r="L64" s="219"/>
      <c r="M64" s="218" t="e">
        <f t="shared" si="9"/>
        <v>#DIV/0!</v>
      </c>
      <c r="N64" s="219"/>
      <c r="O64" s="218" t="e">
        <f t="shared" si="9"/>
        <v>#DIV/0!</v>
      </c>
      <c r="P64" s="219"/>
      <c r="Q64" s="218" t="e">
        <f t="shared" si="9"/>
        <v>#DIV/0!</v>
      </c>
      <c r="R64" s="219"/>
    </row>
    <row r="65" spans="2:18" ht="48" customHeight="1" x14ac:dyDescent="0.2">
      <c r="B65" s="209" t="str">
        <f>PROPOSTA!B227</f>
        <v>Venda Nova do Imigrante, xx de xxx de 202x</v>
      </c>
      <c r="C65" s="210"/>
      <c r="D65" s="210"/>
      <c r="E65" s="210"/>
      <c r="F65" s="210"/>
      <c r="G65" s="210"/>
      <c r="H65" s="210"/>
      <c r="I65" s="102"/>
      <c r="J65" s="102"/>
      <c r="K65" s="102"/>
      <c r="L65" s="102"/>
      <c r="M65" s="102"/>
      <c r="N65" s="102"/>
      <c r="O65" s="102"/>
      <c r="P65" s="102"/>
      <c r="Q65" s="102"/>
      <c r="R65" s="121"/>
    </row>
    <row r="66" spans="2:18" ht="18.75" customHeight="1" x14ac:dyDescent="0.2">
      <c r="B66" s="122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211" t="s">
        <v>301</v>
      </c>
      <c r="P66" s="211"/>
      <c r="Q66" s="211"/>
      <c r="R66" s="212"/>
    </row>
    <row r="67" spans="2:18" ht="18.75" customHeight="1" x14ac:dyDescent="0.2">
      <c r="B67" s="122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213" t="s">
        <v>302</v>
      </c>
      <c r="P67" s="213"/>
      <c r="Q67" s="213"/>
      <c r="R67" s="214"/>
    </row>
    <row r="68" spans="2:18" ht="18.75" customHeight="1" x14ac:dyDescent="0.2">
      <c r="B68" s="123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76"/>
      <c r="P68" s="176"/>
      <c r="Q68" s="176"/>
      <c r="R68" s="215"/>
    </row>
    <row r="69" spans="2:18" x14ac:dyDescent="0.2">
      <c r="F69" s="20"/>
      <c r="G69" s="20"/>
      <c r="H69" s="20"/>
      <c r="I69" s="20"/>
      <c r="J69" s="20"/>
      <c r="K69" s="20"/>
      <c r="L69" s="20"/>
      <c r="M69" s="20"/>
      <c r="N69" s="20"/>
    </row>
    <row r="70" spans="2:18" hidden="1" x14ac:dyDescent="0.2">
      <c r="M70" s="22"/>
      <c r="N70" s="22"/>
    </row>
    <row r="71" spans="2:18" hidden="1" x14ac:dyDescent="0.2">
      <c r="N71" s="23"/>
    </row>
    <row r="72" spans="2:18" hidden="1" x14ac:dyDescent="0.2">
      <c r="N72" s="24"/>
    </row>
    <row r="73" spans="2:18" x14ac:dyDescent="0.2"/>
    <row r="74" spans="2:18" x14ac:dyDescent="0.2"/>
    <row r="75" spans="2:18" x14ac:dyDescent="0.2"/>
    <row r="76" spans="2:18" x14ac:dyDescent="0.2"/>
    <row r="77" spans="2:18" x14ac:dyDescent="0.2"/>
    <row r="78" spans="2:18" hidden="1" x14ac:dyDescent="0.2">
      <c r="M78" s="20"/>
    </row>
    <row r="79" spans="2:18" x14ac:dyDescent="0.2"/>
    <row r="80" spans="2:18" x14ac:dyDescent="0.2">
      <c r="O80" s="1"/>
    </row>
    <row r="81" spans="7:18" x14ac:dyDescent="0.2"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</row>
    <row r="82" spans="7:18" x14ac:dyDescent="0.2"/>
    <row r="83" spans="7:18" x14ac:dyDescent="0.2"/>
    <row r="84" spans="7:18" x14ac:dyDescent="0.2"/>
    <row r="85" spans="7:18" x14ac:dyDescent="0.2"/>
    <row r="86" spans="7:18" x14ac:dyDescent="0.2"/>
    <row r="87" spans="7:18" x14ac:dyDescent="0.2"/>
    <row r="88" spans="7:18" x14ac:dyDescent="0.2"/>
    <row r="89" spans="7:18" x14ac:dyDescent="0.2"/>
    <row r="90" spans="7:18" x14ac:dyDescent="0.2"/>
    <row r="91" spans="7:18" x14ac:dyDescent="0.2"/>
    <row r="92" spans="7:18" x14ac:dyDescent="0.2"/>
    <row r="93" spans="7:18" x14ac:dyDescent="0.2"/>
    <row r="94" spans="7:18" x14ac:dyDescent="0.2"/>
    <row r="95" spans="7:18" x14ac:dyDescent="0.2"/>
    <row r="96" spans="7:18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spans="18:18" x14ac:dyDescent="0.2"/>
    <row r="130" spans="18:18" x14ac:dyDescent="0.2"/>
    <row r="131" spans="18:18" x14ac:dyDescent="0.2"/>
    <row r="132" spans="18:18" x14ac:dyDescent="0.2"/>
    <row r="133" spans="18:18" x14ac:dyDescent="0.2"/>
    <row r="134" spans="18:18" x14ac:dyDescent="0.2"/>
    <row r="135" spans="18:18" x14ac:dyDescent="0.2"/>
    <row r="136" spans="18:18" x14ac:dyDescent="0.2"/>
    <row r="137" spans="18:18" x14ac:dyDescent="0.2"/>
    <row r="138" spans="18:18" hidden="1" x14ac:dyDescent="0.2">
      <c r="R138" s="1">
        <v>764240.24</v>
      </c>
    </row>
    <row r="139" spans="18:18" x14ac:dyDescent="0.2"/>
    <row r="140" spans="18:18" x14ac:dyDescent="0.2"/>
    <row r="141" spans="18:18" x14ac:dyDescent="0.2"/>
    <row r="142" spans="18:18" x14ac:dyDescent="0.2"/>
    <row r="143" spans="18:18" x14ac:dyDescent="0.2"/>
    <row r="144" spans="18:18" x14ac:dyDescent="0.2"/>
  </sheetData>
  <sheetProtection algorithmName="SHA-512" hashValue="jqltpNe/+K3mis0Yy7Detzof4wrFb2hUYkM6GPjFIqIlEdoa+d+Gp0M9SYVw7ImBc4zObc7ZKlxKzgQtW6e4Dg==" saltValue="MjEuwAe7RHB8j6M5/o7FPg==" spinCount="100000" sheet="1" objects="1" scenarios="1"/>
  <mergeCells count="381">
    <mergeCell ref="B60:R60"/>
    <mergeCell ref="B65:H65"/>
    <mergeCell ref="O66:R66"/>
    <mergeCell ref="O67:R67"/>
    <mergeCell ref="O68:R68"/>
    <mergeCell ref="O63:P63"/>
    <mergeCell ref="Q63:R63"/>
    <mergeCell ref="B64:E64"/>
    <mergeCell ref="G64:H64"/>
    <mergeCell ref="I64:J64"/>
    <mergeCell ref="K64:L64"/>
    <mergeCell ref="M64:N64"/>
    <mergeCell ref="O64:P64"/>
    <mergeCell ref="Q64:R64"/>
    <mergeCell ref="B63:E63"/>
    <mergeCell ref="F63:F64"/>
    <mergeCell ref="G63:H63"/>
    <mergeCell ref="I63:J63"/>
    <mergeCell ref="K63:L63"/>
    <mergeCell ref="M63:N63"/>
    <mergeCell ref="O61:P61"/>
    <mergeCell ref="Q61:R61"/>
    <mergeCell ref="B62:E62"/>
    <mergeCell ref="G62:H62"/>
    <mergeCell ref="I62:J62"/>
    <mergeCell ref="K62:L62"/>
    <mergeCell ref="M62:N62"/>
    <mergeCell ref="O62:P62"/>
    <mergeCell ref="Q62:R62"/>
    <mergeCell ref="B61:E61"/>
    <mergeCell ref="F61:F62"/>
    <mergeCell ref="G61:H61"/>
    <mergeCell ref="I61:J61"/>
    <mergeCell ref="K61:L61"/>
    <mergeCell ref="M61:N61"/>
    <mergeCell ref="G59:H59"/>
    <mergeCell ref="I59:J59"/>
    <mergeCell ref="K59:L59"/>
    <mergeCell ref="M59:N59"/>
    <mergeCell ref="O59:P59"/>
    <mergeCell ref="Q59:R59"/>
    <mergeCell ref="B57:R57"/>
    <mergeCell ref="B58:B59"/>
    <mergeCell ref="C58:E59"/>
    <mergeCell ref="F58:F59"/>
    <mergeCell ref="G58:H58"/>
    <mergeCell ref="I58:J58"/>
    <mergeCell ref="K58:L58"/>
    <mergeCell ref="M58:N58"/>
    <mergeCell ref="O58:P58"/>
    <mergeCell ref="Q58:R58"/>
    <mergeCell ref="G53:H53"/>
    <mergeCell ref="I53:J53"/>
    <mergeCell ref="K53:L53"/>
    <mergeCell ref="M55:N55"/>
    <mergeCell ref="O55:P55"/>
    <mergeCell ref="Q55:R55"/>
    <mergeCell ref="G56:H56"/>
    <mergeCell ref="I56:J56"/>
    <mergeCell ref="K56:L56"/>
    <mergeCell ref="M56:N56"/>
    <mergeCell ref="O56:P56"/>
    <mergeCell ref="Q56:R56"/>
    <mergeCell ref="G52:H52"/>
    <mergeCell ref="I52:J52"/>
    <mergeCell ref="K52:L52"/>
    <mergeCell ref="M52:N52"/>
    <mergeCell ref="O52:P52"/>
    <mergeCell ref="Q52:R52"/>
    <mergeCell ref="B55:B56"/>
    <mergeCell ref="C55:E56"/>
    <mergeCell ref="F55:F56"/>
    <mergeCell ref="G55:H55"/>
    <mergeCell ref="I55:J55"/>
    <mergeCell ref="K55:L55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B53:B54"/>
    <mergeCell ref="C53:E54"/>
    <mergeCell ref="F53:F54"/>
    <mergeCell ref="B51:B52"/>
    <mergeCell ref="C51:E52"/>
    <mergeCell ref="F51:F52"/>
    <mergeCell ref="G51:H51"/>
    <mergeCell ref="I51:J51"/>
    <mergeCell ref="K51:L51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B49:B50"/>
    <mergeCell ref="C49:E50"/>
    <mergeCell ref="F49:F50"/>
    <mergeCell ref="G49:H49"/>
    <mergeCell ref="I49:J49"/>
    <mergeCell ref="K49:L49"/>
    <mergeCell ref="M51:N51"/>
    <mergeCell ref="O51:P51"/>
    <mergeCell ref="Q51:R51"/>
    <mergeCell ref="M47:N47"/>
    <mergeCell ref="O47:P47"/>
    <mergeCell ref="Q47:R47"/>
    <mergeCell ref="G48:H48"/>
    <mergeCell ref="I48:J48"/>
    <mergeCell ref="K48:L48"/>
    <mergeCell ref="M48:N48"/>
    <mergeCell ref="O48:P48"/>
    <mergeCell ref="Q48:R48"/>
    <mergeCell ref="B47:B48"/>
    <mergeCell ref="C47:E48"/>
    <mergeCell ref="F47:F48"/>
    <mergeCell ref="G47:H47"/>
    <mergeCell ref="I47:J47"/>
    <mergeCell ref="K47:L47"/>
    <mergeCell ref="G46:H46"/>
    <mergeCell ref="I46:J46"/>
    <mergeCell ref="K46:L46"/>
    <mergeCell ref="M46:N46"/>
    <mergeCell ref="O46:P46"/>
    <mergeCell ref="Q46:R46"/>
    <mergeCell ref="B44:R44"/>
    <mergeCell ref="B45:B46"/>
    <mergeCell ref="C45:E46"/>
    <mergeCell ref="F45:F46"/>
    <mergeCell ref="G45:H45"/>
    <mergeCell ref="I45:J45"/>
    <mergeCell ref="K45:L45"/>
    <mergeCell ref="M45:N45"/>
    <mergeCell ref="O45:P45"/>
    <mergeCell ref="Q45:R45"/>
    <mergeCell ref="M42:N42"/>
    <mergeCell ref="O42:P42"/>
    <mergeCell ref="Q42:R42"/>
    <mergeCell ref="G43:H43"/>
    <mergeCell ref="I43:J43"/>
    <mergeCell ref="K43:L43"/>
    <mergeCell ref="M43:N43"/>
    <mergeCell ref="O43:P43"/>
    <mergeCell ref="Q43:R43"/>
    <mergeCell ref="B42:B43"/>
    <mergeCell ref="C42:E43"/>
    <mergeCell ref="F42:F43"/>
    <mergeCell ref="G42:H42"/>
    <mergeCell ref="I42:J42"/>
    <mergeCell ref="K42:L42"/>
    <mergeCell ref="G41:H41"/>
    <mergeCell ref="I41:J41"/>
    <mergeCell ref="K41:L41"/>
    <mergeCell ref="G38:H38"/>
    <mergeCell ref="I38:J38"/>
    <mergeCell ref="K38:L38"/>
    <mergeCell ref="M38:N38"/>
    <mergeCell ref="O38:P38"/>
    <mergeCell ref="Q38:R38"/>
    <mergeCell ref="M41:N41"/>
    <mergeCell ref="O41:P41"/>
    <mergeCell ref="Q41:R41"/>
    <mergeCell ref="B39:R39"/>
    <mergeCell ref="B40:B41"/>
    <mergeCell ref="C40:E41"/>
    <mergeCell ref="F40:F41"/>
    <mergeCell ref="G40:H40"/>
    <mergeCell ref="I40:J40"/>
    <mergeCell ref="K40:L40"/>
    <mergeCell ref="M40:N40"/>
    <mergeCell ref="O40:P40"/>
    <mergeCell ref="Q40:R40"/>
    <mergeCell ref="B37:B38"/>
    <mergeCell ref="C37:E38"/>
    <mergeCell ref="F37:F38"/>
    <mergeCell ref="G37:H37"/>
    <mergeCell ref="I37:J37"/>
    <mergeCell ref="B35:B36"/>
    <mergeCell ref="C35:E36"/>
    <mergeCell ref="F35:F36"/>
    <mergeCell ref="G35:H35"/>
    <mergeCell ref="I35:J35"/>
    <mergeCell ref="K35:L35"/>
    <mergeCell ref="M37:N37"/>
    <mergeCell ref="O37:P37"/>
    <mergeCell ref="Q37:R37"/>
    <mergeCell ref="K37:L37"/>
    <mergeCell ref="M35:N35"/>
    <mergeCell ref="O35:P35"/>
    <mergeCell ref="Q35:R35"/>
    <mergeCell ref="G36:H36"/>
    <mergeCell ref="I36:J36"/>
    <mergeCell ref="K36:L36"/>
    <mergeCell ref="M36:N36"/>
    <mergeCell ref="O36:P36"/>
    <mergeCell ref="Q36:R36"/>
    <mergeCell ref="K31:L31"/>
    <mergeCell ref="M31:N31"/>
    <mergeCell ref="O31:P31"/>
    <mergeCell ref="Q31:R31"/>
    <mergeCell ref="G34:H34"/>
    <mergeCell ref="I34:J34"/>
    <mergeCell ref="K34:L34"/>
    <mergeCell ref="M34:N34"/>
    <mergeCell ref="O34:P34"/>
    <mergeCell ref="Q34:R34"/>
    <mergeCell ref="B32:R32"/>
    <mergeCell ref="B33:B34"/>
    <mergeCell ref="C33:E34"/>
    <mergeCell ref="F33:F34"/>
    <mergeCell ref="G33:H33"/>
    <mergeCell ref="I33:J33"/>
    <mergeCell ref="K33:L33"/>
    <mergeCell ref="M33:N33"/>
    <mergeCell ref="O33:P33"/>
    <mergeCell ref="Q33:R33"/>
    <mergeCell ref="B30:B31"/>
    <mergeCell ref="C30:E31"/>
    <mergeCell ref="B28:B29"/>
    <mergeCell ref="C28:E29"/>
    <mergeCell ref="F28:F29"/>
    <mergeCell ref="G28:H28"/>
    <mergeCell ref="I28:J28"/>
    <mergeCell ref="K28:L28"/>
    <mergeCell ref="M30:N30"/>
    <mergeCell ref="O30:P30"/>
    <mergeCell ref="Q30:R30"/>
    <mergeCell ref="F30:F31"/>
    <mergeCell ref="G30:H30"/>
    <mergeCell ref="I30:J30"/>
    <mergeCell ref="K30:L30"/>
    <mergeCell ref="M28:N28"/>
    <mergeCell ref="O28:P28"/>
    <mergeCell ref="Q28:R28"/>
    <mergeCell ref="G29:H29"/>
    <mergeCell ref="I29:J29"/>
    <mergeCell ref="K29:L29"/>
    <mergeCell ref="M29:N29"/>
    <mergeCell ref="O29:P29"/>
    <mergeCell ref="Q29:R29"/>
    <mergeCell ref="G31:H31"/>
    <mergeCell ref="I31:J31"/>
    <mergeCell ref="K24:L24"/>
    <mergeCell ref="M24:N24"/>
    <mergeCell ref="O24:P24"/>
    <mergeCell ref="Q24:R24"/>
    <mergeCell ref="G27:H27"/>
    <mergeCell ref="I27:J27"/>
    <mergeCell ref="K27:L27"/>
    <mergeCell ref="M27:N27"/>
    <mergeCell ref="O27:P27"/>
    <mergeCell ref="Q27:R27"/>
    <mergeCell ref="B25:R25"/>
    <mergeCell ref="B26:B27"/>
    <mergeCell ref="C26:E27"/>
    <mergeCell ref="F26:F27"/>
    <mergeCell ref="G26:H26"/>
    <mergeCell ref="I26:J26"/>
    <mergeCell ref="K26:L26"/>
    <mergeCell ref="M26:N26"/>
    <mergeCell ref="O26:P26"/>
    <mergeCell ref="Q26:R26"/>
    <mergeCell ref="B23:B24"/>
    <mergeCell ref="C23:E24"/>
    <mergeCell ref="B21:B22"/>
    <mergeCell ref="C21:E22"/>
    <mergeCell ref="F21:F22"/>
    <mergeCell ref="G21:H21"/>
    <mergeCell ref="I21:J21"/>
    <mergeCell ref="K21:L21"/>
    <mergeCell ref="M23:N23"/>
    <mergeCell ref="O23:P23"/>
    <mergeCell ref="Q23:R23"/>
    <mergeCell ref="F23:F24"/>
    <mergeCell ref="G23:H23"/>
    <mergeCell ref="I23:J23"/>
    <mergeCell ref="K23:L23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G24:H24"/>
    <mergeCell ref="I24:J24"/>
    <mergeCell ref="G17:H17"/>
    <mergeCell ref="I17:J17"/>
    <mergeCell ref="K17:L17"/>
    <mergeCell ref="M19:N19"/>
    <mergeCell ref="O19:P19"/>
    <mergeCell ref="Q19:R19"/>
    <mergeCell ref="G20:H20"/>
    <mergeCell ref="I20:J20"/>
    <mergeCell ref="K20:L20"/>
    <mergeCell ref="M20:N20"/>
    <mergeCell ref="O20:P20"/>
    <mergeCell ref="Q20:R20"/>
    <mergeCell ref="G16:H16"/>
    <mergeCell ref="I16:J16"/>
    <mergeCell ref="K16:L16"/>
    <mergeCell ref="M16:N16"/>
    <mergeCell ref="O16:P16"/>
    <mergeCell ref="Q16:R16"/>
    <mergeCell ref="B19:B20"/>
    <mergeCell ref="C19:E20"/>
    <mergeCell ref="F19:F20"/>
    <mergeCell ref="G19:H19"/>
    <mergeCell ref="I19:J19"/>
    <mergeCell ref="K19:L19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B17:B18"/>
    <mergeCell ref="C17:E18"/>
    <mergeCell ref="F17:F18"/>
    <mergeCell ref="B15:B16"/>
    <mergeCell ref="C15:E16"/>
    <mergeCell ref="F15:F16"/>
    <mergeCell ref="G15:H15"/>
    <mergeCell ref="I15:J15"/>
    <mergeCell ref="K15:L15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B13:B14"/>
    <mergeCell ref="C13:E14"/>
    <mergeCell ref="F13:F14"/>
    <mergeCell ref="G13:H13"/>
    <mergeCell ref="I13:J13"/>
    <mergeCell ref="K13:L13"/>
    <mergeCell ref="M15:N15"/>
    <mergeCell ref="O15:P15"/>
    <mergeCell ref="Q15:R15"/>
    <mergeCell ref="G12:H12"/>
    <mergeCell ref="I12:J12"/>
    <mergeCell ref="K12:L12"/>
    <mergeCell ref="M12:N12"/>
    <mergeCell ref="O12:P12"/>
    <mergeCell ref="Q12:R12"/>
    <mergeCell ref="B10:R10"/>
    <mergeCell ref="B11:B12"/>
    <mergeCell ref="C11:E12"/>
    <mergeCell ref="F11:F12"/>
    <mergeCell ref="G11:H11"/>
    <mergeCell ref="I11:J11"/>
    <mergeCell ref="K11:L11"/>
    <mergeCell ref="M11:N11"/>
    <mergeCell ref="O11:P11"/>
    <mergeCell ref="Q11:R11"/>
    <mergeCell ref="B1:R1"/>
    <mergeCell ref="J5:M5"/>
    <mergeCell ref="B8:R8"/>
    <mergeCell ref="C9:E9"/>
    <mergeCell ref="G9:H9"/>
    <mergeCell ref="I9:J9"/>
    <mergeCell ref="K9:L9"/>
    <mergeCell ref="M9:N9"/>
    <mergeCell ref="O9:P9"/>
    <mergeCell ref="Q9:R9"/>
  </mergeCells>
  <printOptions horizontalCentered="1" verticalCentered="1"/>
  <pageMargins left="0.9055118110236221" right="0.9055118110236221" top="1.7716535433070868" bottom="1.3779527559055118" header="0.31496062992125984" footer="0.31496062992125984"/>
  <pageSetup paperSize="9" scale="4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ORIENTAÇÕES</vt:lpstr>
      <vt:lpstr>PROPOSTA</vt:lpstr>
      <vt:lpstr>CRONOGRMA FF EMPRESA</vt:lpstr>
      <vt:lpstr>'CRONOGRMA FF EMPRESA'!Area_de_impressao</vt:lpstr>
      <vt:lpstr>PROPOSTA!Area_de_impressao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Falchetto Vargas</dc:creator>
  <cp:lastModifiedBy>Alexandra de Oliveira Vinco</cp:lastModifiedBy>
  <cp:lastPrinted>2026-01-20T14:29:38Z</cp:lastPrinted>
  <dcterms:created xsi:type="dcterms:W3CDTF">2026-01-19T19:01:12Z</dcterms:created>
  <dcterms:modified xsi:type="dcterms:W3CDTF">2026-02-06T16:12:15Z</dcterms:modified>
</cp:coreProperties>
</file>